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2.xml" ContentType="application/vnd.openxmlformats-officedocument.spreadsheetml.table+xml"/>
  <Override PartName="/xl/drawings/drawing13.xml" ContentType="application/vnd.openxmlformats-officedocument.drawing+xml"/>
  <Override PartName="/xl/tables/table3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4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20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21.xml" ContentType="application/vnd.openxmlformats-officedocument.drawing+xml"/>
  <Override PartName="/xl/tables/table11.xml" ContentType="application/vnd.openxmlformats-officedocument.spreadsheetml.table+xml"/>
  <Override PartName="/xl/drawings/drawing22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tables/table19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8.xml" ContentType="application/vnd.openxmlformats-officedocument.drawing+xml"/>
  <Override PartName="/xl/tables/table20.xml" ContentType="application/vnd.openxmlformats-officedocument.spreadsheetml.table+xml"/>
  <Override PartName="/xl/drawings/drawing29.xml" ContentType="application/vnd.openxmlformats-officedocument.drawing+xml"/>
  <Override PartName="/xl/tables/table21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drawings/drawing37.xml" ContentType="application/vnd.openxmlformats-officedocument.drawing+xml"/>
  <Override PartName="/xl/tables/table27.xml" ContentType="application/vnd.openxmlformats-officedocument.spreadsheetml.table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tables/table28.xml" ContentType="application/vnd.openxmlformats-officedocument.spreadsheetml.table+xml"/>
  <Override PartName="/xl/drawings/drawing42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drawings/drawing43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44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tables/table35.xml" ContentType="application/vnd.openxmlformats-officedocument.spreadsheetml.table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tables/table36.xml" ContentType="application/vnd.openxmlformats-officedocument.spreadsheetml.table+xml"/>
  <Override PartName="/xl/drawings/drawing49.xml" ContentType="application/vnd.openxmlformats-officedocument.drawing+xml"/>
  <Override PartName="/xl/tables/table37.xml" ContentType="application/vnd.openxmlformats-officedocument.spreadsheetml.table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2.xml" ContentType="application/vnd.openxmlformats-officedocument.drawing+xml"/>
  <Override PartName="/xl/tables/table41.xml" ContentType="application/vnd.openxmlformats-officedocument.spreadsheetml.table+xml"/>
  <Override PartName="/xl/drawings/drawing53.xml" ContentType="application/vnd.openxmlformats-officedocument.drawing+xml"/>
  <Override PartName="/xl/tables/table42.xml" ContentType="application/vnd.openxmlformats-officedocument.spreadsheetml.table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tables/table43.xml" ContentType="application/vnd.openxmlformats-officedocument.spreadsheetml.table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tables/table44.xml" ContentType="application/vnd.openxmlformats-officedocument.spreadsheetml.table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tables/table45.xml" ContentType="application/vnd.openxmlformats-officedocument.spreadsheetml.table+xml"/>
  <Override PartName="/xl/drawings/drawing61.xml" ContentType="application/vnd.openxmlformats-officedocument.drawing+xml"/>
  <Override PartName="/xl/tables/table46.xml" ContentType="application/vnd.openxmlformats-officedocument.spreadsheetml.table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drawings/drawing64.xml" ContentType="application/vnd.openxmlformats-officedocument.drawing+xml"/>
  <Override PartName="/xl/tables/table50.xml" ContentType="application/vnd.openxmlformats-officedocument.spreadsheetml.table+xml"/>
  <Override PartName="/xl/drawings/drawing65.xml" ContentType="application/vnd.openxmlformats-officedocument.drawing+xml"/>
  <Override PartName="/xl/tables/table51.xml" ContentType="application/vnd.openxmlformats-officedocument.spreadsheetml.table+xml"/>
  <Override PartName="/xl/drawings/drawing66.xml" ContentType="application/vnd.openxmlformats-officedocument.drawing+xml"/>
  <Override PartName="/xl/tables/table52.xml" ContentType="application/vnd.openxmlformats-officedocument.spreadsheetml.table+xml"/>
  <Override PartName="/xl/drawings/drawing67.xml" ContentType="application/vnd.openxmlformats-officedocument.drawing+xml"/>
  <Override PartName="/xl/tables/table53.xml" ContentType="application/vnd.openxmlformats-officedocument.spreadsheetml.table+xml"/>
  <Override PartName="/xl/drawings/drawing68.xml" ContentType="application/vnd.openxmlformats-officedocument.drawing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slicers/slicer3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tables/table56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1.xml" ContentType="application/vnd.openxmlformats-officedocument.drawing+xml"/>
  <Override PartName="/xl/tables/table57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2.xml" ContentType="application/vnd.openxmlformats-officedocument.drawing+xml"/>
  <Override PartName="/xl/tables/table58.xml" ContentType="application/vnd.openxmlformats-officedocument.spreadsheetml.table+xml"/>
  <Override PartName="/xl/slicers/slicer4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3.xml" ContentType="application/vnd.openxmlformats-officedocument.drawing+xml"/>
  <Override PartName="/xl/tables/table59.xml" ContentType="application/vnd.openxmlformats-officedocument.spreadsheetml.table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tables/table60.xml" ContentType="application/vnd.openxmlformats-officedocument.spreadsheetml.table+xml"/>
  <Override PartName="/xl/drawings/drawing76.xml" ContentType="application/vnd.openxmlformats-officedocument.drawing+xml"/>
  <Override PartName="/xl/slicers/slicer5.xml" ContentType="application/vnd.ms-excel.slicer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ISTIANO\Downloads\"/>
    </mc:Choice>
  </mc:AlternateContent>
  <xr:revisionPtr revIDLastSave="0" documentId="13_ncr:1_{BC6034DF-9F41-4619-AE04-CC9F4437D40D}" xr6:coauthVersionLast="47" xr6:coauthVersionMax="47" xr10:uidLastSave="{00000000-0000-0000-0000-000000000000}"/>
  <bookViews>
    <workbookView xWindow="-120" yWindow="-120" windowWidth="29040" windowHeight="15840" tabRatio="867" firstSheet="72" activeTab="74" xr2:uid="{00000000-000D-0000-FFFF-FFFF00000000}"/>
  </bookViews>
  <sheets>
    <sheet name="Desafio Mês (2)" sheetId="139" r:id="rId1"/>
    <sheet name="Neste Treinamento" sheetId="7" r:id="rId2"/>
    <sheet name="CAP 01 - FORMATAÇÃO DE DADOS" sheetId="9" r:id="rId3"/>
    <sheet name="Deslocamento | Seleção | Mover" sheetId="15" r:id="rId4"/>
    <sheet name="Alça de Preenchimento" sheetId="16" r:id="rId5"/>
    <sheet name="Área de Transferência" sheetId="11" r:id="rId6"/>
    <sheet name="Fonte, Alinhamento e Número" sheetId="12" r:id="rId7"/>
    <sheet name="Grupo Células" sheetId="26" r:id="rId8"/>
    <sheet name="Grupo Edição" sheetId="28" r:id="rId9"/>
    <sheet name="Preenchimento Relâmpago" sheetId="29" r:id="rId10"/>
    <sheet name="CAP 02 - TABELAS e SEGMENTAÇÕES" sheetId="17" r:id="rId11"/>
    <sheet name="Formatar como Tabela" sheetId="14" r:id="rId12"/>
    <sheet name="Remover duplicata de uma tabela" sheetId="132" r:id="rId13"/>
    <sheet name="Segmentação de dados" sheetId="24" r:id="rId14"/>
    <sheet name="Enunciado Desafio - CAP 02" sheetId="18" r:id="rId15"/>
    <sheet name="Resolução do Desafio - CAP 02" sheetId="25" r:id="rId16"/>
    <sheet name="CAP 03 - CÁLCULOS NO EXCEL" sheetId="27" r:id="rId17"/>
    <sheet name="Noções básicas" sheetId="31" r:id="rId18"/>
    <sheet name="Adição" sheetId="20" r:id="rId19"/>
    <sheet name="Subtração" sheetId="21" r:id="rId20"/>
    <sheet name="Multiplicação" sheetId="22" r:id="rId21"/>
    <sheet name="Divisão" sheetId="23" r:id="rId22"/>
    <sheet name="Enunciado Desafio - CAP 03" sheetId="34" r:id="rId23"/>
    <sheet name="Resolução do Desafio - CAP  03" sheetId="35" r:id="rId24"/>
    <sheet name="CAP 04 - FUNÇÕES ESSENCIAIS" sheetId="38" r:id="rId25"/>
    <sheet name="Soma (Orçamento Doméstico)" sheetId="3" r:id="rId26"/>
    <sheet name="SomarProduto" sheetId="135" r:id="rId27"/>
    <sheet name="Média Salarial" sheetId="4" r:id="rId28"/>
    <sheet name="Máximo e Mínimo" sheetId="1" r:id="rId29"/>
    <sheet name="Cont.núm | Contar.vazio" sheetId="41" r:id="rId30"/>
    <sheet name="Soma (Custos de Escritório)" sheetId="39" r:id="rId31"/>
    <sheet name="Desafio Filiais" sheetId="61" r:id="rId32"/>
    <sheet name="Desafio Metas" sheetId="40" r:id="rId33"/>
    <sheet name="CAP 05 - TRATAMENTO DE NÚMEROS" sheetId="46" r:id="rId34"/>
    <sheet name="FUNÇÃO ARRED" sheetId="56" r:id="rId35"/>
    <sheet name="Descontos e Acréscimos Salário" sheetId="99" r:id="rId36"/>
    <sheet name="Parte Inteira (INT)" sheetId="101" r:id="rId37"/>
    <sheet name="Módulo ABS" sheetId="102" r:id="rId38"/>
    <sheet name="Desafio Capítulo Tratamento" sheetId="64" state="hidden" r:id="rId39"/>
    <sheet name="CAP 06 - CÁLCULOS DATA E HORA" sheetId="50" r:id="rId40"/>
    <sheet name="Entenda os cálculos data|hora" sheetId="127" r:id="rId41"/>
    <sheet name="Horas trabalhadas" sheetId="103" r:id="rId42"/>
    <sheet name="Reforma de Casa" sheetId="65" r:id="rId43"/>
    <sheet name="Cálculo de data" sheetId="69" r:id="rId44"/>
    <sheet name="Cálculo Hora" sheetId="68" r:id="rId45"/>
    <sheet name="Desafio - Folha de Ponto" sheetId="104" r:id="rId46"/>
    <sheet name="CAP 07 - FUNÇÕES DATA E HORA" sheetId="47" r:id="rId47"/>
    <sheet name="Função Hoje" sheetId="106" r:id="rId48"/>
    <sheet name="Função Agora" sheetId="107" r:id="rId49"/>
    <sheet name="Hora | Minuto | Segundo" sheetId="71" r:id="rId50"/>
    <sheet name="Dia | Mês | Ano" sheetId="72" r:id="rId51"/>
    <sheet name="Função Data" sheetId="75" r:id="rId52"/>
    <sheet name="PROJETO DESAFIO MES" sheetId="109" r:id="rId53"/>
    <sheet name="Desafio Dia" sheetId="108" r:id="rId54"/>
    <sheet name="Desafio Ano" sheetId="110" r:id="rId55"/>
    <sheet name="Desafio Funções Data e Hora" sheetId="76" state="hidden" r:id="rId56"/>
    <sheet name="CAP 08 - FUNÇÕES TEXTO" sheetId="42" r:id="rId57"/>
    <sheet name="Funções de texto" sheetId="43" r:id="rId58"/>
    <sheet name="Concatenar" sheetId="112" r:id="rId59"/>
    <sheet name="Concat &quot;NOVO&quot;" sheetId="131" r:id="rId60"/>
    <sheet name="UnirTexto 1" sheetId="113" r:id="rId61"/>
    <sheet name="Unirtexto 2" sheetId="32" r:id="rId62"/>
    <sheet name="Função Caract" sheetId="136" r:id="rId63"/>
    <sheet name="Desafio Final Funções Texto" sheetId="96" r:id="rId64"/>
    <sheet name="CAP 09 - Função SE" sheetId="126" r:id="rId65"/>
    <sheet name="Sinais na função Se" sheetId="77" r:id="rId66"/>
    <sheet name="Entendendo a Função Se" sheetId="114" r:id="rId67"/>
    <sheet name="Função Se Simples I" sheetId="79" r:id="rId68"/>
    <sheet name="Função Se Simples II" sheetId="78" r:id="rId69"/>
    <sheet name="Função Se - Desafio I" sheetId="82" r:id="rId70"/>
    <sheet name="Função Se Desafio II" sheetId="98" r:id="rId71"/>
    <sheet name="CAP 10 - GRÁFICOS" sheetId="48" r:id="rId72"/>
    <sheet name="Gráfico I Pt1" sheetId="83" r:id="rId73"/>
    <sheet name="Gráfico I Pt2" sheetId="138" r:id="rId74"/>
    <sheet name="Graf Linha, Coluna e Combinação" sheetId="84" r:id="rId75"/>
    <sheet name="Gráf. Vendas Região (Treemap)" sheetId="115" r:id="rId76"/>
    <sheet name="Gráf. Diagrama de Pareto" sheetId="119" state="hidden" r:id="rId77"/>
    <sheet name="Desafio Gráficos" sheetId="85" r:id="rId78"/>
    <sheet name="Painel Desafio Gráficos" sheetId="97" r:id="rId79"/>
    <sheet name="CAP 11 - CLASSIFICAÇÃO E FILTRO" sheetId="52" r:id="rId80"/>
    <sheet name="Classificar e Filtrar Básico" sheetId="30" r:id="rId81"/>
    <sheet name="Filtro de dados por cor" sheetId="89" r:id="rId82"/>
    <sheet name="Classificação Personalizada" sheetId="121" r:id="rId83"/>
    <sheet name="CAP 12 - IMPRESSÃO" sheetId="54" r:id="rId84"/>
    <sheet name="Configuração de Página" sheetId="90" r:id="rId85"/>
    <sheet name="Quebras" sheetId="129" r:id="rId86"/>
    <sheet name="Imprimir Títulos" sheetId="130" r:id="rId87"/>
    <sheet name="Modos de Exibição" sheetId="91" r:id="rId88"/>
    <sheet name="Congelar Painéis" sheetId="92" r:id="rId89"/>
  </sheets>
  <externalReferences>
    <externalReference r:id="rId90"/>
    <externalReference r:id="rId91"/>
    <externalReference r:id="rId92"/>
    <externalReference r:id="rId93"/>
    <externalReference r:id="rId94"/>
    <externalReference r:id="rId95"/>
    <externalReference r:id="rId96"/>
  </externalReferences>
  <definedNames>
    <definedName name="_xlnm._FilterDatabase" localSheetId="82" hidden="1">'Classificação Personalizada'!$B$4:$E$24</definedName>
    <definedName name="_xlnm._FilterDatabase" localSheetId="80" hidden="1">'Classificar e Filtrar Básico'!$L$2:$P$2</definedName>
    <definedName name="_xlnm._FilterDatabase" localSheetId="81" hidden="1">'Filtro de dados por cor'!$B$4:$E$24</definedName>
    <definedName name="_xlnm._FilterDatabase" localSheetId="7" hidden="1">'Grupo Células'!$C$1:$H$30</definedName>
    <definedName name="_xlnm._FilterDatabase" localSheetId="8" hidden="1">'Grupo Edição'!$J$3:$N$25</definedName>
    <definedName name="_xlnm._FilterDatabase" localSheetId="17" hidden="1">[1]Basics!$P$9:$Q$10</definedName>
    <definedName name="_xlnm._FilterDatabase" localSheetId="9" hidden="1">'Preenchimento Relâmpago'!#REF!</definedName>
    <definedName name="_mm250">[2]Analise!$A$1</definedName>
    <definedName name="_xlchart.v1.0" hidden="1">'Gráf. Vendas Região (Treemap)'!$B$4:$C$12</definedName>
    <definedName name="_xlchart.v1.1" hidden="1">'Gráf. Vendas Região (Treemap)'!$D$2:$D$3</definedName>
    <definedName name="_xlchart.v1.2" hidden="1">'Gráf. Vendas Região (Treemap)'!$D$4:$D$12</definedName>
    <definedName name="a" localSheetId="45" hidden="1">{"azul",#N/A,FALSE,"geral";"verde",#N/A,FALSE,"geral";"vermelho",#N/A,FALSE,"geral"}</definedName>
    <definedName name="a" hidden="1">{"azul",#N/A,FALSE,"geral";"verde",#N/A,FALSE,"geral";"vermelho",#N/A,FALSE,"geral"}</definedName>
    <definedName name="aa" localSheetId="45" hidden="1">{"Normal","receita baixa",TRUE,"CENÁRIO ATUAL";"Linhas de Totais","despesa alta",TRUE,"CENÁRIO ATUAL";"Primeiros Meses","despesa baixa",TRUE,"CENÁRIO ATUAL";"Últimos Meses","receita alta",TRUE,"CENÁRIO ATUAL"}</definedName>
    <definedName name="aa" hidden="1">{"Normal","receita baixa",TRUE,"CENÁRIO ATUAL";"Linhas de Totais","despesa alta",TRUE,"CENÁRIO ATUAL";"Primeiros Meses","despesa baixa",TRUE,"CENÁRIO ATUAL";"Últimos Meses","receita alta",TRUE,"CENÁRIO ATUAL"}</definedName>
    <definedName name="aaa" localSheetId="45" hidden="1">{"azul",#N/A,FALSE,"geral";"verde",#N/A,FALSE,"geral";"vermelho",#N/A,FALSE,"geral"}</definedName>
    <definedName name="aaa" hidden="1">{"azul",#N/A,FALSE,"geral";"verde",#N/A,FALSE,"geral";"vermelho",#N/A,FALSE,"geral"}</definedName>
    <definedName name="aaaa" localSheetId="64" hidden="1">#REF!</definedName>
    <definedName name="aaaa" localSheetId="59" hidden="1">#REF!</definedName>
    <definedName name="aaaa" localSheetId="58" hidden="1">#REF!</definedName>
    <definedName name="aaaa" localSheetId="88" hidden="1">#REF!</definedName>
    <definedName name="aaaa" localSheetId="45" hidden="1">#REF!</definedName>
    <definedName name="aaaa" localSheetId="54" hidden="1">#REF!</definedName>
    <definedName name="aaaa" localSheetId="0" hidden="1">#REF!</definedName>
    <definedName name="aaaa" localSheetId="40" hidden="1">#REF!</definedName>
    <definedName name="aaaa" localSheetId="41" hidden="1">#REF!</definedName>
    <definedName name="aaaa" localSheetId="86" hidden="1">#REF!</definedName>
    <definedName name="aaaa" localSheetId="87" hidden="1">#REF!</definedName>
    <definedName name="aaaa" localSheetId="37" hidden="1">#REF!</definedName>
    <definedName name="aaaa" localSheetId="36" hidden="1">#REF!</definedName>
    <definedName name="aaaa" localSheetId="52" hidden="1">#REF!</definedName>
    <definedName name="aaaa" localSheetId="85" hidden="1">#REF!</definedName>
    <definedName name="aaaa" localSheetId="12" hidden="1">#REF!</definedName>
    <definedName name="aaaa" localSheetId="26" hidden="1">#REF!</definedName>
    <definedName name="aaaa" hidden="1">#REF!</definedName>
    <definedName name="anscount" hidden="1">1</definedName>
    <definedName name="_xlnm.Print_Area" localSheetId="2">'CAP 01 - FORMATAÇÃO DE DADOS'!$A$1:$Z$56</definedName>
    <definedName name="_xlnm.Print_Area" localSheetId="14">'Enunciado Desafio - CAP 02'!$A$1:$Q$24</definedName>
    <definedName name="aumento">'[3]PAGAMENTO FOLHA'!$D$12:$F$16</definedName>
    <definedName name="b" localSheetId="45" hidden="1">{"azul",#N/A,FALSE,"geral";"verde",#N/A,FALSE,"geral";"vermelho",#N/A,FALSE,"geral"}</definedName>
    <definedName name="b" hidden="1">{"azul",#N/A,FALSE,"geral";"verde",#N/A,FALSE,"geral";"vermelho",#N/A,FALSE,"geral"}</definedName>
    <definedName name="ba" localSheetId="45" hidden="1">{"azul",#N/A,FALSE,"geral";"verde",#N/A,FALSE,"geral";"vermelho",#N/A,FALSE,"geral"}</definedName>
    <definedName name="ba" hidden="1">{"azul",#N/A,FALSE,"geral";"verde",#N/A,FALSE,"geral";"vermelho",#N/A,FALSE,"geral"}</definedName>
    <definedName name="Bananas">[4]!tbl_TipoDeFruta6[Bananas]</definedName>
    <definedName name="BBB" localSheetId="45" hidden="1">{"Integral",#N/A,FALSE,"Plan1"}</definedName>
    <definedName name="BBB" hidden="1">{"Integral",#N/A,FALSE,"Plan1"}</definedName>
    <definedName name="cargos">[3]cargos!$A$11:$C$17</definedName>
    <definedName name="Carlos" localSheetId="64">#REF!</definedName>
    <definedName name="Carlos" localSheetId="59">#REF!</definedName>
    <definedName name="Carlos" localSheetId="58">#REF!</definedName>
    <definedName name="Carlos" localSheetId="88">#REF!</definedName>
    <definedName name="Carlos" localSheetId="45">#REF!</definedName>
    <definedName name="Carlos" localSheetId="54">#REF!</definedName>
    <definedName name="Carlos" localSheetId="0">#REF!</definedName>
    <definedName name="Carlos" localSheetId="40">#REF!</definedName>
    <definedName name="Carlos" localSheetId="41">#REF!</definedName>
    <definedName name="Carlos" localSheetId="86">#REF!</definedName>
    <definedName name="Carlos" localSheetId="87">#REF!</definedName>
    <definedName name="Carlos" localSheetId="37">#REF!</definedName>
    <definedName name="Carlos" localSheetId="36">#REF!</definedName>
    <definedName name="Carlos" localSheetId="52">#REF!</definedName>
    <definedName name="Carlos" localSheetId="85">#REF!</definedName>
    <definedName name="Carlos" localSheetId="12">#REF!</definedName>
    <definedName name="Carlos" localSheetId="26">#REF!</definedName>
    <definedName name="Carlos">#REF!</definedName>
    <definedName name="comissão">[3]MAGAZINE!$E$11:$G$16</definedName>
    <definedName name="Compras">[3]solicitação!$F$6:$H$23</definedName>
    <definedName name="conf" localSheetId="45" hidden="1">{"azul",#N/A,FALSE,"geral";"verde",#N/A,FALSE,"geral";"vermelho",#N/A,FALSE,"geral"}</definedName>
    <definedName name="conf" hidden="1">{"azul",#N/A,FALSE,"geral";"verde",#N/A,FALSE,"geral";"vermelho",#N/A,FALSE,"geral"}</definedName>
    <definedName name="conf1" localSheetId="45" hidden="1">{"azul",#N/A,FALSE,"geral";"verde",#N/A,FALSE,"geral";"vermelho",#N/A,FALSE,"geral"}</definedName>
    <definedName name="conf1" hidden="1">{"azul",#N/A,FALSE,"geral";"verde",#N/A,FALSE,"geral";"vermelho",#N/A,FALSE,"geral"}</definedName>
    <definedName name="d" localSheetId="45" hidden="1">{"azul",#N/A,FALSE,"geral";"verde",#N/A,FALSE,"geral";"vermelho",#N/A,FALSE,"geral"}</definedName>
    <definedName name="d" hidden="1">{"azul",#N/A,FALSE,"geral";"verde",#N/A,FALSE,"geral";"vermelho",#N/A,FALSE,"geral"}</definedName>
    <definedName name="da" localSheetId="45" hidden="1">{"azul",#N/A,FALSE,"geral";"verde",#N/A,FALSE,"geral";"vermelho",#N/A,FALSE,"geral"}</definedName>
    <definedName name="da" hidden="1">{"azul",#N/A,FALSE,"geral";"verde",#N/A,FALSE,"geral";"vermelho",#N/A,FALSE,"geral"}</definedName>
    <definedName name="ddd" localSheetId="45" hidden="1">{"azul",#N/A,FALSE,"geral";"verde",#N/A,FALSE,"geral";"vermelho",#N/A,FALSE,"geral"}</definedName>
    <definedName name="ddd" hidden="1">{"azul",#N/A,FALSE,"geral";"verde",#N/A,FALSE,"geral";"vermelho",#N/A,FALSE,"geral"}</definedName>
    <definedName name="DFDFD" localSheetId="45" hidden="1">{#N/A,"Médio",TRUE,"Plan30";"3º Trimestre Geral",#N/A,TRUE,"1º Trimestre"}</definedName>
    <definedName name="DFDFD" hidden="1">{#N/A,"Médio",TRUE,"Plan30";"3º Trimestre Geral",#N/A,TRUE,"1º Trimestre"}</definedName>
    <definedName name="e" localSheetId="45" hidden="1">{"azul",#N/A,FALSE,"geral";"verde",#N/A,FALSE,"geral";"vermelho",#N/A,FALSE,"geral"}</definedName>
    <definedName name="e" hidden="1">{"azul",#N/A,FALSE,"geral";"verde",#N/A,FALSE,"geral";"vermelho",#N/A,FALSE,"geral"}</definedName>
    <definedName name="ea" localSheetId="45" hidden="1">{"azul",#N/A,FALSE,"geral";"verde",#N/A,FALSE,"geral";"vermelho",#N/A,FALSE,"geral"}</definedName>
    <definedName name="ea" hidden="1">{"azul",#N/A,FALSE,"geral";"verde",#N/A,FALSE,"geral";"vermelho",#N/A,FALSE,"geral"}</definedName>
    <definedName name="EXER" localSheetId="45" hidden="1">{"azul",#N/A,FALSE,"geral";"verde",#N/A,FALSE,"geral";"vermelho",#N/A,FALSE,"geral"}</definedName>
    <definedName name="EXER" hidden="1">{"azul",#N/A,FALSE,"geral";"verde",#N/A,FALSE,"geral";"vermelho",#N/A,FALSE,"geral"}</definedName>
    <definedName name="exercicio2" localSheetId="45" hidden="1">{"azul",#N/A,FALSE,"geral";"verde",#N/A,FALSE,"geral";"vermelho",#N/A,FALSE,"geral"}</definedName>
    <definedName name="exercicio2" hidden="1">{"azul",#N/A,FALSE,"geral";"verde",#N/A,FALSE,"geral";"vermelho",#N/A,FALSE,"geral"}</definedName>
    <definedName name="fgsfdgsdf45" localSheetId="64" hidden="1">#REF!</definedName>
    <definedName name="fgsfdgsdf45" localSheetId="59" hidden="1">#REF!</definedName>
    <definedName name="fgsfdgsdf45" localSheetId="58" hidden="1">#REF!</definedName>
    <definedName name="fgsfdgsdf45" localSheetId="88" hidden="1">#REF!</definedName>
    <definedName name="fgsfdgsdf45" localSheetId="45" hidden="1">#REF!</definedName>
    <definedName name="fgsfdgsdf45" localSheetId="54" hidden="1">#REF!</definedName>
    <definedName name="fgsfdgsdf45" localSheetId="0" hidden="1">#REF!</definedName>
    <definedName name="fgsfdgsdf45" localSheetId="40" hidden="1">#REF!</definedName>
    <definedName name="fgsfdgsdf45" localSheetId="41" hidden="1">#REF!</definedName>
    <definedName name="fgsfdgsdf45" localSheetId="86" hidden="1">#REF!</definedName>
    <definedName name="fgsfdgsdf45" localSheetId="87" hidden="1">#REF!</definedName>
    <definedName name="fgsfdgsdf45" localSheetId="37" hidden="1">#REF!</definedName>
    <definedName name="fgsfdgsdf45" localSheetId="36" hidden="1">#REF!</definedName>
    <definedName name="fgsfdgsdf45" localSheetId="52" hidden="1">#REF!</definedName>
    <definedName name="fgsfdgsdf45" localSheetId="85" hidden="1">#REF!</definedName>
    <definedName name="fgsfdgsdf45" localSheetId="12" hidden="1">#REF!</definedName>
    <definedName name="fgsfdgsdf45" localSheetId="26" hidden="1">#REF!</definedName>
    <definedName name="fgsfdgsdf45" hidden="1">#REF!</definedName>
    <definedName name="g" localSheetId="45" hidden="1">{"normal","argentina",FALSE,"cenários e solver";#N/A,#N/A,FALSE,"banco de dados"}</definedName>
    <definedName name="g" hidden="1">{"normal","argentina",FALSE,"cenários e solver";#N/A,#N/A,FALSE,"banco de dados"}</definedName>
    <definedName name="gggg" localSheetId="45" hidden="1">{"azul",#N/A,FALSE,"geral";"verde",#N/A,FALSE,"geral";"vermelho",#N/A,FALSE,"geral"}</definedName>
    <definedName name="gggg" hidden="1">{"azul",#N/A,FALSE,"geral";"verde",#N/A,FALSE,"geral";"vermelho",#N/A,FALSE,"geral"}</definedName>
    <definedName name="grafMes">OFFSET([5]CP7!$B$7, 0, 0, COUNT([5]CP7!$B:$B), 1)</definedName>
    <definedName name="grafReceita">OFFSET([5]CP7!$C$7, 0, 0, COUNT([5]CP7!$C:$C), 1)</definedName>
    <definedName name="grp_GuieMeChave">"shp_BraceBottom,txt_WalkMeBrace,shp_BraceLeft"</definedName>
    <definedName name="grp_GuieMeSetas">"shp_ArrowCurved,txt_WalkMeArrows,shp_ArrowStraight"</definedName>
    <definedName name="HTML_CodePage" hidden="1">1252</definedName>
    <definedName name="HTML_Control" hidden="1">{"'Plan3'!$A$1:$F$20"}</definedName>
    <definedName name="HTML_Description" hidden="1">""</definedName>
    <definedName name="HTML_Email" hidden="1">""</definedName>
    <definedName name="HTML_Header" hidden="1">"Página da Web"</definedName>
    <definedName name="HTML_LastUpdate" hidden="1">"09/07/2003"</definedName>
    <definedName name="HTML_LineAfter" hidden="1">TRUE</definedName>
    <definedName name="HTML_LineBefore" hidden="1">TRUE</definedName>
    <definedName name="HTML_Name" hidden="1">"André"</definedName>
    <definedName name="HTML_OBDlg2" hidden="1">TRUE</definedName>
    <definedName name="HTML_OBDlg4" hidden="1">TRUE</definedName>
    <definedName name="HTML_OS" hidden="1">0</definedName>
    <definedName name="HTML_PathFile" hidden="1">"C:\WINNT\Profiles\Bradesco\Desktop\Andre\MeuHTML.htm"</definedName>
    <definedName name="HTML_Title" hidden="1">"Bradesco Seguros"</definedName>
    <definedName name="Icms">'[6]Anexo 1'!$L$33:$L$35</definedName>
    <definedName name="Imposto_sobre_vendas">0.0825</definedName>
    <definedName name="jhlkjo" localSheetId="45" hidden="1">{"azul",#N/A,FALSE,"geral";"verde",#N/A,FALSE,"geral";"vermelho",#N/A,FALSE,"geral"}</definedName>
    <definedName name="jhlkjo" hidden="1">{"azul",#N/A,FALSE,"geral";"verde",#N/A,FALSE,"geral";"vermelho",#N/A,FALSE,"geral"}</definedName>
    <definedName name="Laranjas">[4]!tbl_TipoDeFruta4[Laranjas]</definedName>
    <definedName name="limcount" hidden="1">1</definedName>
    <definedName name="Limões">[4]!tbl_TipoDeFruta5[Limões]</definedName>
    <definedName name="LOCAL_MYSQL_DATE_FORMAT" localSheetId="6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st_Fruta">[4]!tbl_Fruta[Fruta]</definedName>
    <definedName name="lst_TipoDeFruta">[4]!tbl_TipoDeFruta[Maçãs]</definedName>
    <definedName name="Maçãs">[4]!tbl_TipoDeFruta[Maçãs]</definedName>
    <definedName name="pagamento" localSheetId="64">[7]Pesquisa!#REF!</definedName>
    <definedName name="pagamento" localSheetId="59">[7]Pesquisa!#REF!</definedName>
    <definedName name="pagamento" localSheetId="58">[7]Pesquisa!#REF!</definedName>
    <definedName name="pagamento" localSheetId="88">[7]Pesquisa!#REF!</definedName>
    <definedName name="pagamento" localSheetId="45">[7]Pesquisa!#REF!</definedName>
    <definedName name="pagamento" localSheetId="54">[7]Pesquisa!#REF!</definedName>
    <definedName name="pagamento" localSheetId="0">[7]Pesquisa!#REF!</definedName>
    <definedName name="pagamento" localSheetId="40">[7]Pesquisa!#REF!</definedName>
    <definedName name="pagamento" localSheetId="41">[7]Pesquisa!#REF!</definedName>
    <definedName name="pagamento" localSheetId="86">[7]Pesquisa!#REF!</definedName>
    <definedName name="pagamento" localSheetId="87">[7]Pesquisa!#REF!</definedName>
    <definedName name="pagamento" localSheetId="37">[7]Pesquisa!#REF!</definedName>
    <definedName name="pagamento" localSheetId="36">[7]Pesquisa!#REF!</definedName>
    <definedName name="pagamento" localSheetId="52">[7]Pesquisa!#REF!</definedName>
    <definedName name="pagamento" localSheetId="85">[7]Pesquisa!#REF!</definedName>
    <definedName name="pagamento" localSheetId="12">[7]Pesquisa!#REF!</definedName>
    <definedName name="pagamento" localSheetId="26">[7]Pesquisa!#REF!</definedName>
    <definedName name="pagamento">[7]Pesquisa!#REF!</definedName>
    <definedName name="qaa" localSheetId="64" hidden="1">número</definedName>
    <definedName name="qaa" localSheetId="59" hidden="1">número</definedName>
    <definedName name="qaa" localSheetId="58" hidden="1">número</definedName>
    <definedName name="qaa" localSheetId="88" hidden="1">número</definedName>
    <definedName name="qaa" localSheetId="45" hidden="1">número</definedName>
    <definedName name="qaa" localSheetId="54" hidden="1">número</definedName>
    <definedName name="qaa" localSheetId="0" hidden="1">número</definedName>
    <definedName name="qaa" localSheetId="40" hidden="1">número</definedName>
    <definedName name="qaa" localSheetId="73" hidden="1">número</definedName>
    <definedName name="qaa" localSheetId="41" hidden="1">número</definedName>
    <definedName name="qaa" localSheetId="86" hidden="1">número</definedName>
    <definedName name="qaa" localSheetId="87" hidden="1">número</definedName>
    <definedName name="qaa" localSheetId="37" hidden="1">número</definedName>
    <definedName name="qaa" localSheetId="36" hidden="1">número</definedName>
    <definedName name="qaa" localSheetId="52" hidden="1">número</definedName>
    <definedName name="qaa" localSheetId="85" hidden="1">número</definedName>
    <definedName name="qaa" localSheetId="12" hidden="1">número</definedName>
    <definedName name="qaa" localSheetId="26" hidden="1">número</definedName>
    <definedName name="qaa" hidden="1">número</definedName>
    <definedName name="Remessa">1.25</definedName>
    <definedName name="Resumo" localSheetId="45" hidden="1">{"azul",#N/A,FALSE,"geral";"verde",#N/A,FALSE,"geral";"vermelho",#N/A,FALSE,"geral"}</definedName>
    <definedName name="Resumo" hidden="1">{"azul",#N/A,FALSE,"geral";"verde",#N/A,FALSE,"geral";"vermelho",#N/A,FALSE,"geral"}</definedName>
    <definedName name="resumoa" localSheetId="45" hidden="1">{"azul",#N/A,FALSE,"geral";"verde",#N/A,FALSE,"geral";"vermelho",#N/A,FALSE,"geral"}</definedName>
    <definedName name="resumoa" hidden="1">{"azul",#N/A,FALSE,"geral";"verde",#N/A,FALSE,"geral";"vermelho",#N/A,FALSE,"geral"}</definedName>
    <definedName name="sadfsa" localSheetId="64" hidden="1">#REF!</definedName>
    <definedName name="sadfsa" localSheetId="59" hidden="1">#REF!</definedName>
    <definedName name="sadfsa" localSheetId="58" hidden="1">#REF!</definedName>
    <definedName name="sadfsa" localSheetId="88" hidden="1">#REF!</definedName>
    <definedName name="sadfsa" localSheetId="45" hidden="1">#REF!</definedName>
    <definedName name="sadfsa" localSheetId="54" hidden="1">#REF!</definedName>
    <definedName name="sadfsa" localSheetId="0" hidden="1">#REF!</definedName>
    <definedName name="sadfsa" localSheetId="40" hidden="1">#REF!</definedName>
    <definedName name="sadfsa" localSheetId="41" hidden="1">#REF!</definedName>
    <definedName name="sadfsa" localSheetId="86" hidden="1">#REF!</definedName>
    <definedName name="sadfsa" localSheetId="87" hidden="1">#REF!</definedName>
    <definedName name="sadfsa" localSheetId="37" hidden="1">#REF!</definedName>
    <definedName name="sadfsa" localSheetId="36" hidden="1">#REF!</definedName>
    <definedName name="sadfsa" localSheetId="52" hidden="1">#REF!</definedName>
    <definedName name="sadfsa" localSheetId="85" hidden="1">#REF!</definedName>
    <definedName name="sadfsa" localSheetId="12" hidden="1">#REF!</definedName>
    <definedName name="sadfsa" localSheetId="26" hidden="1">#REF!</definedName>
    <definedName name="sadfsa" hidden="1">#REF!</definedName>
    <definedName name="safdsf" localSheetId="64" hidden="1">#REF!</definedName>
    <definedName name="safdsf" localSheetId="59" hidden="1">#REF!</definedName>
    <definedName name="safdsf" localSheetId="58" hidden="1">#REF!</definedName>
    <definedName name="safdsf" localSheetId="88" hidden="1">#REF!</definedName>
    <definedName name="safdsf" localSheetId="45" hidden="1">#REF!</definedName>
    <definedName name="safdsf" localSheetId="54" hidden="1">#REF!</definedName>
    <definedName name="safdsf" localSheetId="0" hidden="1">#REF!</definedName>
    <definedName name="safdsf" localSheetId="40" hidden="1">#REF!</definedName>
    <definedName name="safdsf" localSheetId="41" hidden="1">#REF!</definedName>
    <definedName name="safdsf" localSheetId="86" hidden="1">#REF!</definedName>
    <definedName name="safdsf" localSheetId="87" hidden="1">#REF!</definedName>
    <definedName name="safdsf" localSheetId="37" hidden="1">#REF!</definedName>
    <definedName name="safdsf" localSheetId="36" hidden="1">#REF!</definedName>
    <definedName name="safdsf" localSheetId="52" hidden="1">#REF!</definedName>
    <definedName name="safdsf" localSheetId="85" hidden="1">#REF!</definedName>
    <definedName name="safdsf" localSheetId="12" hidden="1">#REF!</definedName>
    <definedName name="safdsf" localSheetId="26" hidden="1">#REF!</definedName>
    <definedName name="safdsf" hidden="1">#REF!</definedName>
    <definedName name="sdafasfsadf" localSheetId="45" hidden="1">{"azul",#N/A,FALSE,"geral";"verde",#N/A,FALSE,"geral";"vermelho",#N/A,FALSE,"geral"}</definedName>
    <definedName name="sdafasfsadf" hidden="1">{"azul",#N/A,FALSE,"geral";"verde",#N/A,FALSE,"geral";"vermelho",#N/A,FALSE,"geral"}</definedName>
    <definedName name="sdddd" localSheetId="45" hidden="1">{"azul",#N/A,FALSE,"geral";"verde",#N/A,FALSE,"geral";"vermelho",#N/A,FALSE,"geral"}</definedName>
    <definedName name="sdddd" hidden="1">{"azul",#N/A,FALSE,"geral";"verde",#N/A,FALSE,"geral";"vermelho",#N/A,FALSE,"geral"}</definedName>
    <definedName name="SegmentaçãodeDados_Consultor">#N/A</definedName>
    <definedName name="SegmentaçãodeDados_Data_da_Venda">#N/A</definedName>
    <definedName name="SegmentaçãodeDados_Data_de_entrada">#N/A</definedName>
    <definedName name="SegmentaçãodeDados_Filial">#N/A</definedName>
    <definedName name="SegmentaçãodeDados_Mês">#N/A</definedName>
    <definedName name="SegmentaçãodeDados_Período">#N/A</definedName>
    <definedName name="SegmentaçãodeDados_Produto">#N/A</definedName>
    <definedName name="SegmentaçãodeDados_Vendedor">#N/A</definedName>
    <definedName name="SemanaTerminando" localSheetId="80">'Classificar e Filtrar Básico'!$M$7</definedName>
    <definedName name="SemanaTerminando" localSheetId="7">'Grupo Células'!$E$6</definedName>
    <definedName name="SemanaTerminando" localSheetId="8">'Grupo Edição'!$L$8</definedName>
    <definedName name="SemanaTerminando" localSheetId="9">'Preenchimento Relâmpago'!#REF!</definedName>
    <definedName name="SemanaTerminando">'Fonte, Alinhamento e Número'!$C$6</definedName>
    <definedName name="sencount" hidden="1">1</definedName>
    <definedName name="solver_lhs0" localSheetId="64" hidden="1">#REF!</definedName>
    <definedName name="solver_lhs0" localSheetId="59" hidden="1">#REF!</definedName>
    <definedName name="solver_lhs0" localSheetId="58" hidden="1">#REF!</definedName>
    <definedName name="solver_lhs0" localSheetId="88" hidden="1">#REF!</definedName>
    <definedName name="solver_lhs0" localSheetId="45" hidden="1">#REF!</definedName>
    <definedName name="solver_lhs0" localSheetId="54" hidden="1">#REF!</definedName>
    <definedName name="solver_lhs0" localSheetId="0" hidden="1">#REF!</definedName>
    <definedName name="solver_lhs0" localSheetId="40" hidden="1">#REF!</definedName>
    <definedName name="solver_lhs0" localSheetId="41" hidden="1">#REF!</definedName>
    <definedName name="solver_lhs0" localSheetId="86" hidden="1">#REF!</definedName>
    <definedName name="solver_lhs0" localSheetId="87" hidden="1">#REF!</definedName>
    <definedName name="solver_lhs0" localSheetId="37" hidden="1">#REF!</definedName>
    <definedName name="solver_lhs0" localSheetId="36" hidden="1">#REF!</definedName>
    <definedName name="solver_lhs0" localSheetId="52" hidden="1">#REF!</definedName>
    <definedName name="solver_lhs0" localSheetId="85" hidden="1">#REF!</definedName>
    <definedName name="solver_lhs0" localSheetId="12" hidden="1">#REF!</definedName>
    <definedName name="solver_lhs0" localSheetId="26" hidden="1">#REF!</definedName>
    <definedName name="solver_lhs0" hidden="1">#REF!</definedName>
    <definedName name="solver_lhs10" localSheetId="64" hidden="1">#REF!</definedName>
    <definedName name="solver_lhs10" localSheetId="59" hidden="1">#REF!</definedName>
    <definedName name="solver_lhs10" localSheetId="58" hidden="1">#REF!</definedName>
    <definedName name="solver_lhs10" localSheetId="88" hidden="1">#REF!</definedName>
    <definedName name="solver_lhs10" localSheetId="45" hidden="1">#REF!</definedName>
    <definedName name="solver_lhs10" localSheetId="54" hidden="1">#REF!</definedName>
    <definedName name="solver_lhs10" localSheetId="0" hidden="1">#REF!</definedName>
    <definedName name="solver_lhs10" localSheetId="40" hidden="1">#REF!</definedName>
    <definedName name="solver_lhs10" localSheetId="41" hidden="1">#REF!</definedName>
    <definedName name="solver_lhs10" localSheetId="86" hidden="1">#REF!</definedName>
    <definedName name="solver_lhs10" localSheetId="87" hidden="1">#REF!</definedName>
    <definedName name="solver_lhs10" localSheetId="37" hidden="1">#REF!</definedName>
    <definedName name="solver_lhs10" localSheetId="36" hidden="1">#REF!</definedName>
    <definedName name="solver_lhs10" localSheetId="52" hidden="1">#REF!</definedName>
    <definedName name="solver_lhs10" localSheetId="85" hidden="1">#REF!</definedName>
    <definedName name="solver_lhs10" localSheetId="12" hidden="1">#REF!</definedName>
    <definedName name="solver_lhs10" localSheetId="26" hidden="1">#REF!</definedName>
    <definedName name="solver_lhs10" hidden="1">#REF!</definedName>
    <definedName name="solver_lhs11" localSheetId="64" hidden="1">#REF!</definedName>
    <definedName name="solver_lhs11" localSheetId="59" hidden="1">#REF!</definedName>
    <definedName name="solver_lhs11" localSheetId="58" hidden="1">#REF!</definedName>
    <definedName name="solver_lhs11" localSheetId="88" hidden="1">#REF!</definedName>
    <definedName name="solver_lhs11" localSheetId="45" hidden="1">#REF!</definedName>
    <definedName name="solver_lhs11" localSheetId="54" hidden="1">#REF!</definedName>
    <definedName name="solver_lhs11" localSheetId="0" hidden="1">#REF!</definedName>
    <definedName name="solver_lhs11" localSheetId="40" hidden="1">#REF!</definedName>
    <definedName name="solver_lhs11" localSheetId="41" hidden="1">#REF!</definedName>
    <definedName name="solver_lhs11" localSheetId="86" hidden="1">#REF!</definedName>
    <definedName name="solver_lhs11" localSheetId="87" hidden="1">#REF!</definedName>
    <definedName name="solver_lhs11" localSheetId="37" hidden="1">#REF!</definedName>
    <definedName name="solver_lhs11" localSheetId="36" hidden="1">#REF!</definedName>
    <definedName name="solver_lhs11" localSheetId="52" hidden="1">#REF!</definedName>
    <definedName name="solver_lhs11" localSheetId="85" hidden="1">#REF!</definedName>
    <definedName name="solver_lhs11" localSheetId="12" hidden="1">#REF!</definedName>
    <definedName name="solver_lhs11" localSheetId="26" hidden="1">#REF!</definedName>
    <definedName name="solver_lhs11" hidden="1">#REF!</definedName>
    <definedName name="solver_lhs12" localSheetId="64" hidden="1">#REF!</definedName>
    <definedName name="solver_lhs12" localSheetId="59" hidden="1">#REF!</definedName>
    <definedName name="solver_lhs12" localSheetId="58" hidden="1">#REF!</definedName>
    <definedName name="solver_lhs12" localSheetId="88" hidden="1">#REF!</definedName>
    <definedName name="solver_lhs12" localSheetId="45" hidden="1">#REF!</definedName>
    <definedName name="solver_lhs12" localSheetId="54" hidden="1">#REF!</definedName>
    <definedName name="solver_lhs12" localSheetId="0" hidden="1">#REF!</definedName>
    <definedName name="solver_lhs12" localSheetId="40" hidden="1">#REF!</definedName>
    <definedName name="solver_lhs12" localSheetId="41" hidden="1">#REF!</definedName>
    <definedName name="solver_lhs12" localSheetId="86" hidden="1">#REF!</definedName>
    <definedName name="solver_lhs12" localSheetId="87" hidden="1">#REF!</definedName>
    <definedName name="solver_lhs12" localSheetId="37" hidden="1">#REF!</definedName>
    <definedName name="solver_lhs12" localSheetId="36" hidden="1">#REF!</definedName>
    <definedName name="solver_lhs12" localSheetId="52" hidden="1">#REF!</definedName>
    <definedName name="solver_lhs12" localSheetId="85" hidden="1">#REF!</definedName>
    <definedName name="solver_lhs12" localSheetId="12" hidden="1">#REF!</definedName>
    <definedName name="solver_lhs12" localSheetId="26" hidden="1">#REF!</definedName>
    <definedName name="solver_lhs12" hidden="1">#REF!</definedName>
    <definedName name="solver_lhs7" localSheetId="64" hidden="1">#REF!</definedName>
    <definedName name="solver_lhs7" localSheetId="59" hidden="1">#REF!</definedName>
    <definedName name="solver_lhs7" localSheetId="58" hidden="1">#REF!</definedName>
    <definedName name="solver_lhs7" localSheetId="88" hidden="1">#REF!</definedName>
    <definedName name="solver_lhs7" localSheetId="45" hidden="1">#REF!</definedName>
    <definedName name="solver_lhs7" localSheetId="54" hidden="1">#REF!</definedName>
    <definedName name="solver_lhs7" localSheetId="0" hidden="1">#REF!</definedName>
    <definedName name="solver_lhs7" localSheetId="40" hidden="1">#REF!</definedName>
    <definedName name="solver_lhs7" localSheetId="41" hidden="1">#REF!</definedName>
    <definedName name="solver_lhs7" localSheetId="86" hidden="1">#REF!</definedName>
    <definedName name="solver_lhs7" localSheetId="87" hidden="1">#REF!</definedName>
    <definedName name="solver_lhs7" localSheetId="37" hidden="1">#REF!</definedName>
    <definedName name="solver_lhs7" localSheetId="36" hidden="1">#REF!</definedName>
    <definedName name="solver_lhs7" localSheetId="52" hidden="1">#REF!</definedName>
    <definedName name="solver_lhs7" localSheetId="85" hidden="1">#REF!</definedName>
    <definedName name="solver_lhs7" localSheetId="12" hidden="1">#REF!</definedName>
    <definedName name="solver_lhs7" localSheetId="26" hidden="1">#REF!</definedName>
    <definedName name="solver_lhs7" hidden="1">#REF!</definedName>
    <definedName name="solver_lhs8" localSheetId="64" hidden="1">#REF!</definedName>
    <definedName name="solver_lhs8" localSheetId="59" hidden="1">#REF!</definedName>
    <definedName name="solver_lhs8" localSheetId="58" hidden="1">#REF!</definedName>
    <definedName name="solver_lhs8" localSheetId="88" hidden="1">#REF!</definedName>
    <definedName name="solver_lhs8" localSheetId="45" hidden="1">#REF!</definedName>
    <definedName name="solver_lhs8" localSheetId="54" hidden="1">#REF!</definedName>
    <definedName name="solver_lhs8" localSheetId="0" hidden="1">#REF!</definedName>
    <definedName name="solver_lhs8" localSheetId="40" hidden="1">#REF!</definedName>
    <definedName name="solver_lhs8" localSheetId="41" hidden="1">#REF!</definedName>
    <definedName name="solver_lhs8" localSheetId="86" hidden="1">#REF!</definedName>
    <definedName name="solver_lhs8" localSheetId="87" hidden="1">#REF!</definedName>
    <definedName name="solver_lhs8" localSheetId="37" hidden="1">#REF!</definedName>
    <definedName name="solver_lhs8" localSheetId="36" hidden="1">#REF!</definedName>
    <definedName name="solver_lhs8" localSheetId="52" hidden="1">#REF!</definedName>
    <definedName name="solver_lhs8" localSheetId="85" hidden="1">#REF!</definedName>
    <definedName name="solver_lhs8" localSheetId="12" hidden="1">#REF!</definedName>
    <definedName name="solver_lhs8" localSheetId="26" hidden="1">#REF!</definedName>
    <definedName name="solver_lhs8" hidden="1">#REF!</definedName>
    <definedName name="solver_lhs9" localSheetId="64" hidden="1">#REF!</definedName>
    <definedName name="solver_lhs9" localSheetId="59" hidden="1">#REF!</definedName>
    <definedName name="solver_lhs9" localSheetId="58" hidden="1">#REF!</definedName>
    <definedName name="solver_lhs9" localSheetId="88" hidden="1">#REF!</definedName>
    <definedName name="solver_lhs9" localSheetId="45" hidden="1">#REF!</definedName>
    <definedName name="solver_lhs9" localSheetId="54" hidden="1">#REF!</definedName>
    <definedName name="solver_lhs9" localSheetId="0" hidden="1">#REF!</definedName>
    <definedName name="solver_lhs9" localSheetId="40" hidden="1">#REF!</definedName>
    <definedName name="solver_lhs9" localSheetId="41" hidden="1">#REF!</definedName>
    <definedName name="solver_lhs9" localSheetId="86" hidden="1">#REF!</definedName>
    <definedName name="solver_lhs9" localSheetId="87" hidden="1">#REF!</definedName>
    <definedName name="solver_lhs9" localSheetId="37" hidden="1">#REF!</definedName>
    <definedName name="solver_lhs9" localSheetId="36" hidden="1">#REF!</definedName>
    <definedName name="solver_lhs9" localSheetId="52" hidden="1">#REF!</definedName>
    <definedName name="solver_lhs9" localSheetId="85" hidden="1">#REF!</definedName>
    <definedName name="solver_lhs9" localSheetId="12" hidden="1">#REF!</definedName>
    <definedName name="solver_lhs9" localSheetId="26" hidden="1">#REF!</definedName>
    <definedName name="solver_lhs9" hidden="1">#REF!</definedName>
    <definedName name="solver_rel0" hidden="1">2</definedName>
    <definedName name="solver_rel10" hidden="1">3</definedName>
    <definedName name="solver_rel11" hidden="1">4</definedName>
    <definedName name="solver_rel12" hidden="1">4</definedName>
    <definedName name="solver_rel7" hidden="1">3</definedName>
    <definedName name="solver_rel8" hidden="1">3</definedName>
    <definedName name="solver_rel9" hidden="1">3</definedName>
    <definedName name="solver_rhs10" localSheetId="64" hidden="1">#REF!</definedName>
    <definedName name="solver_rhs10" localSheetId="59" hidden="1">#REF!</definedName>
    <definedName name="solver_rhs10" localSheetId="58" hidden="1">#REF!</definedName>
    <definedName name="solver_rhs10" localSheetId="88" hidden="1">#REF!</definedName>
    <definedName name="solver_rhs10" localSheetId="45" hidden="1">#REF!</definedName>
    <definedName name="solver_rhs10" localSheetId="54" hidden="1">#REF!</definedName>
    <definedName name="solver_rhs10" localSheetId="0" hidden="1">#REF!</definedName>
    <definedName name="solver_rhs10" localSheetId="40" hidden="1">#REF!</definedName>
    <definedName name="solver_rhs10" localSheetId="41" hidden="1">#REF!</definedName>
    <definedName name="solver_rhs10" localSheetId="86" hidden="1">#REF!</definedName>
    <definedName name="solver_rhs10" localSheetId="87" hidden="1">#REF!</definedName>
    <definedName name="solver_rhs10" localSheetId="37" hidden="1">#REF!</definedName>
    <definedName name="solver_rhs10" localSheetId="36" hidden="1">#REF!</definedName>
    <definedName name="solver_rhs10" localSheetId="52" hidden="1">#REF!</definedName>
    <definedName name="solver_rhs10" localSheetId="85" hidden="1">#REF!</definedName>
    <definedName name="solver_rhs10" localSheetId="12" hidden="1">#REF!</definedName>
    <definedName name="solver_rhs10" localSheetId="26" hidden="1">#REF!</definedName>
    <definedName name="solver_rhs10" hidden="1">#REF!</definedName>
    <definedName name="solver_rhs11" localSheetId="64" hidden="1">número</definedName>
    <definedName name="solver_rhs11" localSheetId="59" hidden="1">número</definedName>
    <definedName name="solver_rhs11" localSheetId="58" hidden="1">número</definedName>
    <definedName name="solver_rhs11" localSheetId="88" hidden="1">número</definedName>
    <definedName name="solver_rhs11" localSheetId="45" hidden="1">número</definedName>
    <definedName name="solver_rhs11" localSheetId="54" hidden="1">número</definedName>
    <definedName name="solver_rhs11" localSheetId="0" hidden="1">número</definedName>
    <definedName name="solver_rhs11" localSheetId="40" hidden="1">número</definedName>
    <definedName name="solver_rhs11" localSheetId="73" hidden="1">número</definedName>
    <definedName name="solver_rhs11" localSheetId="41" hidden="1">número</definedName>
    <definedName name="solver_rhs11" localSheetId="86" hidden="1">número</definedName>
    <definedName name="solver_rhs11" localSheetId="87" hidden="1">número</definedName>
    <definedName name="solver_rhs11" localSheetId="37" hidden="1">número</definedName>
    <definedName name="solver_rhs11" localSheetId="36" hidden="1">número</definedName>
    <definedName name="solver_rhs11" localSheetId="52" hidden="1">número</definedName>
    <definedName name="solver_rhs11" localSheetId="85" hidden="1">número</definedName>
    <definedName name="solver_rhs11" localSheetId="12" hidden="1">número</definedName>
    <definedName name="solver_rhs11" localSheetId="26" hidden="1">número</definedName>
    <definedName name="solver_rhs11" hidden="1">número</definedName>
    <definedName name="solver_rhs12" localSheetId="64" hidden="1">número</definedName>
    <definedName name="solver_rhs12" localSheetId="59" hidden="1">número</definedName>
    <definedName name="solver_rhs12" localSheetId="58" hidden="1">número</definedName>
    <definedName name="solver_rhs12" localSheetId="88" hidden="1">número</definedName>
    <definedName name="solver_rhs12" localSheetId="45" hidden="1">número</definedName>
    <definedName name="solver_rhs12" localSheetId="54" hidden="1">número</definedName>
    <definedName name="solver_rhs12" localSheetId="0" hidden="1">número</definedName>
    <definedName name="solver_rhs12" localSheetId="40" hidden="1">número</definedName>
    <definedName name="solver_rhs12" localSheetId="73" hidden="1">número</definedName>
    <definedName name="solver_rhs12" localSheetId="41" hidden="1">número</definedName>
    <definedName name="solver_rhs12" localSheetId="86" hidden="1">número</definedName>
    <definedName name="solver_rhs12" localSheetId="87" hidden="1">número</definedName>
    <definedName name="solver_rhs12" localSheetId="37" hidden="1">número</definedName>
    <definedName name="solver_rhs12" localSheetId="36" hidden="1">número</definedName>
    <definedName name="solver_rhs12" localSheetId="52" hidden="1">número</definedName>
    <definedName name="solver_rhs12" localSheetId="85" hidden="1">número</definedName>
    <definedName name="solver_rhs12" localSheetId="12" hidden="1">número</definedName>
    <definedName name="solver_rhs12" localSheetId="26" hidden="1">número</definedName>
    <definedName name="solver_rhs12" hidden="1">número</definedName>
    <definedName name="solver_rhs7" localSheetId="64" hidden="1">#REF!</definedName>
    <definedName name="solver_rhs7" localSheetId="59" hidden="1">#REF!</definedName>
    <definedName name="solver_rhs7" localSheetId="58" hidden="1">#REF!</definedName>
    <definedName name="solver_rhs7" localSheetId="88" hidden="1">#REF!</definedName>
    <definedName name="solver_rhs7" localSheetId="45" hidden="1">#REF!</definedName>
    <definedName name="solver_rhs7" localSheetId="54" hidden="1">#REF!</definedName>
    <definedName name="solver_rhs7" localSheetId="0" hidden="1">#REF!</definedName>
    <definedName name="solver_rhs7" localSheetId="40" hidden="1">#REF!</definedName>
    <definedName name="solver_rhs7" localSheetId="41" hidden="1">#REF!</definedName>
    <definedName name="solver_rhs7" localSheetId="86" hidden="1">#REF!</definedName>
    <definedName name="solver_rhs7" localSheetId="87" hidden="1">#REF!</definedName>
    <definedName name="solver_rhs7" localSheetId="37" hidden="1">#REF!</definedName>
    <definedName name="solver_rhs7" localSheetId="36" hidden="1">#REF!</definedName>
    <definedName name="solver_rhs7" localSheetId="52" hidden="1">#REF!</definedName>
    <definedName name="solver_rhs7" localSheetId="85" hidden="1">#REF!</definedName>
    <definedName name="solver_rhs7" localSheetId="12" hidden="1">#REF!</definedName>
    <definedName name="solver_rhs7" localSheetId="26" hidden="1">#REF!</definedName>
    <definedName name="solver_rhs7" hidden="1">#REF!</definedName>
    <definedName name="solver_rhs8" localSheetId="64" hidden="1">#REF!</definedName>
    <definedName name="solver_rhs8" localSheetId="59" hidden="1">#REF!</definedName>
    <definedName name="solver_rhs8" localSheetId="58" hidden="1">#REF!</definedName>
    <definedName name="solver_rhs8" localSheetId="88" hidden="1">#REF!</definedName>
    <definedName name="solver_rhs8" localSheetId="45" hidden="1">#REF!</definedName>
    <definedName name="solver_rhs8" localSheetId="54" hidden="1">#REF!</definedName>
    <definedName name="solver_rhs8" localSheetId="0" hidden="1">#REF!</definedName>
    <definedName name="solver_rhs8" localSheetId="40" hidden="1">#REF!</definedName>
    <definedName name="solver_rhs8" localSheetId="41" hidden="1">#REF!</definedName>
    <definedName name="solver_rhs8" localSheetId="86" hidden="1">#REF!</definedName>
    <definedName name="solver_rhs8" localSheetId="87" hidden="1">#REF!</definedName>
    <definedName name="solver_rhs8" localSheetId="37" hidden="1">#REF!</definedName>
    <definedName name="solver_rhs8" localSheetId="36" hidden="1">#REF!</definedName>
    <definedName name="solver_rhs8" localSheetId="52" hidden="1">#REF!</definedName>
    <definedName name="solver_rhs8" localSheetId="85" hidden="1">#REF!</definedName>
    <definedName name="solver_rhs8" localSheetId="12" hidden="1">#REF!</definedName>
    <definedName name="solver_rhs8" localSheetId="26" hidden="1">#REF!</definedName>
    <definedName name="solver_rhs8" hidden="1">#REF!</definedName>
    <definedName name="solver_rhs9" localSheetId="64" hidden="1">#REF!</definedName>
    <definedName name="solver_rhs9" localSheetId="59" hidden="1">#REF!</definedName>
    <definedName name="solver_rhs9" localSheetId="58" hidden="1">#REF!</definedName>
    <definedName name="solver_rhs9" localSheetId="88" hidden="1">#REF!</definedName>
    <definedName name="solver_rhs9" localSheetId="45" hidden="1">#REF!</definedName>
    <definedName name="solver_rhs9" localSheetId="54" hidden="1">#REF!</definedName>
    <definedName name="solver_rhs9" localSheetId="0" hidden="1">#REF!</definedName>
    <definedName name="solver_rhs9" localSheetId="40" hidden="1">#REF!</definedName>
    <definedName name="solver_rhs9" localSheetId="41" hidden="1">#REF!</definedName>
    <definedName name="solver_rhs9" localSheetId="86" hidden="1">#REF!</definedName>
    <definedName name="solver_rhs9" localSheetId="87" hidden="1">#REF!</definedName>
    <definedName name="solver_rhs9" localSheetId="37" hidden="1">#REF!</definedName>
    <definedName name="solver_rhs9" localSheetId="36" hidden="1">#REF!</definedName>
    <definedName name="solver_rhs9" localSheetId="52" hidden="1">#REF!</definedName>
    <definedName name="solver_rhs9" localSheetId="85" hidden="1">#REF!</definedName>
    <definedName name="solver_rhs9" localSheetId="12" hidden="1">#REF!</definedName>
    <definedName name="solver_rhs9" localSheetId="26" hidden="1">#REF!</definedName>
    <definedName name="solver_rhs9" hidden="1">#REF!</definedName>
    <definedName name="solver_tmp" hidden="1">0</definedName>
    <definedName name="Tabela_INSS" localSheetId="64">#REF!</definedName>
    <definedName name="Tabela_INSS" localSheetId="59">#REF!</definedName>
    <definedName name="Tabela_INSS" localSheetId="58">#REF!</definedName>
    <definedName name="Tabela_INSS" localSheetId="88">#REF!</definedName>
    <definedName name="Tabela_INSS" localSheetId="45">#REF!</definedName>
    <definedName name="Tabela_INSS" localSheetId="54">#REF!</definedName>
    <definedName name="Tabela_INSS" localSheetId="0">#REF!</definedName>
    <definedName name="Tabela_INSS" localSheetId="40">#REF!</definedName>
    <definedName name="Tabela_INSS" localSheetId="41">#REF!</definedName>
    <definedName name="Tabela_INSS" localSheetId="86">#REF!</definedName>
    <definedName name="Tabela_INSS" localSheetId="87">#REF!</definedName>
    <definedName name="Tabela_INSS" localSheetId="37">#REF!</definedName>
    <definedName name="Tabela_INSS" localSheetId="36">#REF!</definedName>
    <definedName name="Tabela_INSS" localSheetId="52">#REF!</definedName>
    <definedName name="Tabela_INSS" localSheetId="85">#REF!</definedName>
    <definedName name="Tabela_INSS" localSheetId="12">#REF!</definedName>
    <definedName name="Tabela_INSS" localSheetId="26">#REF!</definedName>
    <definedName name="Tabela_INSS">#REF!</definedName>
    <definedName name="TaxadeQuilometragem" localSheetId="80">'Classificar e Filtrar Básico'!#REF!</definedName>
    <definedName name="TaxadeQuilometragem" localSheetId="7">'Grupo Células'!#REF!</definedName>
    <definedName name="TaxadeQuilometragem" localSheetId="8">'Grupo Edição'!#REF!</definedName>
    <definedName name="TaxadeQuilometragem" localSheetId="9">'Preenchimento Relâmpago'!#REF!</definedName>
    <definedName name="TaxadeQuilometragem">'Fonte, Alinhamento e Número'!$C$7</definedName>
    <definedName name="tcomissão">[3]Comissão!$E$11:$G$16</definedName>
    <definedName name="teste" localSheetId="45" hidden="1">{"normal","argentina",FALSE,"cenários e solver";#N/A,#N/A,FALSE,"banco de dados"}</definedName>
    <definedName name="teste" hidden="1">{"normal","argentina",FALSE,"cenários e solver";#N/A,#N/A,FALSE,"banco de dados"}</definedName>
    <definedName name="testes3" localSheetId="45" hidden="1">{"normal","argentina",FALSE,"cenários e solver";#N/A,#N/A,FALSE,"banco de dados"}</definedName>
    <definedName name="testes3" hidden="1">{"normal","argentina",FALSE,"cenários e solver";#N/A,#N/A,FALSE,"banco de dados"}</definedName>
    <definedName name="TOTAL">Divisão!$R$24</definedName>
    <definedName name="TOTAL_DESPESAS">Divisão!$R$32</definedName>
    <definedName name="v" localSheetId="45" hidden="1">{"normal","argentina",FALSE,"cenários e solver";#N/A,#N/A,FALSE,"banco de dados"}</definedName>
    <definedName name="v" hidden="1">{"normal","argentina",FALSE,"cenários e solver";#N/A,#N/A,FALSE,"banco de dados"}</definedName>
    <definedName name="vandasa" localSheetId="45" hidden="1">{"Normal","receita baixa",TRUE,"CENÁRIO ATUAL";"Linhas de Totais","despesa alta",TRUE,"CENÁRIO ATUAL";"Primeiros Meses","despesa baixa",TRUE,"CENÁRIO ATUAL";"Últimos Meses","receita alta",TRUE,"CENÁRIO ATUAL"}</definedName>
    <definedName name="vandasa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45" hidden="1">{"Normal","receita baixa",TRUE,"CENÁRIO ATUAL";"Linhas de Totais","despesa alta",TRUE,"CENÁRIO ATUAL";"Primeiros Meses","despesa baixa",TRUE,"CENÁRIO ATUAL";"Últimos Meses","receita alta",TRUE,"CENÁRIO ATUAL"}</definedName>
    <definedName name="Vendas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45" hidden="1">{"Normal","receita baixa",TRUE,"CENÁRIO ATUAL";"Linhas de Totais","despesa alta",TRUE,"CENÁRIO ATUAL";"Primeiros Meses","despesa baixa",TRUE,"CENÁRIO ATUAL";"Últimos Meses","receita alta",TRUE,"CENÁRIO ATUAL"}</definedName>
    <definedName name="wrf" hidden="1">{"Normal","receita baixa",TRUE,"CENÁRIO ATUAL";"Linhas de Totais","despesa alta",TRUE,"CENÁRIO ATUAL";"Primeiros Meses","despesa baixa",TRUE,"CENÁRIO ATUAL";"Últimos Meses","receita alta",TRUE,"CENÁRIO ATUAL"}</definedName>
    <definedName name="wrn.Alfa." localSheetId="45" hidden="1">{#N/A,"Médio",TRUE,"Plan30";"3º Trimestre Geral",#N/A,TRUE,"1º Trimestre"}</definedName>
    <definedName name="wrn.Alfa." hidden="1">{#N/A,"Médio",TRUE,"Plan30";"3º Trimestre Geral",#N/A,TRUE,"1º Trimestre"}</definedName>
    <definedName name="wrn.aula." localSheetId="45" hidden="1">{"azul",#N/A,FALSE,"geral";"verde",#N/A,FALSE,"geral";"vermelho",#N/A,FALSE,"geral"}</definedName>
    <definedName name="wrn.aula." hidden="1">{"azul",#N/A,FALSE,"geral";"verde",#N/A,FALSE,"geral";"vermelho",#N/A,FALSE,"geral"}</definedName>
    <definedName name="wrn.aulaa" localSheetId="45" hidden="1">{"azul",#N/A,FALSE,"geral";"verde",#N/A,FALSE,"geral";"vermelho",#N/A,FALSE,"geral"}</definedName>
    <definedName name="wrn.aulaa" hidden="1">{"azul",#N/A,FALSE,"geral";"verde",#N/A,FALSE,"geral";"vermelho",#N/A,FALSE,"geral"}</definedName>
    <definedName name="wrn.Bom." localSheetId="45" hidden="1">{#N/A,"Bom",FALSE,"Cenario 34"}</definedName>
    <definedName name="wrn.Bom." hidden="1">{#N/A,"Bom",FALSE,"Cenario 34"}</definedName>
    <definedName name="wrn.Colar._.Especial." localSheetId="45" hidden="1">{#N/A,#N/A,FALSE,"Colar especial 11"}</definedName>
    <definedName name="wrn.Colar._.Especial." hidden="1">{#N/A,#N/A,FALSE,"Colar especial 11"}</definedName>
    <definedName name="wrn.fluxo._.de._.caixa." localSheetId="45" hidden="1">{"normal","argentina",FALSE,"cenários e solver";#N/A,#N/A,FALSE,"banco de dados"}</definedName>
    <definedName name="wrn.fluxo._.de._.caixa." hidden="1">{"normal","argentina",FALSE,"cenários e solver";#N/A,#N/A,FALSE,"banco de dados"}</definedName>
    <definedName name="wrn.Mensal." localSheetId="45" hidden="1">{"Integral",#N/A,FALSE,"Plan1"}</definedName>
    <definedName name="wrn.Mensal." hidden="1">{"Integral",#N/A,FALSE,"Plan1"}</definedName>
    <definedName name="wrn.Minas._.Gerais." localSheetId="45" hidden="1">{"Minas Gerais",#N/A,FALSE,"Exibição 41"}</definedName>
    <definedName name="wrn.Minas._.Gerais." hidden="1">{"Minas Gerais",#N/A,FALSE,"Exibição 41"}</definedName>
    <definedName name="wrn.Relat." localSheetId="45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_.Final." localSheetId="45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hidden="1">{"Normal","receita baixa",TRUE,"CENÁRIO ATUAL";"Linhas de Totais","despesa alta",TRUE,"CENÁRIO ATUAL";"Primeiros Meses","despesa baixa",TRUE,"CENÁRIO ATUAL";"Últimos Meses","receita alta",TRUE,"CENÁRIO ATUAL"}</definedName>
    <definedName name="wrn.relata" localSheetId="45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ório._.Mensal." localSheetId="45" hidden="1">{"Modo1","Otimista",FALSE,"Orçamento Pessoal"}</definedName>
    <definedName name="wrn.Relatório._.Mensal." hidden="1">{"Modo1","Otimista",FALSE,"Orçamento Pessoal"}</definedName>
    <definedName name="wrn.Ruim." localSheetId="45" hidden="1">{#N/A,"Ruim",FALSE,"Cenario 34"}</definedName>
    <definedName name="wrn.Ruim." hidden="1">{#N/A,"Ruim",FALSE,"Cenario 34"}</definedName>
    <definedName name="wrn.Santa._.Catarina." localSheetId="45" hidden="1">{"Santa Catarina",#N/A,FALSE,"Exibição 41"}</definedName>
    <definedName name="wrn.Santa._.Catarina." hidden="1">{"Santa Catarina",#N/A,FALSE,"Exibição 41"}</definedName>
    <definedName name="XXXX" localSheetId="45" hidden="1">{#N/A,#N/A,FALSE,"Colar especial 11"}</definedName>
    <definedName name="XXXX" hidden="1">{#N/A,#N/A,FALSE,"Colar especial 11"}</definedName>
    <definedName name="Yto__Treinamentos" localSheetId="59">#REF!</definedName>
    <definedName name="Yto__Treinamentos" localSheetId="40">#REF!</definedName>
    <definedName name="Yto__Treinamentos" localSheetId="86">#REF!</definedName>
    <definedName name="Yto__Treinamentos" localSheetId="85">#REF!</definedName>
    <definedName name="Yto__Treinamentos" localSheetId="12">#REF!</definedName>
    <definedName name="Yto__Treinamentos" localSheetId="26">#REF!</definedName>
    <definedName name="Yto__Treinamentos">#REF!</definedName>
    <definedName name="Yto_Treinamentos" localSheetId="59">#REF!</definedName>
    <definedName name="Yto_Treinamentos" localSheetId="40">#REF!</definedName>
    <definedName name="Yto_Treinamentos" localSheetId="86">#REF!</definedName>
    <definedName name="Yto_Treinamentos" localSheetId="85">#REF!</definedName>
    <definedName name="Yto_Treinamentos" localSheetId="12">#REF!</definedName>
    <definedName name="Yto_Treinamentos" localSheetId="26">#REF!</definedName>
    <definedName name="Yto_Treinamentos">#REF!</definedName>
    <definedName name="yu" localSheetId="45" hidden="1">{"normal","argentina",FALSE,"cenários e solver";#N/A,#N/A,FALSE,"banco de dados"}</definedName>
    <definedName name="yu" hidden="1">{"normal","argentina",FALSE,"cenários e solver";#N/A,#N/A,FALSE,"banco de dados"}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7"/>
        <x14:slicerCache r:id="rId98"/>
        <x14:slicerCache r:id="rId99"/>
        <x14:slicerCache r:id="rId100"/>
        <x14:slicerCache r:id="rId101"/>
        <x14:slicerCache r:id="rId102"/>
        <x14:slicerCache r:id="rId103"/>
        <x14:slicerCache r:id="rId104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" i="85" l="1"/>
  <c r="D19" i="85"/>
  <c r="E19" i="85"/>
  <c r="F19" i="85"/>
  <c r="G19" i="85"/>
  <c r="B19" i="85"/>
  <c r="H7" i="85"/>
  <c r="H8" i="85"/>
  <c r="H9" i="85"/>
  <c r="H10" i="85"/>
  <c r="H11" i="85"/>
  <c r="H12" i="85"/>
  <c r="H13" i="85"/>
  <c r="H14" i="85"/>
  <c r="H15" i="85"/>
  <c r="H16" i="85"/>
  <c r="H17" i="85"/>
  <c r="H18" i="85"/>
  <c r="F9" i="98"/>
  <c r="H9" i="98" s="1"/>
  <c r="I9" i="98" s="1"/>
  <c r="F12" i="98"/>
  <c r="H12" i="98" s="1"/>
  <c r="I12" i="98" s="1"/>
  <c r="F20" i="98"/>
  <c r="H20" i="98" s="1"/>
  <c r="I20" i="98" s="1"/>
  <c r="F16" i="98"/>
  <c r="H16" i="98" s="1"/>
  <c r="I16" i="98" s="1"/>
  <c r="F18" i="98"/>
  <c r="H18" i="98" s="1"/>
  <c r="I18" i="98" s="1"/>
  <c r="F13" i="98"/>
  <c r="H13" i="98" s="1"/>
  <c r="I13" i="98" s="1"/>
  <c r="F17" i="98"/>
  <c r="H17" i="98" s="1"/>
  <c r="I17" i="98" s="1"/>
  <c r="F15" i="98"/>
  <c r="H15" i="98" s="1"/>
  <c r="I15" i="98" s="1"/>
  <c r="F14" i="98"/>
  <c r="H14" i="98" s="1"/>
  <c r="I14" i="98" s="1"/>
  <c r="F10" i="98"/>
  <c r="H10" i="98" s="1"/>
  <c r="I10" i="98" s="1"/>
  <c r="F19" i="98"/>
  <c r="H19" i="98" s="1"/>
  <c r="I19" i="98" s="1"/>
  <c r="F11" i="98"/>
  <c r="H11" i="98" s="1"/>
  <c r="I11" i="98" s="1"/>
  <c r="B9" i="98"/>
  <c r="G3" i="82"/>
  <c r="G4" i="82"/>
  <c r="G5" i="82"/>
  <c r="G6" i="82"/>
  <c r="G7" i="82"/>
  <c r="G8" i="82"/>
  <c r="G9" i="82"/>
  <c r="G10" i="82"/>
  <c r="G11" i="82"/>
  <c r="G12" i="82"/>
  <c r="G13" i="82"/>
  <c r="G14" i="82"/>
  <c r="G15" i="82"/>
  <c r="G16" i="82"/>
  <c r="G17" i="82"/>
  <c r="G18" i="82"/>
  <c r="G19" i="82"/>
  <c r="G20" i="82"/>
  <c r="G21" i="82"/>
  <c r="G22" i="82"/>
  <c r="G23" i="82"/>
  <c r="G24" i="82"/>
  <c r="G25" i="82"/>
  <c r="G26" i="82"/>
  <c r="G27" i="82"/>
  <c r="G28" i="82"/>
  <c r="G29" i="82"/>
  <c r="G30" i="82"/>
  <c r="G31" i="82"/>
  <c r="G32" i="82"/>
  <c r="I5" i="78"/>
  <c r="I6" i="78"/>
  <c r="I7" i="78"/>
  <c r="I8" i="78"/>
  <c r="I9" i="78"/>
  <c r="I10" i="78"/>
  <c r="I11" i="78"/>
  <c r="I12" i="78"/>
  <c r="I13" i="78"/>
  <c r="I14" i="78"/>
  <c r="I15" i="78"/>
  <c r="I16" i="78"/>
  <c r="F14" i="79"/>
  <c r="F15" i="79"/>
  <c r="F16" i="79"/>
  <c r="F17" i="79"/>
  <c r="F18" i="79"/>
  <c r="F19" i="79"/>
  <c r="F20" i="79"/>
  <c r="F21" i="79"/>
  <c r="F22" i="79"/>
  <c r="F23" i="79"/>
  <c r="F24" i="79"/>
  <c r="F25" i="79"/>
  <c r="E14" i="79"/>
  <c r="E15" i="79"/>
  <c r="E16" i="79"/>
  <c r="E17" i="79"/>
  <c r="E18" i="79"/>
  <c r="E19" i="79"/>
  <c r="E20" i="79"/>
  <c r="E21" i="79"/>
  <c r="E22" i="79"/>
  <c r="E23" i="79"/>
  <c r="E24" i="79"/>
  <c r="E25" i="79"/>
  <c r="D14" i="79"/>
  <c r="D15" i="79"/>
  <c r="D16" i="79"/>
  <c r="D17" i="79"/>
  <c r="D18" i="79"/>
  <c r="D19" i="79"/>
  <c r="D20" i="79"/>
  <c r="D21" i="79"/>
  <c r="D22" i="79"/>
  <c r="D23" i="79"/>
  <c r="D24" i="79"/>
  <c r="D25" i="79"/>
  <c r="H25" i="114"/>
  <c r="H16" i="114"/>
  <c r="H17" i="114"/>
  <c r="H18" i="114"/>
  <c r="H19" i="114"/>
  <c r="H20" i="114"/>
  <c r="H21" i="114"/>
  <c r="H22" i="114"/>
  <c r="H23" i="114"/>
  <c r="H24" i="114"/>
  <c r="M10" i="77"/>
  <c r="M11" i="77"/>
  <c r="M12" i="77"/>
  <c r="M13" i="77"/>
  <c r="M14" i="77"/>
  <c r="M3" i="77"/>
  <c r="M4" i="77"/>
  <c r="M5" i="77"/>
  <c r="M6" i="77"/>
  <c r="M7" i="77"/>
  <c r="I4" i="77"/>
  <c r="I5" i="77"/>
  <c r="I6" i="77"/>
  <c r="I7" i="77"/>
  <c r="I8" i="77"/>
  <c r="I9" i="77"/>
  <c r="I10" i="77"/>
  <c r="I11" i="77"/>
  <c r="I12" i="77"/>
  <c r="I13" i="77"/>
  <c r="I14" i="77"/>
  <c r="I15" i="77"/>
  <c r="H4" i="77"/>
  <c r="H5" i="77"/>
  <c r="H6" i="77"/>
  <c r="H7" i="77"/>
  <c r="H8" i="77"/>
  <c r="H9" i="77"/>
  <c r="H10" i="77"/>
  <c r="H11" i="77"/>
  <c r="H12" i="77"/>
  <c r="H13" i="77"/>
  <c r="H14" i="77"/>
  <c r="H15" i="77"/>
  <c r="G4" i="77"/>
  <c r="G5" i="77"/>
  <c r="G6" i="77"/>
  <c r="G7" i="77"/>
  <c r="G8" i="77"/>
  <c r="G9" i="77"/>
  <c r="G10" i="77"/>
  <c r="G11" i="77"/>
  <c r="G12" i="77"/>
  <c r="G13" i="77"/>
  <c r="G14" i="77"/>
  <c r="G15" i="77"/>
  <c r="F5" i="77"/>
  <c r="F4" i="77"/>
  <c r="F6" i="77"/>
  <c r="F7" i="77"/>
  <c r="F8" i="77"/>
  <c r="F9" i="77"/>
  <c r="F10" i="77"/>
  <c r="F11" i="77"/>
  <c r="F12" i="77"/>
  <c r="F13" i="77"/>
  <c r="F14" i="77"/>
  <c r="F15" i="77"/>
  <c r="E4" i="77"/>
  <c r="E5" i="77"/>
  <c r="E6" i="77"/>
  <c r="E7" i="77"/>
  <c r="E8" i="77"/>
  <c r="E9" i="77"/>
  <c r="E10" i="77"/>
  <c r="E11" i="77"/>
  <c r="E12" i="77"/>
  <c r="E13" i="77"/>
  <c r="E14" i="77"/>
  <c r="E15" i="77"/>
  <c r="G4" i="96"/>
  <c r="G5" i="96"/>
  <c r="G6" i="96"/>
  <c r="G7" i="96"/>
  <c r="G8" i="96"/>
  <c r="G9" i="96"/>
  <c r="G10" i="96"/>
  <c r="G11" i="96"/>
  <c r="G12" i="96"/>
  <c r="G13" i="96"/>
  <c r="G14" i="96"/>
  <c r="G15" i="96"/>
  <c r="G16" i="96"/>
  <c r="G17" i="96"/>
  <c r="G18" i="96"/>
  <c r="G19" i="96"/>
  <c r="G20" i="96"/>
  <c r="C12" i="136"/>
  <c r="C4" i="136"/>
  <c r="C5" i="136"/>
  <c r="C6" i="136"/>
  <c r="C7" i="136"/>
  <c r="C8" i="136"/>
  <c r="C9" i="136"/>
  <c r="C10" i="136"/>
  <c r="C11" i="136"/>
  <c r="F5" i="32"/>
  <c r="F6" i="32"/>
  <c r="F7" i="32"/>
  <c r="F8" i="32"/>
  <c r="F9" i="32"/>
  <c r="F10" i="32"/>
  <c r="F4" i="32"/>
  <c r="F3" i="32"/>
  <c r="B14" i="113"/>
  <c r="F6" i="131"/>
  <c r="F7" i="131"/>
  <c r="F8" i="131"/>
  <c r="F9" i="131"/>
  <c r="F10" i="131"/>
  <c r="F11" i="131"/>
  <c r="F12" i="131"/>
  <c r="F13" i="131"/>
  <c r="F14" i="131"/>
  <c r="F15" i="131"/>
  <c r="F16" i="131"/>
  <c r="F17" i="131"/>
  <c r="F18" i="131"/>
  <c r="F19" i="131"/>
  <c r="F20" i="131"/>
  <c r="E6" i="131"/>
  <c r="E7" i="131"/>
  <c r="E8" i="131"/>
  <c r="E9" i="131"/>
  <c r="E10" i="131"/>
  <c r="E11" i="131"/>
  <c r="E12" i="131"/>
  <c r="E13" i="131"/>
  <c r="E14" i="131"/>
  <c r="E15" i="131"/>
  <c r="E16" i="131"/>
  <c r="E17" i="131"/>
  <c r="E18" i="131"/>
  <c r="E19" i="131"/>
  <c r="E20" i="131"/>
  <c r="K8" i="112"/>
  <c r="K7" i="112"/>
  <c r="K6" i="112"/>
  <c r="K5" i="112"/>
  <c r="K4" i="112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I3" i="43"/>
  <c r="I4" i="43"/>
  <c r="I5" i="43"/>
  <c r="I6" i="43"/>
  <c r="I7" i="43"/>
  <c r="I8" i="43"/>
  <c r="I9" i="43"/>
  <c r="I10" i="43"/>
  <c r="I11" i="43"/>
  <c r="I12" i="43"/>
  <c r="I13" i="43"/>
  <c r="I14" i="43"/>
  <c r="I15" i="43"/>
  <c r="I16" i="43"/>
  <c r="H4" i="43"/>
  <c r="H5" i="43"/>
  <c r="H6" i="43"/>
  <c r="H7" i="43"/>
  <c r="H8" i="43"/>
  <c r="H9" i="43"/>
  <c r="H10" i="43"/>
  <c r="H11" i="43"/>
  <c r="H12" i="43"/>
  <c r="H13" i="43"/>
  <c r="H14" i="43"/>
  <c r="H15" i="43"/>
  <c r="H16" i="43"/>
  <c r="H3" i="43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M13" i="109"/>
  <c r="L13" i="109"/>
  <c r="M12" i="109"/>
  <c r="L12" i="109"/>
  <c r="M11" i="109"/>
  <c r="L11" i="109"/>
  <c r="M10" i="109"/>
  <c r="L10" i="109"/>
  <c r="M9" i="109"/>
  <c r="L9" i="109"/>
  <c r="M8" i="109"/>
  <c r="L8" i="109"/>
  <c r="M7" i="109"/>
  <c r="L7" i="109"/>
  <c r="E11" i="139"/>
  <c r="D11" i="139"/>
  <c r="E10" i="139"/>
  <c r="D10" i="139"/>
  <c r="E9" i="139"/>
  <c r="D9" i="139"/>
  <c r="E8" i="139"/>
  <c r="D8" i="139"/>
  <c r="E7" i="139"/>
  <c r="D7" i="139"/>
  <c r="E6" i="139"/>
  <c r="D6" i="139"/>
  <c r="E5" i="139"/>
  <c r="D5" i="139"/>
  <c r="E4" i="139"/>
  <c r="D4" i="139"/>
  <c r="F4" i="110"/>
  <c r="F5" i="110"/>
  <c r="F6" i="110"/>
  <c r="F7" i="110"/>
  <c r="F8" i="110"/>
  <c r="F9" i="110"/>
  <c r="F10" i="110"/>
  <c r="F11" i="110"/>
  <c r="F12" i="110"/>
  <c r="F13" i="110"/>
  <c r="F14" i="110"/>
  <c r="F15" i="110"/>
  <c r="F16" i="110"/>
  <c r="F17" i="110"/>
  <c r="F18" i="110"/>
  <c r="E4" i="110"/>
  <c r="E5" i="110"/>
  <c r="E6" i="110"/>
  <c r="E7" i="110"/>
  <c r="E8" i="110"/>
  <c r="E9" i="110"/>
  <c r="E10" i="110"/>
  <c r="E11" i="110"/>
  <c r="E12" i="110"/>
  <c r="E13" i="110"/>
  <c r="E14" i="110"/>
  <c r="E15" i="110"/>
  <c r="E16" i="110"/>
  <c r="E17" i="110"/>
  <c r="E18" i="110"/>
  <c r="F4" i="108"/>
  <c r="F5" i="108"/>
  <c r="F6" i="108"/>
  <c r="F7" i="108"/>
  <c r="F8" i="108"/>
  <c r="F9" i="108"/>
  <c r="F10" i="108"/>
  <c r="E4" i="108"/>
  <c r="E5" i="108"/>
  <c r="E6" i="108"/>
  <c r="E7" i="108"/>
  <c r="E8" i="108"/>
  <c r="E9" i="108"/>
  <c r="E10" i="108"/>
  <c r="F7" i="109"/>
  <c r="F8" i="109"/>
  <c r="F9" i="109"/>
  <c r="F10" i="109"/>
  <c r="F11" i="109"/>
  <c r="F12" i="109"/>
  <c r="F13" i="109"/>
  <c r="F14" i="109"/>
  <c r="E7" i="109"/>
  <c r="E8" i="109"/>
  <c r="E9" i="109"/>
  <c r="E10" i="109"/>
  <c r="E11" i="109"/>
  <c r="E12" i="109"/>
  <c r="E13" i="109"/>
  <c r="E14" i="109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4" i="75"/>
  <c r="G4" i="72"/>
  <c r="G5" i="72"/>
  <c r="G6" i="72"/>
  <c r="G7" i="72"/>
  <c r="G8" i="72"/>
  <c r="G9" i="72"/>
  <c r="G10" i="72"/>
  <c r="G11" i="72"/>
  <c r="G12" i="72"/>
  <c r="G13" i="72"/>
  <c r="G14" i="72"/>
  <c r="G15" i="72"/>
  <c r="G16" i="72"/>
  <c r="G17" i="72"/>
  <c r="G18" i="72"/>
  <c r="F4" i="72"/>
  <c r="F5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E4" i="72"/>
  <c r="E5" i="72"/>
  <c r="E6" i="72"/>
  <c r="E7" i="72"/>
  <c r="E8" i="72"/>
  <c r="E9" i="72"/>
  <c r="E10" i="72"/>
  <c r="E11" i="72"/>
  <c r="E12" i="72"/>
  <c r="E13" i="72"/>
  <c r="E14" i="72"/>
  <c r="E15" i="72"/>
  <c r="E16" i="72"/>
  <c r="E17" i="72"/>
  <c r="E18" i="72"/>
  <c r="D4" i="72"/>
  <c r="D5" i="72"/>
  <c r="D6" i="72"/>
  <c r="D7" i="72"/>
  <c r="D8" i="72"/>
  <c r="D9" i="72"/>
  <c r="D10" i="72"/>
  <c r="D11" i="72"/>
  <c r="D12" i="72"/>
  <c r="D13" i="72"/>
  <c r="D14" i="72"/>
  <c r="D15" i="72"/>
  <c r="D16" i="72"/>
  <c r="D17" i="72"/>
  <c r="D18" i="72"/>
  <c r="D4" i="71"/>
  <c r="F4" i="71"/>
  <c r="F5" i="71"/>
  <c r="F6" i="71"/>
  <c r="F7" i="71"/>
  <c r="F8" i="71"/>
  <c r="F9" i="71"/>
  <c r="F10" i="71"/>
  <c r="F11" i="71"/>
  <c r="F12" i="71"/>
  <c r="F13" i="71"/>
  <c r="F14" i="71"/>
  <c r="F15" i="71"/>
  <c r="F16" i="71"/>
  <c r="F17" i="71"/>
  <c r="F18" i="71"/>
  <c r="E4" i="71"/>
  <c r="E5" i="71"/>
  <c r="E6" i="71"/>
  <c r="E7" i="71"/>
  <c r="E8" i="71"/>
  <c r="E9" i="71"/>
  <c r="E10" i="71"/>
  <c r="E11" i="71"/>
  <c r="E12" i="71"/>
  <c r="E13" i="71"/>
  <c r="E14" i="71"/>
  <c r="E15" i="71"/>
  <c r="E16" i="71"/>
  <c r="E17" i="71"/>
  <c r="E18" i="71"/>
  <c r="D5" i="71"/>
  <c r="D6" i="71"/>
  <c r="D7" i="71"/>
  <c r="D8" i="71"/>
  <c r="D9" i="71"/>
  <c r="D10" i="71"/>
  <c r="D11" i="71"/>
  <c r="D12" i="71"/>
  <c r="D13" i="71"/>
  <c r="D14" i="71"/>
  <c r="D15" i="71"/>
  <c r="D16" i="71"/>
  <c r="D17" i="71"/>
  <c r="D18" i="71"/>
  <c r="C13" i="107"/>
  <c r="C10" i="107"/>
  <c r="C7" i="107"/>
  <c r="G21" i="107"/>
  <c r="C4" i="107"/>
  <c r="I8" i="106"/>
  <c r="I9" i="106"/>
  <c r="I10" i="106"/>
  <c r="I11" i="106"/>
  <c r="I12" i="106"/>
  <c r="I13" i="106"/>
  <c r="I14" i="106"/>
  <c r="I7" i="106"/>
  <c r="C5" i="106"/>
  <c r="C4" i="106"/>
  <c r="C6" i="106"/>
  <c r="C3" i="106"/>
  <c r="M2" i="104"/>
  <c r="K2" i="104"/>
  <c r="J2" i="104"/>
  <c r="F2" i="104"/>
  <c r="F3" i="104"/>
  <c r="F4" i="104"/>
  <c r="F5" i="104"/>
  <c r="F6" i="104"/>
  <c r="F7" i="104"/>
  <c r="F8" i="104"/>
  <c r="F9" i="104"/>
  <c r="F10" i="104"/>
  <c r="F11" i="104"/>
  <c r="F12" i="104"/>
  <c r="F13" i="104"/>
  <c r="F14" i="104"/>
  <c r="F15" i="104"/>
  <c r="F16" i="104"/>
  <c r="F17" i="104"/>
  <c r="F18" i="104"/>
  <c r="F19" i="104"/>
  <c r="F20" i="104"/>
  <c r="F21" i="104"/>
  <c r="F22" i="104"/>
  <c r="F23" i="104"/>
  <c r="F24" i="104"/>
  <c r="F25" i="104"/>
  <c r="F26" i="104"/>
  <c r="F27" i="104"/>
  <c r="F28" i="104"/>
  <c r="F29" i="104"/>
  <c r="H10" i="68"/>
  <c r="F4" i="68"/>
  <c r="F5" i="68"/>
  <c r="F6" i="68"/>
  <c r="F7" i="68"/>
  <c r="F8" i="68"/>
  <c r="F9" i="68"/>
  <c r="F10" i="68"/>
  <c r="F11" i="68"/>
  <c r="F12" i="68"/>
  <c r="F13" i="68"/>
  <c r="M5" i="69"/>
  <c r="M6" i="69"/>
  <c r="M7" i="69"/>
  <c r="H19" i="85" l="1"/>
  <c r="J12" i="98"/>
  <c r="J20" i="98"/>
  <c r="J18" i="98"/>
  <c r="J19" i="98"/>
  <c r="J16" i="98"/>
  <c r="J11" i="98"/>
  <c r="J14" i="98"/>
  <c r="J10" i="98"/>
  <c r="J15" i="98"/>
  <c r="J17" i="98"/>
  <c r="J13" i="98"/>
  <c r="J9" i="98"/>
  <c r="F5" i="69"/>
  <c r="F6" i="69"/>
  <c r="F7" i="69"/>
  <c r="F8" i="69"/>
  <c r="F9" i="69"/>
  <c r="F10" i="69"/>
  <c r="F11" i="69"/>
  <c r="F12" i="69"/>
  <c r="F13" i="69"/>
  <c r="F14" i="69"/>
  <c r="E11" i="65"/>
  <c r="E12" i="65"/>
  <c r="E13" i="65"/>
  <c r="E14" i="65"/>
  <c r="E15" i="65"/>
  <c r="D5" i="65"/>
  <c r="D7" i="103"/>
  <c r="D8" i="103"/>
  <c r="D9" i="103"/>
  <c r="D10" i="103"/>
  <c r="D11" i="103"/>
  <c r="D12" i="103"/>
  <c r="D13" i="103"/>
  <c r="D14" i="103"/>
  <c r="D15" i="103"/>
  <c r="D16" i="103"/>
  <c r="D17" i="103"/>
  <c r="D18" i="103"/>
  <c r="D6" i="103"/>
  <c r="C7" i="102"/>
  <c r="D7" i="102" s="1"/>
  <c r="C6" i="102"/>
  <c r="C4" i="102"/>
  <c r="D5" i="102"/>
  <c r="D6" i="102"/>
  <c r="D4" i="102"/>
  <c r="G17" i="101"/>
  <c r="G18" i="101"/>
  <c r="G19" i="101"/>
  <c r="G20" i="101"/>
  <c r="G21" i="101"/>
  <c r="G22" i="101"/>
  <c r="G23" i="101"/>
  <c r="G24" i="101"/>
  <c r="G25" i="101"/>
  <c r="G26" i="101"/>
  <c r="C5" i="101"/>
  <c r="C6" i="101"/>
  <c r="C7" i="101"/>
  <c r="C8" i="101"/>
  <c r="C9" i="101"/>
  <c r="C10" i="101"/>
  <c r="C11" i="101"/>
  <c r="C12" i="101"/>
  <c r="C13" i="101"/>
  <c r="C14" i="101"/>
  <c r="F6" i="99"/>
  <c r="F5" i="99"/>
  <c r="K7" i="56"/>
  <c r="K8" i="56"/>
  <c r="K9" i="56"/>
  <c r="K10" i="56"/>
  <c r="K6" i="56"/>
  <c r="H28" i="40"/>
  <c r="H24" i="40"/>
  <c r="C27" i="40"/>
  <c r="C24" i="40"/>
  <c r="I21" i="40"/>
  <c r="C20" i="40"/>
  <c r="L20" i="40"/>
  <c r="M19" i="40"/>
  <c r="I19" i="40"/>
  <c r="E19" i="40"/>
  <c r="H19" i="61"/>
  <c r="H18" i="61"/>
  <c r="H17" i="61"/>
  <c r="H16" i="61"/>
  <c r="H14" i="61"/>
  <c r="H13" i="61"/>
  <c r="L9" i="39"/>
  <c r="H52" i="39"/>
  <c r="H59" i="39"/>
  <c r="L7" i="39"/>
  <c r="H39" i="39"/>
  <c r="L8" i="39" s="1"/>
  <c r="H30" i="39"/>
  <c r="L6" i="39" s="1"/>
  <c r="H22" i="39"/>
  <c r="L5" i="39" s="1"/>
  <c r="H10" i="39"/>
  <c r="L4" i="39" s="1"/>
  <c r="E16" i="41"/>
  <c r="E11" i="41"/>
  <c r="E6" i="41"/>
  <c r="C18" i="1"/>
  <c r="C17" i="1"/>
  <c r="F14" i="1"/>
  <c r="E14" i="1"/>
  <c r="F13" i="1"/>
  <c r="E13" i="1"/>
  <c r="D14" i="1"/>
  <c r="C14" i="1"/>
  <c r="D13" i="1"/>
  <c r="C13" i="1"/>
  <c r="I4" i="4"/>
  <c r="I5" i="4"/>
  <c r="I6" i="4"/>
  <c r="I7" i="4"/>
  <c r="I8" i="4"/>
  <c r="I9" i="4"/>
  <c r="I10" i="4"/>
  <c r="I4" i="135"/>
  <c r="I3" i="135"/>
  <c r="F5" i="135"/>
  <c r="F6" i="135"/>
  <c r="F7" i="135"/>
  <c r="F8" i="135"/>
  <c r="F9" i="135"/>
  <c r="F10" i="135"/>
  <c r="F11" i="135"/>
  <c r="F12" i="135"/>
  <c r="F13" i="135"/>
  <c r="F14" i="135"/>
  <c r="F15" i="135"/>
  <c r="F16" i="135"/>
  <c r="F17" i="135"/>
  <c r="F18" i="135"/>
  <c r="F19" i="135"/>
  <c r="F4" i="135"/>
  <c r="E27" i="3"/>
  <c r="F27" i="3"/>
  <c r="F29" i="3" s="1"/>
  <c r="F32" i="3" s="1"/>
  <c r="G27" i="3"/>
  <c r="H27" i="3"/>
  <c r="H29" i="3" s="1"/>
  <c r="H32" i="3" s="1"/>
  <c r="I27" i="3"/>
  <c r="J27" i="3"/>
  <c r="J29" i="3" s="1"/>
  <c r="J32" i="3" s="1"/>
  <c r="K27" i="3"/>
  <c r="D27" i="3"/>
  <c r="L27" i="3" s="1"/>
  <c r="L29" i="3" s="1"/>
  <c r="L32" i="3" s="1"/>
  <c r="N32" i="3"/>
  <c r="C32" i="3"/>
  <c r="C14" i="3"/>
  <c r="C29" i="3"/>
  <c r="D29" i="3"/>
  <c r="D32" i="3" s="1"/>
  <c r="E29" i="3"/>
  <c r="E32" i="3" s="1"/>
  <c r="G29" i="3"/>
  <c r="G32" i="3" s="1"/>
  <c r="I29" i="3"/>
  <c r="I32" i="3" s="1"/>
  <c r="K29" i="3"/>
  <c r="K32" i="3" s="1"/>
  <c r="M29" i="3"/>
  <c r="M32" i="3" s="1"/>
  <c r="N29" i="3"/>
  <c r="N14" i="3"/>
  <c r="D14" i="3"/>
  <c r="J7" i="35"/>
  <c r="L7" i="35" s="1"/>
  <c r="J8" i="35"/>
  <c r="L8" i="35" s="1"/>
  <c r="J9" i="35"/>
  <c r="L9" i="35" s="1"/>
  <c r="J10" i="35"/>
  <c r="L10" i="35" s="1"/>
  <c r="J11" i="35"/>
  <c r="L11" i="35" s="1"/>
  <c r="J12" i="35"/>
  <c r="L12" i="35" s="1"/>
  <c r="J13" i="35"/>
  <c r="L13" i="35" s="1"/>
  <c r="J14" i="35"/>
  <c r="K14" i="35" s="1" a="1"/>
  <c r="K14" i="35" s="1"/>
  <c r="J15" i="35"/>
  <c r="L15" i="35" s="1"/>
  <c r="J16" i="35"/>
  <c r="L16" i="35" s="1"/>
  <c r="C17" i="35"/>
  <c r="Q13" i="23"/>
  <c r="Q4" i="23" a="1"/>
  <c r="Q4" i="23" s="1"/>
  <c r="M14" i="23"/>
  <c r="M15" i="23"/>
  <c r="M16" i="23"/>
  <c r="M17" i="23"/>
  <c r="M13" i="23"/>
  <c r="M4" i="23"/>
  <c r="M5" i="23"/>
  <c r="M6" i="23"/>
  <c r="M7" i="23"/>
  <c r="M8" i="23"/>
  <c r="N14" i="22"/>
  <c r="N15" i="22"/>
  <c r="N16" i="22"/>
  <c r="N17" i="22"/>
  <c r="N18" i="22"/>
  <c r="N19" i="22"/>
  <c r="N4" i="22"/>
  <c r="N5" i="22"/>
  <c r="N6" i="22"/>
  <c r="N7" i="22"/>
  <c r="N8" i="22"/>
  <c r="N9" i="22"/>
  <c r="O5" i="21"/>
  <c r="N21" i="21"/>
  <c r="O6" i="21"/>
  <c r="O7" i="21"/>
  <c r="O8" i="21"/>
  <c r="O9" i="21"/>
  <c r="U24" i="20"/>
  <c r="V24" i="20"/>
  <c r="W24" i="20"/>
  <c r="X24" i="20"/>
  <c r="U25" i="20"/>
  <c r="V25" i="20"/>
  <c r="W25" i="20"/>
  <c r="X25" i="20"/>
  <c r="U26" i="20"/>
  <c r="V26" i="20"/>
  <c r="W26" i="20"/>
  <c r="X26" i="20"/>
  <c r="U27" i="20"/>
  <c r="V27" i="20"/>
  <c r="W27" i="20"/>
  <c r="X27" i="20"/>
  <c r="U28" i="20"/>
  <c r="V28" i="20"/>
  <c r="W28" i="20"/>
  <c r="X28" i="20"/>
  <c r="T24" i="20"/>
  <c r="T25" i="20"/>
  <c r="T26" i="20"/>
  <c r="T27" i="20"/>
  <c r="T28" i="20"/>
  <c r="P16" i="20"/>
  <c r="P17" i="20"/>
  <c r="P18" i="20"/>
  <c r="P19" i="20"/>
  <c r="P15" i="20"/>
  <c r="P24" i="20" s="1"/>
  <c r="M24" i="20"/>
  <c r="N24" i="20"/>
  <c r="O24" i="20"/>
  <c r="M25" i="20"/>
  <c r="N25" i="20"/>
  <c r="O25" i="20"/>
  <c r="P25" i="20"/>
  <c r="M26" i="20"/>
  <c r="N26" i="20"/>
  <c r="O26" i="20"/>
  <c r="P26" i="20"/>
  <c r="M27" i="20"/>
  <c r="N27" i="20"/>
  <c r="O27" i="20"/>
  <c r="P27" i="20"/>
  <c r="M28" i="20"/>
  <c r="N28" i="20"/>
  <c r="O28" i="20"/>
  <c r="P28" i="20"/>
  <c r="L25" i="20"/>
  <c r="L26" i="20"/>
  <c r="L27" i="20"/>
  <c r="L28" i="20"/>
  <c r="L24" i="20"/>
  <c r="X15" i="20"/>
  <c r="X16" i="20"/>
  <c r="X17" i="20"/>
  <c r="X18" i="20"/>
  <c r="X19" i="20"/>
  <c r="X5" i="20"/>
  <c r="X6" i="20"/>
  <c r="X7" i="20"/>
  <c r="X8" i="20"/>
  <c r="X9" i="20"/>
  <c r="P6" i="20"/>
  <c r="P5" i="20"/>
  <c r="P7" i="20"/>
  <c r="P8" i="20"/>
  <c r="P9" i="20"/>
  <c r="J43" i="31"/>
  <c r="L39" i="25"/>
  <c r="Q9" i="132"/>
  <c r="Q10" i="132"/>
  <c r="Q11" i="132"/>
  <c r="Q12" i="132"/>
  <c r="Q13" i="132"/>
  <c r="Q14" i="132"/>
  <c r="Q15" i="132"/>
  <c r="Q16" i="132"/>
  <c r="Q17" i="132"/>
  <c r="Q18" i="132"/>
  <c r="P14" i="14"/>
  <c r="L14" i="14"/>
  <c r="O14" i="14"/>
  <c r="N14" i="14"/>
  <c r="M14" i="14"/>
  <c r="E25" i="29"/>
  <c r="L15" i="12"/>
  <c r="N9" i="11"/>
  <c r="Q9" i="11"/>
  <c r="F26" i="84"/>
  <c r="F27" i="84"/>
  <c r="F28" i="84"/>
  <c r="F29" i="84"/>
  <c r="F30" i="84"/>
  <c r="F31" i="84"/>
  <c r="F32" i="84"/>
  <c r="F33" i="84"/>
  <c r="F34" i="84"/>
  <c r="F35" i="84"/>
  <c r="F36" i="84"/>
  <c r="F37" i="84"/>
  <c r="L10" i="39" l="1"/>
  <c r="K16" i="35" a="1"/>
  <c r="K16" i="35" s="1"/>
  <c r="K8" i="35" a="1"/>
  <c r="K8" i="35" s="1"/>
  <c r="K15" i="35" a="1"/>
  <c r="K15" i="35" s="1"/>
  <c r="K7" i="35" a="1"/>
  <c r="K7" i="35" s="1"/>
  <c r="L14" i="35"/>
  <c r="L17" i="35" s="1"/>
  <c r="K10" i="35" a="1"/>
  <c r="K10" i="35" s="1"/>
  <c r="K13" i="35" a="1"/>
  <c r="K13" i="35" s="1"/>
  <c r="O15" i="35"/>
  <c r="O18" i="35" s="1" a="1"/>
  <c r="O18" i="35" s="1"/>
  <c r="O21" i="35" s="1"/>
  <c r="J17" i="35"/>
  <c r="K12" i="35" a="1"/>
  <c r="K12" i="35" s="1"/>
  <c r="K9" i="35" a="1"/>
  <c r="K9" i="35" s="1"/>
  <c r="K11" i="35" a="1"/>
  <c r="K11" i="35" s="1"/>
  <c r="E23" i="72"/>
  <c r="E10" i="102"/>
  <c r="E11" i="102"/>
  <c r="E12" i="102"/>
  <c r="E13" i="102"/>
  <c r="E14" i="102"/>
  <c r="E15" i="102"/>
  <c r="F26" i="101"/>
  <c r="E26" i="101"/>
  <c r="F25" i="101"/>
  <c r="E25" i="101"/>
  <c r="F24" i="101"/>
  <c r="E24" i="101"/>
  <c r="F23" i="101"/>
  <c r="E23" i="101"/>
  <c r="F22" i="101"/>
  <c r="E22" i="101"/>
  <c r="F21" i="101"/>
  <c r="E21" i="101"/>
  <c r="F20" i="101"/>
  <c r="E20" i="101"/>
  <c r="F19" i="101"/>
  <c r="E19" i="101"/>
  <c r="F18" i="101"/>
  <c r="E18" i="101"/>
  <c r="F17" i="101"/>
  <c r="E17" i="101"/>
  <c r="O3" i="23" l="1"/>
  <c r="O12" i="23" l="1"/>
  <c r="E145" i="130" l="1"/>
  <c r="D145" i="130"/>
  <c r="C145" i="130"/>
  <c r="E144" i="130"/>
  <c r="D144" i="130"/>
  <c r="C144" i="130"/>
  <c r="E143" i="130"/>
  <c r="D143" i="130"/>
  <c r="C143" i="130"/>
  <c r="E142" i="130"/>
  <c r="D142" i="130"/>
  <c r="C142" i="130"/>
  <c r="E141" i="130"/>
  <c r="D141" i="130"/>
  <c r="C141" i="130"/>
  <c r="E140" i="130"/>
  <c r="D140" i="130"/>
  <c r="C140" i="130"/>
  <c r="E139" i="130"/>
  <c r="D139" i="130"/>
  <c r="C139" i="130"/>
  <c r="E138" i="130"/>
  <c r="D138" i="130"/>
  <c r="C138" i="130"/>
  <c r="E137" i="130"/>
  <c r="D137" i="130"/>
  <c r="C137" i="130"/>
  <c r="E136" i="130"/>
  <c r="D136" i="130"/>
  <c r="C136" i="130"/>
  <c r="E135" i="130"/>
  <c r="D135" i="130"/>
  <c r="C135" i="130"/>
  <c r="E134" i="130"/>
  <c r="D134" i="130"/>
  <c r="C134" i="130"/>
  <c r="E133" i="130"/>
  <c r="D133" i="130"/>
  <c r="C133" i="130"/>
  <c r="E132" i="130"/>
  <c r="D132" i="130"/>
  <c r="C132" i="130"/>
  <c r="E131" i="130"/>
  <c r="D131" i="130"/>
  <c r="C131" i="130"/>
  <c r="B131" i="130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D142" i="129"/>
  <c r="C142" i="129"/>
  <c r="B142" i="129"/>
  <c r="D141" i="129"/>
  <c r="C141" i="129"/>
  <c r="B141" i="129"/>
  <c r="D140" i="129"/>
  <c r="C140" i="129"/>
  <c r="B140" i="129"/>
  <c r="D139" i="129"/>
  <c r="C139" i="129"/>
  <c r="B139" i="129"/>
  <c r="D138" i="129"/>
  <c r="C138" i="129"/>
  <c r="B138" i="129"/>
  <c r="D137" i="129"/>
  <c r="C137" i="129"/>
  <c r="B137" i="129"/>
  <c r="D136" i="129"/>
  <c r="C136" i="129"/>
  <c r="B136" i="129"/>
  <c r="D135" i="129"/>
  <c r="C135" i="129"/>
  <c r="B135" i="129"/>
  <c r="D134" i="129"/>
  <c r="C134" i="129"/>
  <c r="B134" i="129"/>
  <c r="D133" i="129"/>
  <c r="C133" i="129"/>
  <c r="B133" i="129"/>
  <c r="D132" i="129"/>
  <c r="C132" i="129"/>
  <c r="B132" i="129"/>
  <c r="D131" i="129"/>
  <c r="C131" i="129"/>
  <c r="B131" i="129"/>
  <c r="D130" i="129"/>
  <c r="C130" i="129"/>
  <c r="B130" i="129"/>
  <c r="D129" i="129"/>
  <c r="C129" i="129"/>
  <c r="B129" i="129"/>
  <c r="D128" i="129"/>
  <c r="C128" i="129"/>
  <c r="B128" i="129"/>
  <c r="A128" i="129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F12" i="102" l="1"/>
  <c r="F13" i="102"/>
  <c r="F10" i="102"/>
  <c r="F11" i="102"/>
  <c r="F14" i="102"/>
  <c r="F15" i="102"/>
  <c r="G16" i="65" l="1"/>
  <c r="F5" i="65" s="1"/>
  <c r="G5" i="65" s="1"/>
  <c r="F16" i="65"/>
  <c r="E5" i="65" s="1"/>
  <c r="C5" i="65"/>
  <c r="B5" i="65"/>
  <c r="E145" i="90" l="1"/>
  <c r="D145" i="90"/>
  <c r="C145" i="90"/>
  <c r="E144" i="90"/>
  <c r="D144" i="90"/>
  <c r="C144" i="90"/>
  <c r="E143" i="90"/>
  <c r="D143" i="90"/>
  <c r="C143" i="90"/>
  <c r="E142" i="90"/>
  <c r="D142" i="90"/>
  <c r="C142" i="90"/>
  <c r="E141" i="90"/>
  <c r="D141" i="90"/>
  <c r="C141" i="90"/>
  <c r="E140" i="90"/>
  <c r="D140" i="90"/>
  <c r="C140" i="90"/>
  <c r="E139" i="90"/>
  <c r="D139" i="90"/>
  <c r="C139" i="90"/>
  <c r="E138" i="90"/>
  <c r="D138" i="90"/>
  <c r="C138" i="90"/>
  <c r="E137" i="90"/>
  <c r="D137" i="90"/>
  <c r="C137" i="90"/>
  <c r="E136" i="90"/>
  <c r="D136" i="90"/>
  <c r="C136" i="90"/>
  <c r="E135" i="90"/>
  <c r="D135" i="90"/>
  <c r="C135" i="90"/>
  <c r="E134" i="90"/>
  <c r="D134" i="90"/>
  <c r="C134" i="90"/>
  <c r="E133" i="90"/>
  <c r="D133" i="90"/>
  <c r="C133" i="90"/>
  <c r="E132" i="90"/>
  <c r="D132" i="90"/>
  <c r="C132" i="90"/>
  <c r="E131" i="90"/>
  <c r="D131" i="90"/>
  <c r="C131" i="90"/>
  <c r="B131" i="90"/>
  <c r="B132" i="90" s="1"/>
  <c r="B133" i="90" s="1"/>
  <c r="B134" i="90" s="1"/>
  <c r="B135" i="90" s="1"/>
  <c r="B136" i="90" s="1"/>
  <c r="B137" i="90" s="1"/>
  <c r="B138" i="90" s="1"/>
  <c r="B139" i="90" s="1"/>
  <c r="B140" i="90" s="1"/>
  <c r="B141" i="90" s="1"/>
  <c r="B142" i="90" s="1"/>
  <c r="B143" i="90" s="1"/>
  <c r="B144" i="90" s="1"/>
  <c r="B145" i="90" s="1"/>
  <c r="E142" i="92"/>
  <c r="D142" i="92"/>
  <c r="C142" i="92"/>
  <c r="E141" i="92"/>
  <c r="D141" i="92"/>
  <c r="C141" i="92"/>
  <c r="E140" i="92"/>
  <c r="D140" i="92"/>
  <c r="C140" i="92"/>
  <c r="E139" i="92"/>
  <c r="D139" i="92"/>
  <c r="C139" i="92"/>
  <c r="E138" i="92"/>
  <c r="D138" i="92"/>
  <c r="C138" i="92"/>
  <c r="E137" i="92"/>
  <c r="D137" i="92"/>
  <c r="C137" i="92"/>
  <c r="E136" i="92"/>
  <c r="D136" i="92"/>
  <c r="C136" i="92"/>
  <c r="E135" i="92"/>
  <c r="D135" i="92"/>
  <c r="C135" i="92"/>
  <c r="E134" i="92"/>
  <c r="D134" i="92"/>
  <c r="C134" i="92"/>
  <c r="E133" i="92"/>
  <c r="D133" i="92"/>
  <c r="C133" i="92"/>
  <c r="E132" i="92"/>
  <c r="D132" i="92"/>
  <c r="C132" i="92"/>
  <c r="E131" i="92"/>
  <c r="D131" i="92"/>
  <c r="C131" i="92"/>
  <c r="E130" i="92"/>
  <c r="D130" i="92"/>
  <c r="C130" i="92"/>
  <c r="E129" i="92"/>
  <c r="D129" i="92"/>
  <c r="C129" i="92"/>
  <c r="E128" i="92"/>
  <c r="D128" i="92"/>
  <c r="C128" i="92"/>
  <c r="B128" i="92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E145" i="91"/>
  <c r="D145" i="91"/>
  <c r="C145" i="91"/>
  <c r="E144" i="91"/>
  <c r="D144" i="91"/>
  <c r="C144" i="91"/>
  <c r="E143" i="91"/>
  <c r="D143" i="91"/>
  <c r="C143" i="91"/>
  <c r="E142" i="91"/>
  <c r="D142" i="91"/>
  <c r="C142" i="91"/>
  <c r="E141" i="91"/>
  <c r="D141" i="91"/>
  <c r="C141" i="91"/>
  <c r="E140" i="91"/>
  <c r="D140" i="91"/>
  <c r="C140" i="91"/>
  <c r="E139" i="91"/>
  <c r="D139" i="91"/>
  <c r="C139" i="91"/>
  <c r="E138" i="91"/>
  <c r="D138" i="91"/>
  <c r="C138" i="91"/>
  <c r="E137" i="91"/>
  <c r="D137" i="91"/>
  <c r="C137" i="91"/>
  <c r="E136" i="91"/>
  <c r="D136" i="91"/>
  <c r="C136" i="91"/>
  <c r="E135" i="91"/>
  <c r="D135" i="91"/>
  <c r="C135" i="91"/>
  <c r="E134" i="91"/>
  <c r="D134" i="91"/>
  <c r="C134" i="91"/>
  <c r="E133" i="91"/>
  <c r="D133" i="91"/>
  <c r="C133" i="91"/>
  <c r="E132" i="91"/>
  <c r="D132" i="91"/>
  <c r="C132" i="91"/>
  <c r="E131" i="91"/>
  <c r="D131" i="91"/>
  <c r="C131" i="91"/>
  <c r="B131" i="91"/>
  <c r="B132" i="91" s="1"/>
  <c r="B133" i="91" s="1"/>
  <c r="B134" i="91" s="1"/>
  <c r="B135" i="91" s="1"/>
  <c r="B136" i="91" s="1"/>
  <c r="B137" i="91" s="1"/>
  <c r="B138" i="91" s="1"/>
  <c r="B139" i="91" s="1"/>
  <c r="B140" i="91" s="1"/>
  <c r="B141" i="91" s="1"/>
  <c r="B142" i="91" s="1"/>
  <c r="B143" i="91" s="1"/>
  <c r="B144" i="91" s="1"/>
  <c r="B145" i="91" s="1"/>
  <c r="G33" i="82"/>
  <c r="H16" i="78"/>
  <c r="H15" i="78"/>
  <c r="H14" i="78"/>
  <c r="H13" i="78"/>
  <c r="H12" i="78"/>
  <c r="H11" i="78"/>
  <c r="H10" i="78"/>
  <c r="H9" i="78"/>
  <c r="H8" i="78"/>
  <c r="H7" i="78"/>
  <c r="H6" i="78"/>
  <c r="H5" i="78"/>
  <c r="F30" i="104"/>
  <c r="L6" i="69"/>
  <c r="L7" i="69" s="1"/>
  <c r="K6" i="69"/>
  <c r="K7" i="69" s="1"/>
  <c r="C14" i="99"/>
  <c r="C8" i="99"/>
  <c r="F7" i="99"/>
  <c r="L25" i="21"/>
  <c r="L18" i="21"/>
  <c r="G7" i="31"/>
  <c r="G6" i="31"/>
  <c r="G5" i="31"/>
  <c r="G4" i="31"/>
  <c r="G3" i="31"/>
  <c r="Q13" i="24"/>
  <c r="Q12" i="24"/>
  <c r="Q11" i="24"/>
  <c r="Q10" i="24"/>
  <c r="Q9" i="24"/>
  <c r="Q8" i="24"/>
  <c r="Q7" i="24"/>
  <c r="Q6" i="24"/>
  <c r="Q5" i="24"/>
  <c r="Q13" i="14"/>
  <c r="Q12" i="14"/>
  <c r="Q11" i="14"/>
  <c r="Q10" i="14"/>
  <c r="Q9" i="14"/>
  <c r="Q8" i="14"/>
  <c r="Q7" i="14"/>
  <c r="Q6" i="14"/>
  <c r="Q5" i="14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L26" i="12"/>
  <c r="E26" i="12"/>
  <c r="L25" i="12"/>
  <c r="E25" i="12"/>
  <c r="L24" i="12"/>
  <c r="E24" i="12"/>
  <c r="L23" i="12"/>
  <c r="E23" i="12"/>
  <c r="L22" i="12"/>
  <c r="E22" i="12"/>
  <c r="L21" i="12"/>
  <c r="E21" i="12"/>
  <c r="L20" i="12"/>
  <c r="E20" i="12"/>
  <c r="L19" i="12"/>
  <c r="E19" i="12"/>
  <c r="L18" i="12"/>
  <c r="E18" i="12"/>
  <c r="K17" i="12"/>
  <c r="K27" i="12" s="1"/>
  <c r="J17" i="12"/>
  <c r="J27" i="12" s="1"/>
  <c r="D17" i="12"/>
  <c r="C17" i="12"/>
  <c r="C27" i="12" s="1"/>
  <c r="E15" i="12"/>
  <c r="Q26" i="11"/>
  <c r="N26" i="11"/>
  <c r="Q17" i="11"/>
  <c r="N17" i="11"/>
  <c r="Q14" i="14" l="1"/>
  <c r="E17" i="12"/>
  <c r="L27" i="12"/>
  <c r="L17" i="12"/>
  <c r="D27" i="12"/>
  <c r="E27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Y. Yto</author>
  </authors>
  <commentList>
    <comment ref="B28" authorId="0" shapeId="0" xr:uid="{00000000-0006-0000-0400-000003000000}">
      <text>
        <r>
          <rPr>
            <sz val="9"/>
            <color indexed="81"/>
            <rFont val="Segoe UI"/>
            <family val="2"/>
          </rPr>
          <t>Médias salariais dos anos 2016 e 2017.
fonte: exame.com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Y. Yto</author>
  </authors>
  <commentList>
    <comment ref="J6" authorId="0" shapeId="0" xr:uid="{B241CAEE-13EB-45B5-BB03-C68BA88B1406}">
      <text>
        <r>
          <rPr>
            <b/>
            <sz val="9"/>
            <color indexed="81"/>
            <rFont val="Segoe UI"/>
            <family val="2"/>
          </rPr>
          <t>Soma dos 4 trimestres do ano</t>
        </r>
      </text>
    </comment>
    <comment ref="K6" authorId="0" shapeId="0" xr:uid="{3C995D5E-5CD3-4F22-823A-DA7C6B13D302}">
      <text>
        <r>
          <rPr>
            <b/>
            <sz val="9"/>
            <color indexed="81"/>
            <rFont val="Segoe UI"/>
            <family val="2"/>
          </rPr>
          <t>Divisão do Total pela meta individual</t>
        </r>
      </text>
    </comment>
    <comment ref="L6" authorId="0" shapeId="0" xr:uid="{BAF9408F-4984-477E-9DD1-4953D96D2416}">
      <text>
        <r>
          <rPr>
            <b/>
            <sz val="9"/>
            <color indexed="81"/>
            <rFont val="Segoe UI"/>
            <family val="2"/>
          </rPr>
          <t>O quanto o vendedor vendeu a mais, comparado ao ano passado</t>
        </r>
      </text>
    </comment>
    <comment ref="O14" authorId="0" shapeId="0" xr:uid="{CC18B411-0E7D-4B99-93CE-8AAE2E37B668}">
      <text>
        <r>
          <rPr>
            <b/>
            <sz val="10"/>
            <color indexed="33"/>
            <rFont val="negrito"/>
          </rPr>
          <t>Eduardo Y. Yto:</t>
        </r>
        <r>
          <rPr>
            <sz val="10"/>
            <color indexed="33"/>
            <rFont val="negrito"/>
          </rPr>
          <t xml:space="preserve">
Qual o total de vendas de 2020, somando as vendas de todos os colaboradores?</t>
        </r>
      </text>
    </comment>
    <comment ref="O17" authorId="0" shapeId="0" xr:uid="{9D8DE0C9-0A03-4517-A0C9-03C90A184C6B}">
      <text>
        <r>
          <rPr>
            <b/>
            <sz val="9"/>
            <color indexed="33"/>
            <rFont val="negrito"/>
          </rPr>
          <t>Eduardo Y. Yto:</t>
        </r>
        <r>
          <rPr>
            <sz val="9"/>
            <color indexed="33"/>
            <rFont val="negrito"/>
          </rPr>
          <t xml:space="preserve">
O quanto alcançamos?</t>
        </r>
      </text>
    </comment>
    <comment ref="O20" authorId="0" shapeId="0" xr:uid="{4D77EC28-FA14-4E22-B4CC-07DBB37EF930}">
      <text>
        <r>
          <rPr>
            <b/>
            <sz val="9"/>
            <color indexed="33"/>
            <rFont val="Segoe UI"/>
            <family val="2"/>
          </rPr>
          <t>Eduardo Y. Yto:</t>
        </r>
        <r>
          <rPr>
            <sz val="9"/>
            <color indexed="33"/>
            <rFont val="Segoe UI"/>
            <family val="2"/>
          </rPr>
          <t xml:space="preserve">
O quanto falta para batermos a meta?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<sst xmlns="http://schemas.openxmlformats.org/spreadsheetml/2006/main" count="4549" uniqueCount="1145">
  <si>
    <t>Nome</t>
  </si>
  <si>
    <t>Cidade</t>
  </si>
  <si>
    <t>Estado</t>
  </si>
  <si>
    <t>Ana Gates</t>
  </si>
  <si>
    <t>Marcos Emílio</t>
  </si>
  <si>
    <t>Gildete Maria</t>
  </si>
  <si>
    <t>Ruth Gomes</t>
  </si>
  <si>
    <t>Euzébio Matos</t>
  </si>
  <si>
    <t>Anderson Costa</t>
  </si>
  <si>
    <t>William Martins</t>
  </si>
  <si>
    <t>Sheila Carlos</t>
  </si>
  <si>
    <t>Rua Amaral Neto 234</t>
  </si>
  <si>
    <t>Rua dos Andrades 1000</t>
  </si>
  <si>
    <t>Via Cunha Matos 23</t>
  </si>
  <si>
    <t>Alameda Araguaiana 100</t>
  </si>
  <si>
    <t>Avenida Policarpo Sá 129</t>
  </si>
  <si>
    <t>Travessa Guido Sergio 12</t>
  </si>
  <si>
    <t>Rua Batatais 100</t>
  </si>
  <si>
    <t>Rua Floriano Peixoto 200</t>
  </si>
  <si>
    <t>Barueri</t>
  </si>
  <si>
    <t>Osasco</t>
  </si>
  <si>
    <t>Cotia</t>
  </si>
  <si>
    <t>Guarulhos</t>
  </si>
  <si>
    <t>Campinas</t>
  </si>
  <si>
    <t>Sorocaba</t>
  </si>
  <si>
    <t>Indaiatuba</t>
  </si>
  <si>
    <t>SP</t>
  </si>
  <si>
    <t>Logradouro</t>
  </si>
  <si>
    <t>FUNÇÃO UNIRTEXTO</t>
  </si>
  <si>
    <t>Cargo</t>
  </si>
  <si>
    <t>Gerente de Sistemas</t>
  </si>
  <si>
    <t>Coordenador de Sistemas</t>
  </si>
  <si>
    <t>Gerente de Projetos</t>
  </si>
  <si>
    <t>Analista de Sistemas</t>
  </si>
  <si>
    <t>Arquiteto de Aplicações</t>
  </si>
  <si>
    <t>Analista de Negócios</t>
  </si>
  <si>
    <t>Analista de Programador/Desenvolvedor</t>
  </si>
  <si>
    <t>Consultor ERP</t>
  </si>
  <si>
    <t>Analista de Testes</t>
  </si>
  <si>
    <t>Engenheiro de Big Data</t>
  </si>
  <si>
    <t>Gerente de Big Data</t>
  </si>
  <si>
    <t>Administrador de Big Data</t>
  </si>
  <si>
    <t>Arquiteto de Dados</t>
  </si>
  <si>
    <t>Cientista de Dados</t>
  </si>
  <si>
    <t>Analista de BI</t>
  </si>
  <si>
    <t>Aplicações | Integrações de Sistemas</t>
  </si>
  <si>
    <t>Big Data</t>
  </si>
  <si>
    <t>| DESLOCAMENTO | SELEÇÃO DE CÉLULAS |</t>
  </si>
  <si>
    <t>| MOVER CÉLULAS |</t>
  </si>
  <si>
    <t>Alça de Preenchimento com números</t>
  </si>
  <si>
    <t>Números sequênciais</t>
  </si>
  <si>
    <t>Números não sequênciais</t>
  </si>
  <si>
    <t>Alça de Preenchimento com número e texto</t>
  </si>
  <si>
    <t>Com número e texto</t>
  </si>
  <si>
    <t>Com texto e número</t>
  </si>
  <si>
    <t>Lote 01</t>
  </si>
  <si>
    <t>21 notebooks</t>
  </si>
  <si>
    <t>Com texto</t>
  </si>
  <si>
    <t>Planilhas</t>
  </si>
  <si>
    <t>Com texto alternado</t>
  </si>
  <si>
    <t>Apresentações</t>
  </si>
  <si>
    <t>Alça de Preenchimento apenas com texto</t>
  </si>
  <si>
    <t>Com dias</t>
  </si>
  <si>
    <t>Com dias da semana</t>
  </si>
  <si>
    <t>Com Meses</t>
  </si>
  <si>
    <t>Com Anos</t>
  </si>
  <si>
    <t>Preenchimento em série [DATA]</t>
  </si>
  <si>
    <t>ALÇA DE PREENCHIMENTO OU PREENCHIMENTO EM SÉRIE</t>
  </si>
  <si>
    <t>Recortar</t>
  </si>
  <si>
    <t>Copiar</t>
  </si>
  <si>
    <t>Cole o Recorte</t>
  </si>
  <si>
    <t>Cole a cópia</t>
  </si>
  <si>
    <t>Aluguel</t>
  </si>
  <si>
    <t>IPVA</t>
  </si>
  <si>
    <t>Água</t>
  </si>
  <si>
    <t>Luz</t>
  </si>
  <si>
    <t>Outros</t>
  </si>
  <si>
    <t>Total das despesas</t>
  </si>
  <si>
    <t>Pincel de Formatação</t>
  </si>
  <si>
    <t>Comparativo Mês Real x Previsto</t>
  </si>
  <si>
    <t>Total de Receitas Líquida</t>
  </si>
  <si>
    <t>Real</t>
  </si>
  <si>
    <t>Previsto</t>
  </si>
  <si>
    <t>Dif</t>
  </si>
  <si>
    <t>Receita</t>
  </si>
  <si>
    <t>Total de Despesas</t>
  </si>
  <si>
    <t>Alimentação</t>
  </si>
  <si>
    <t>Moradia</t>
  </si>
  <si>
    <t>Educação</t>
  </si>
  <si>
    <t>Animal de Estimação</t>
  </si>
  <si>
    <t>Saúde</t>
  </si>
  <si>
    <t>Transporte</t>
  </si>
  <si>
    <t>Pessoais</t>
  </si>
  <si>
    <t>Lazer</t>
  </si>
  <si>
    <t>Serviços Financeiros</t>
  </si>
  <si>
    <t>Saldo Mensal Receitas (-) Despesas</t>
  </si>
  <si>
    <t>Total de Receita Líquida</t>
  </si>
  <si>
    <t>Maio de 2018</t>
  </si>
  <si>
    <t>Nº</t>
  </si>
  <si>
    <t>Vendedor</t>
  </si>
  <si>
    <t>Carlos Arantes</t>
  </si>
  <si>
    <t>Marcia Tavares</t>
  </si>
  <si>
    <t>Antonia Munhoz</t>
  </si>
  <si>
    <t>Kléber Nascimento</t>
  </si>
  <si>
    <t>1º Trimestre</t>
  </si>
  <si>
    <t>2º Trimestre</t>
  </si>
  <si>
    <t>3º Trimestre</t>
  </si>
  <si>
    <t>4º Trimestre</t>
  </si>
  <si>
    <t>Total</t>
  </si>
  <si>
    <t>Nº Pedido</t>
  </si>
  <si>
    <t>Data da Venda</t>
  </si>
  <si>
    <t>Produto</t>
  </si>
  <si>
    <t>Quantidade</t>
  </si>
  <si>
    <t>Filial</t>
  </si>
  <si>
    <t>Consultor</t>
  </si>
  <si>
    <t>Nº de Parcelas</t>
  </si>
  <si>
    <t>Faturado</t>
  </si>
  <si>
    <t>Comissões</t>
  </si>
  <si>
    <t>Loja 1</t>
  </si>
  <si>
    <t>Loja 2</t>
  </si>
  <si>
    <t>Loja 3</t>
  </si>
  <si>
    <t>Eduardo Oliveira</t>
  </si>
  <si>
    <t>Miguel Nunes</t>
  </si>
  <si>
    <t>Maria Soraia</t>
  </si>
  <si>
    <t>Eleusina Leite</t>
  </si>
  <si>
    <t>Ashley Bennington</t>
  </si>
  <si>
    <t>Afonso Neres</t>
  </si>
  <si>
    <t>Mariana Dias</t>
  </si>
  <si>
    <t>Dolores Rosa</t>
  </si>
  <si>
    <t>Caetano Marques</t>
  </si>
  <si>
    <t>Matheus Franz</t>
  </si>
  <si>
    <t>Camera Digital Panasonic LZ3</t>
  </si>
  <si>
    <t>Modem ADSl D Link 500B</t>
  </si>
  <si>
    <t>Licor Frangelico 700ml</t>
  </si>
  <si>
    <t>Monitor Acer 19</t>
  </si>
  <si>
    <t>DataVenda</t>
  </si>
  <si>
    <t>Categoria</t>
  </si>
  <si>
    <t>Região</t>
  </si>
  <si>
    <t>Custo Fixo</t>
  </si>
  <si>
    <t>Custo Variável</t>
  </si>
  <si>
    <t>Sul</t>
  </si>
  <si>
    <t>Norte</t>
  </si>
  <si>
    <t>Centro-Oeste</t>
  </si>
  <si>
    <t>Sudeste</t>
  </si>
  <si>
    <t>Nordeste</t>
  </si>
  <si>
    <t>Johnnie Walker Black Label</t>
  </si>
  <si>
    <t>Buchanans Luxe</t>
  </si>
  <si>
    <t>Data Entrada</t>
  </si>
  <si>
    <t>Guilherme Macedo Nunes</t>
  </si>
  <si>
    <t>Joaquim Severo Matos</t>
  </si>
  <si>
    <t>Carlos Miguel Souza</t>
  </si>
  <si>
    <t>Maria Silvia Diniz</t>
  </si>
  <si>
    <t>Elaine Maciel Aguiar</t>
  </si>
  <si>
    <t>Eduardo Yoshio Yto</t>
  </si>
  <si>
    <t>Tallia Larissa Sotero</t>
  </si>
  <si>
    <t>Giovanni Camargo Bueno</t>
  </si>
  <si>
    <t>Valter Vasilijukus Silva</t>
  </si>
  <si>
    <t>Clodoaldo Aguiar Neves</t>
  </si>
  <si>
    <t>Florinda Hernandez Chavez</t>
  </si>
  <si>
    <t>Hermes Fonseca Guido</t>
  </si>
  <si>
    <t>Marcia Meirelles Estevez</t>
  </si>
  <si>
    <t>Departamento</t>
  </si>
  <si>
    <t>Logística</t>
  </si>
  <si>
    <t>Financeiro</t>
  </si>
  <si>
    <t>Administrativo</t>
  </si>
  <si>
    <t>RH</t>
  </si>
  <si>
    <t>Pedagógico</t>
  </si>
  <si>
    <t>Salário</t>
  </si>
  <si>
    <t>guilherme.macedo@xyz.com.br</t>
  </si>
  <si>
    <t>eduardo.yoshio@xyz.com.br</t>
  </si>
  <si>
    <t>Bruna Guimaraes Souza</t>
  </si>
  <si>
    <t>Amelia Maria Cézar</t>
  </si>
  <si>
    <t>bruna.guimaraes@xyz.com.br</t>
  </si>
  <si>
    <t>elaine.maciel@xyz.com.br</t>
  </si>
  <si>
    <t>joaquim.severo@xyz.com.br</t>
  </si>
  <si>
    <t>carlos.miguel@xyz.com.br</t>
  </si>
  <si>
    <t>giovanni.camargo@xyz.com.br</t>
  </si>
  <si>
    <t>amelia.maria@xyz.com.br</t>
  </si>
  <si>
    <t>valter.vasilijukus@xyz.com.br</t>
  </si>
  <si>
    <t>florinda.hernandez@xyz.com.br</t>
  </si>
  <si>
    <t>marcia.meirelles@xyz.com.br</t>
  </si>
  <si>
    <t>Endereço eletrônico</t>
  </si>
  <si>
    <t>Compras</t>
  </si>
  <si>
    <t>tallia.larissa@abc.com.br</t>
  </si>
  <si>
    <t>hermes.fonseca@abc.com.br</t>
  </si>
  <si>
    <t>clodoaldo.aguiar@abc.com.br</t>
  </si>
  <si>
    <t>maria.silvia@abc.com.br</t>
  </si>
  <si>
    <t>Colaborador</t>
  </si>
  <si>
    <t>Nome do Meio</t>
  </si>
  <si>
    <t>Sobrenome</t>
  </si>
  <si>
    <t>marcos</t>
  </si>
  <si>
    <t>eduardo</t>
  </si>
  <si>
    <t>arthur</t>
  </si>
  <si>
    <t>victor</t>
  </si>
  <si>
    <t>tallia</t>
  </si>
  <si>
    <t>carmen</t>
  </si>
  <si>
    <t>thiago</t>
  </si>
  <si>
    <t>mariana</t>
  </si>
  <si>
    <t>judith</t>
  </si>
  <si>
    <t>marcia</t>
  </si>
  <si>
    <t>zuleica</t>
  </si>
  <si>
    <t>carla</t>
  </si>
  <si>
    <t>creuza</t>
  </si>
  <si>
    <t>clóvis</t>
  </si>
  <si>
    <t>b</t>
  </si>
  <si>
    <t>c</t>
  </si>
  <si>
    <t>g</t>
  </si>
  <si>
    <t>h</t>
  </si>
  <si>
    <t>y</t>
  </si>
  <si>
    <t>t</t>
  </si>
  <si>
    <t>r</t>
  </si>
  <si>
    <t>s</t>
  </si>
  <si>
    <t>d</t>
  </si>
  <si>
    <t>p</t>
  </si>
  <si>
    <t>alencar</t>
  </si>
  <si>
    <t>menezes</t>
  </si>
  <si>
    <t>dias</t>
  </si>
  <si>
    <t>silvestre</t>
  </si>
  <si>
    <t>campos</t>
  </si>
  <si>
    <t>medeiros</t>
  </si>
  <si>
    <t>masckovizk</t>
  </si>
  <si>
    <t>aleixo</t>
  </si>
  <si>
    <t>cézar</t>
  </si>
  <si>
    <t>guimarães</t>
  </si>
  <si>
    <t>magalhães</t>
  </si>
  <si>
    <t>sotero</t>
  </si>
  <si>
    <t>leite</t>
  </si>
  <si>
    <t>silva</t>
  </si>
  <si>
    <t>Nome Completo</t>
  </si>
  <si>
    <t>Sobrenome, Nome</t>
  </si>
  <si>
    <t>x</t>
  </si>
  <si>
    <t>Rua Manoel, 118 - São Paulo/SP</t>
  </si>
  <si>
    <t>Avenida Brigadeiro, 598 - São Paulo/SP</t>
  </si>
  <si>
    <t>Rua Gabriel, 78 - Campinas/SP</t>
  </si>
  <si>
    <t>Rua EX, 12 - Blumenau/SP</t>
  </si>
  <si>
    <t>Via Miquéias Naves, 984 - Cruzeiro do Sul/SP</t>
  </si>
  <si>
    <t>Rua Olaria, 220 - Barueri/SP</t>
  </si>
  <si>
    <t>Rua Zorci Dias, 363 - Guarulhos/SP</t>
  </si>
  <si>
    <t>Endereço</t>
  </si>
  <si>
    <t>UF</t>
  </si>
  <si>
    <t>Avenida Marcos Nunes, 331 - Rio de Janeiro/RJ</t>
  </si>
  <si>
    <t>Quadra Q9, 498 - Salvador/BA</t>
  </si>
  <si>
    <t>Alameda Jurerê, 420 - Monte Verde/MG</t>
  </si>
  <si>
    <t>Avenida Santos, 534 - Landri/PI</t>
  </si>
  <si>
    <t>Mesclado</t>
  </si>
  <si>
    <t>Telefone</t>
  </si>
  <si>
    <t>22 63205003</t>
  </si>
  <si>
    <t>79 43538502</t>
  </si>
  <si>
    <t>47 51130400</t>
  </si>
  <si>
    <t>11 51110137</t>
  </si>
  <si>
    <t>85 41332754</t>
  </si>
  <si>
    <t>60 60085318</t>
  </si>
  <si>
    <t>21 43513126</t>
  </si>
  <si>
    <t>84 50614129</t>
  </si>
  <si>
    <t>36 51730168</t>
  </si>
  <si>
    <t>11 42113351</t>
  </si>
  <si>
    <t>Telefone com parênteses e hífen</t>
  </si>
  <si>
    <t>Rua das Irenes, 679 - Mossoró/RN</t>
  </si>
  <si>
    <t>Data de Nascimento</t>
  </si>
  <si>
    <t>AAAA/MM/DD</t>
  </si>
  <si>
    <t>DD/MM/AAAA</t>
  </si>
  <si>
    <t>Planejamento</t>
  </si>
  <si>
    <t>Noções básicas: fazer cálculos no Excel</t>
  </si>
  <si>
    <t xml:space="preserve">Você pode somar, subtrair, multiplicar e dividir no Excel sem usar as funções internas. Basta usar alguns operadores básicos: +, -, * e /. Todas as fórmulas começam com um sinal de igual (=).
</t>
  </si>
  <si>
    <t>Números a usar:</t>
  </si>
  <si>
    <t>Operação:</t>
  </si>
  <si>
    <t>Fórmulas:</t>
  </si>
  <si>
    <t>Respostas:</t>
  </si>
  <si>
    <t xml:space="preserve">Para somar, selecione a célula F3, digite =C3+C4 e pressione Enter. 
</t>
  </si>
  <si>
    <t xml:space="preserve">Adição (+) </t>
  </si>
  <si>
    <t xml:space="preserve">Para subtrair, selecione a célula F4, digite =C3-C4 e pressione Enter. </t>
  </si>
  <si>
    <t xml:space="preserve">Subtração (-) </t>
  </si>
  <si>
    <t xml:space="preserve">Para multiplicar, selecione a célula F5, digite =C3*C4 e pressione Enter.
</t>
  </si>
  <si>
    <t xml:space="preserve">Multiplicação (*) </t>
  </si>
  <si>
    <t xml:space="preserve">Para dividir, selecione a célula F6, digite =C3/C4 e pressione Enter.
</t>
  </si>
  <si>
    <t xml:space="preserve">Divisão (/) </t>
  </si>
  <si>
    <t>Veja só: altere os números nas células C3 e C4 e veja os resultados da fórmula serem alterados automaticamente.</t>
  </si>
  <si>
    <t xml:space="preserve">Potência (^) </t>
  </si>
  <si>
    <t>CRÉDITO ADICIONAL: Para elevar um número a determinada potência, use o símbolo de circunflexo (^), como =A1^A2. Para inseri-lo, pressione Shift+~, ao lado da cedilha. Na célula F7, digite =C3^C4.</t>
  </si>
  <si>
    <t>Veja mais detalhes abaixo</t>
  </si>
  <si>
    <t>Próxima etapa</t>
  </si>
  <si>
    <t>Saiba mais sobre fórmulas, células e intervalos</t>
  </si>
  <si>
    <t xml:space="preserve">O Excel é composto de células individuais que estão agrupadas em linhas e colunas. Linhas são identificadas por números e colunas, por letras. Há mais de 1 milhão de linhas e mais de 16.000 colunas, e você pode colocar fórmulas em qualquer uma delas. 
</t>
  </si>
  <si>
    <t xml:space="preserve">As fórmulas podem conter referências a células, a intervalos de células, operadores e constantes. Todos os seguintes são exemplos de fórmulas:
=A1+B1
=10+20
=SOMA(A1:A10)
</t>
  </si>
  <si>
    <t xml:space="preserve">Você verá que usamos a função SOMA em nosso terceiro exemplo acima. Uma função é um comando previamente criado que pega um valor ou valores, faz determinado cálculo e retorna um resultado. Por exemplo, a função SOMA pega as referências ou intervalos de células especificados, e soma tudo. Neste exemplo, ela pega as células de A1 a A10 e soma. O Excel tem mais de 400 funções, que você pode explorar na guia Fórmulas.
</t>
  </si>
  <si>
    <t xml:space="preserve">Fórmulas com funções começam com um sinal de igual, depois o nome da função seguido de seus argumentos (os valores que uma função usa para calcular) entre parênteses. 
</t>
  </si>
  <si>
    <t xml:space="preserve">Confirme uma fórmula pressionando Enter. Quando fizer isso, a fórmula será calculada e o resultado será exibido na célula. Para ver a fórmula em si, você pode olhar na barra de fórmulas, logo abaixo da Faixa de Opções, ou pressionar F2 para entrar no modo de edição, e ver a fórmula na célula. Pressione Enter novamente para finalizar a fórmula e calcular o resultado.
</t>
  </si>
  <si>
    <t>Algumas explicações sobre fórmulas</t>
  </si>
  <si>
    <t>"=10+20" é uma fórmula em que 10 e 20 são constantes, e o sinal + é o operador.</t>
  </si>
  <si>
    <t>=SOMA(A1:A10) é uma fórmula, em que SOMA é o nome da função, os parênteses de abertura e fechamento contêm os argumentos da fórmula e A1:A10 é o intervalo de células para a função.</t>
  </si>
  <si>
    <t>=SOMA(A1:A10;C1:C10) é uma fórmula em que SOMA é o nome da função, os parênteses de abertura e fechamento contêm os argumentos da fórmula e A1:A10;C1:C10 são os intervalos de células para a função separados por um ponto e vírgula.</t>
  </si>
  <si>
    <t xml:space="preserve">É BOM SABER: Constantes são valores inseridos em células ou fórmulas. Apesar de "=10+20" oferecer o mesmo cálculo que "=A1+B1", constantes não recomendadas. Por quê? Porque você não consegue ver facilmente a constante sem selecionar a célula e procurar o valor. E isso pode ser difícil de alterar posteriormente. É muito mais fácil colocar constantes em células, onde elas podem ser facilmente ajustadas, e fazer referência a elas em suas fórmulas.
Por exemplo: Selecione a célula amarela abaixo que contém o 12. Você verá que usamos a função SOMA com um intervalo de células. Nós não digitamos "4" ou "8" diretamente na fórmula. 
</t>
  </si>
  <si>
    <t>Anterior</t>
  </si>
  <si>
    <t>Avançar</t>
  </si>
  <si>
    <t>Mais informações na Web</t>
  </si>
  <si>
    <t>Use o Excel como uma calculadora</t>
  </si>
  <si>
    <t>Visão geral de fórmulas no Excel</t>
  </si>
  <si>
    <t xml:space="preserve">Funções do Excel (por categoria) </t>
  </si>
  <si>
    <t>Funções do Excel (em ordem alfabética) </t>
  </si>
  <si>
    <t>Treinamento grátis sobre o Excel online</t>
  </si>
  <si>
    <t>Valores</t>
  </si>
  <si>
    <t>Vendedores</t>
  </si>
  <si>
    <t>Anderson Quintana</t>
  </si>
  <si>
    <t>Bernadete Oliveira</t>
  </si>
  <si>
    <t>Carmen Guimarães</t>
  </si>
  <si>
    <t>1º Trim.</t>
  </si>
  <si>
    <t>2º Trim.</t>
  </si>
  <si>
    <t>3º Trim.</t>
  </si>
  <si>
    <t>4º Trim.</t>
  </si>
  <si>
    <t>Maria Amélia Dias</t>
  </si>
  <si>
    <t>Mario Luigi Souza</t>
  </si>
  <si>
    <t>Formatada como tabela</t>
  </si>
  <si>
    <t>Formatada como Intervalo de dados</t>
  </si>
  <si>
    <t>Vendas Ano Fiscal 2017</t>
  </si>
  <si>
    <t>Vendas Ano Fiscal 2018</t>
  </si>
  <si>
    <t>2017 + 2018</t>
  </si>
  <si>
    <t>Total 2017 + 2018</t>
  </si>
  <si>
    <t>Funcionário</t>
  </si>
  <si>
    <t>Faltas</t>
  </si>
  <si>
    <t>INSS</t>
  </si>
  <si>
    <t>Salário Líquido</t>
  </si>
  <si>
    <t>Maria Júlia</t>
  </si>
  <si>
    <t>Anna Larissa</t>
  </si>
  <si>
    <t>Marcia Judith</t>
  </si>
  <si>
    <t>Marcos Rangel</t>
  </si>
  <si>
    <t>Adolfo Moreno</t>
  </si>
  <si>
    <t>Rendimentos</t>
  </si>
  <si>
    <t>Despesas</t>
  </si>
  <si>
    <t>Ana Luiza</t>
  </si>
  <si>
    <t>Marcos Júlio</t>
  </si>
  <si>
    <t>Valor</t>
  </si>
  <si>
    <t>Saldo restante</t>
  </si>
  <si>
    <t>Preço Unitário</t>
  </si>
  <si>
    <t>Vendas Realizadas</t>
  </si>
  <si>
    <t>Papel Sulfite</t>
  </si>
  <si>
    <t>Grampeador</t>
  </si>
  <si>
    <t>Extrator de Grampo</t>
  </si>
  <si>
    <t>Caneta Esferográfica</t>
  </si>
  <si>
    <t>Calculadora de mesa</t>
  </si>
  <si>
    <t>Post-it</t>
  </si>
  <si>
    <t>Planilha de Vendas Papelaria</t>
  </si>
  <si>
    <t>Vendas Semestre</t>
  </si>
  <si>
    <t>Qtd. Vendas</t>
  </si>
  <si>
    <t>Total Vendas Semestre</t>
  </si>
  <si>
    <t>Meta Vendas Semestre</t>
  </si>
  <si>
    <t>% Vendas Alcançadas</t>
  </si>
  <si>
    <t>Eduarda Midori</t>
  </si>
  <si>
    <t>Analice Xavier</t>
  </si>
  <si>
    <t>Maria Oliveira</t>
  </si>
  <si>
    <t>Gislaine Carlos</t>
  </si>
  <si>
    <t>Eduardo Silva</t>
  </si>
  <si>
    <t>José Miguel</t>
  </si>
  <si>
    <t>Willians Cunha</t>
  </si>
  <si>
    <t>Elaine Cristina</t>
  </si>
  <si>
    <t>Margarida Liberatto</t>
  </si>
  <si>
    <t>Facundo Telles</t>
  </si>
  <si>
    <t>Total Geral</t>
  </si>
  <si>
    <t>Receitas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</si>
  <si>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</si>
  <si>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</si>
  <si>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</si>
  <si>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</si>
  <si>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</si>
  <si>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</si>
  <si>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</si>
  <si>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</si>
  <si>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</si>
  <si>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</si>
  <si>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</si>
  <si>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</si>
  <si>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Rendimentos Bancos</t>
  </si>
  <si>
    <t>Gás</t>
  </si>
  <si>
    <t>Supermercado</t>
  </si>
  <si>
    <t>Plano de saúde</t>
  </si>
  <si>
    <t>Prestação do carro</t>
  </si>
  <si>
    <t>Seguro</t>
  </si>
  <si>
    <t>Combustível</t>
  </si>
  <si>
    <t>Roupas / Calçados</t>
  </si>
  <si>
    <t>Reformas e Manutenção</t>
  </si>
  <si>
    <t>Total de Receitas</t>
  </si>
  <si>
    <t>Total de despesas</t>
  </si>
  <si>
    <t>QUANTO SOBROU?</t>
  </si>
  <si>
    <t>Frase simples, não obstante de igual importância.</t>
  </si>
  <si>
    <t>Em um país com pouca educação financeira como o Brasil, gastar o dinheiro antes de receber é muito comum, entretanto, esta é uma atitude altamente prejudicial para a sua saúde financeira.</t>
  </si>
  <si>
    <t>“Nunca gaste seu dinheiro antes de recebê-lo” – Thomas Jefferson</t>
  </si>
  <si>
    <t>Planilha de Custos de Escritório</t>
  </si>
  <si>
    <t>Custo</t>
  </si>
  <si>
    <t>Custos por Área</t>
  </si>
  <si>
    <t>Mobiliário</t>
  </si>
  <si>
    <t>Cadeira</t>
  </si>
  <si>
    <t>Equipamentos</t>
  </si>
  <si>
    <t>Mesa / Estação de Trabalho</t>
  </si>
  <si>
    <t>Decoração</t>
  </si>
  <si>
    <t>Armário</t>
  </si>
  <si>
    <t>Custos Diversos</t>
  </si>
  <si>
    <t>Gaveteiro</t>
  </si>
  <si>
    <t>Sala de Reunião</t>
  </si>
  <si>
    <t>Sofá / Poltrona</t>
  </si>
  <si>
    <t>Recepção</t>
  </si>
  <si>
    <t>Subtotal</t>
  </si>
  <si>
    <t>Ar condicionado / Split</t>
  </si>
  <si>
    <t>Filtro de água</t>
  </si>
  <si>
    <t>Cafeteira</t>
  </si>
  <si>
    <t>Roteador Wifi</t>
  </si>
  <si>
    <t>Impressora / Multifuncional</t>
  </si>
  <si>
    <t>Aparelho Telefônico</t>
  </si>
  <si>
    <t>Geladeira / Frigobar</t>
  </si>
  <si>
    <t>Microondas</t>
  </si>
  <si>
    <t>Computadores / Notebooks dos Colaboradores</t>
  </si>
  <si>
    <t>Decoração / Utensílios de Cozinha</t>
  </si>
  <si>
    <t>Quadros</t>
  </si>
  <si>
    <t>Prateleiras</t>
  </si>
  <si>
    <t>Luminárias</t>
  </si>
  <si>
    <t>Lâmpadas</t>
  </si>
  <si>
    <t>Quadro Branco</t>
  </si>
  <si>
    <t>Instalação de ar condicionado / split</t>
  </si>
  <si>
    <t>Repintura (entrega do imóvel)</t>
  </si>
  <si>
    <t>Cotas extras</t>
  </si>
  <si>
    <t>Manutenção (Infiltração, elétrica etc)</t>
  </si>
  <si>
    <t>Seguro-fiança / Caução / Depósito</t>
  </si>
  <si>
    <t>Obras/reforma/pintura</t>
  </si>
  <si>
    <t>Mesa</t>
  </si>
  <si>
    <t>TV</t>
  </si>
  <si>
    <t>Suporte para TV</t>
  </si>
  <si>
    <t>Projetor + Tela</t>
  </si>
  <si>
    <t>DVD / Blu-ray</t>
  </si>
  <si>
    <t>Videogame</t>
  </si>
  <si>
    <t>Cabo HDMI</t>
  </si>
  <si>
    <t>Webcam</t>
  </si>
  <si>
    <t>Área</t>
  </si>
  <si>
    <t>Eduardo</t>
  </si>
  <si>
    <t>Luzinete</t>
  </si>
  <si>
    <t>Victor</t>
  </si>
  <si>
    <t>Tallia</t>
  </si>
  <si>
    <t>Arthur</t>
  </si>
  <si>
    <t>Davi</t>
  </si>
  <si>
    <t>Carmen</t>
  </si>
  <si>
    <t>ID</t>
  </si>
  <si>
    <t>Comercial</t>
  </si>
  <si>
    <t>2017</t>
  </si>
  <si>
    <t>Média</t>
  </si>
  <si>
    <t>Ano</t>
  </si>
  <si>
    <t>Mês</t>
  </si>
  <si>
    <t>JAN</t>
  </si>
  <si>
    <t>FEV</t>
  </si>
  <si>
    <t>Cliente</t>
  </si>
  <si>
    <t>Ana Luisa</t>
  </si>
  <si>
    <t>Quantos pagaram</t>
  </si>
  <si>
    <t>Quantos devem</t>
  </si>
  <si>
    <t>Nº de clientes</t>
  </si>
  <si>
    <t>Clientes Empresa XYZ</t>
  </si>
  <si>
    <t>Meta</t>
  </si>
  <si>
    <t>Boituva</t>
  </si>
  <si>
    <t>Cajamar</t>
  </si>
  <si>
    <t>Los Angeles</t>
  </si>
  <si>
    <t>Quebec</t>
  </si>
  <si>
    <t>Dublin</t>
  </si>
  <si>
    <t>Luanda</t>
  </si>
  <si>
    <t>Chiba</t>
  </si>
  <si>
    <t>Utah</t>
  </si>
  <si>
    <t>Assunção</t>
  </si>
  <si>
    <t>Medelín</t>
  </si>
  <si>
    <t>Representante</t>
  </si>
  <si>
    <t>Em nossa equipe contamos com</t>
  </si>
  <si>
    <t>representantes  de</t>
  </si>
  <si>
    <t>e nossa menor venda</t>
  </si>
  <si>
    <t>Portanto, vale ressaltar</t>
  </si>
  <si>
    <t>Relatório Básico Final</t>
  </si>
  <si>
    <t>Carmen Oliveira</t>
  </si>
  <si>
    <t>Géssica Leonardo</t>
  </si>
  <si>
    <t>Heitor Passos</t>
  </si>
  <si>
    <t>Isaac Novaes</t>
  </si>
  <si>
    <t>Judith Shermann</t>
  </si>
  <si>
    <t>Lidia Madeira</t>
  </si>
  <si>
    <t>Marieta Bomtempo</t>
  </si>
  <si>
    <t>Tiago Guilherme</t>
  </si>
  <si>
    <t>Valter Sousa</t>
  </si>
  <si>
    <t>eduardo                                yto</t>
  </si>
  <si>
    <t>tallia                                maria</t>
  </si>
  <si>
    <t>victor                                souza</t>
  </si>
  <si>
    <t>guilherme                                moura</t>
  </si>
  <si>
    <t>marcos                                miranda</t>
  </si>
  <si>
    <t>mariana                                martins</t>
  </si>
  <si>
    <t>judith                                matos</t>
  </si>
  <si>
    <t>edicréia                                xavier</t>
  </si>
  <si>
    <t>quincas                                gaspar</t>
  </si>
  <si>
    <t>josé                                hugo</t>
  </si>
  <si>
    <t>keiti                                santana</t>
  </si>
  <si>
    <t>carla                                mota</t>
  </si>
  <si>
    <t>amélia                                silva</t>
  </si>
  <si>
    <t>Pri.Maiúscula</t>
  </si>
  <si>
    <t>Maiúscula</t>
  </si>
  <si>
    <t>Minúscula</t>
  </si>
  <si>
    <t>Arrumar</t>
  </si>
  <si>
    <t>Pessoas que tem mesas bagunçadas são mais criativas, diz estudo! Será?</t>
  </si>
  <si>
    <t>Pri.Maiúscula + Arrumar</t>
  </si>
  <si>
    <t>luzinete                                zonta</t>
  </si>
  <si>
    <t>Setor</t>
  </si>
  <si>
    <t>Setor 001</t>
  </si>
  <si>
    <t>Setor 002</t>
  </si>
  <si>
    <t>Setor 003</t>
  </si>
  <si>
    <t>Setor 004</t>
  </si>
  <si>
    <t>Setor 005</t>
  </si>
  <si>
    <t>Setor 006</t>
  </si>
  <si>
    <t>Setor 007</t>
  </si>
  <si>
    <t>Setor 008</t>
  </si>
  <si>
    <t>Setor 009</t>
  </si>
  <si>
    <t>Setor 010</t>
  </si>
  <si>
    <t>Setor 011</t>
  </si>
  <si>
    <t>Média Final</t>
  </si>
  <si>
    <t>Nº de Filiais</t>
  </si>
  <si>
    <t>Relatório rápido</t>
  </si>
  <si>
    <t>Relatórios recebidos</t>
  </si>
  <si>
    <t>Relatórios não recebidos</t>
  </si>
  <si>
    <t>Indaial</t>
  </si>
  <si>
    <t>Chapecó</t>
  </si>
  <si>
    <t>Paranaguá</t>
  </si>
  <si>
    <t>São Paulo</t>
  </si>
  <si>
    <t>Goianésia</t>
  </si>
  <si>
    <t>Mairinque</t>
  </si>
  <si>
    <t>Salvador</t>
  </si>
  <si>
    <t>Belém</t>
  </si>
  <si>
    <t>Ouro Preto</t>
  </si>
  <si>
    <t>Diadema</t>
  </si>
  <si>
    <t>Ourinhos</t>
  </si>
  <si>
    <t>Peruíbe</t>
  </si>
  <si>
    <t>Santos</t>
  </si>
  <si>
    <t>Guarujá</t>
  </si>
  <si>
    <t>Embu das Artes</t>
  </si>
  <si>
    <t>Blumenau</t>
  </si>
  <si>
    <t>Juazeiro do Norte</t>
  </si>
  <si>
    <t>Landri Sales</t>
  </si>
  <si>
    <t>Jundiaí</t>
  </si>
  <si>
    <t>Cruzeiro do Oeste</t>
  </si>
  <si>
    <t>Vendas</t>
  </si>
  <si>
    <t>Soma das vendas</t>
  </si>
  <si>
    <t>Média das vendas</t>
  </si>
  <si>
    <t>Vendas 2018</t>
  </si>
  <si>
    <t>Yto</t>
  </si>
  <si>
    <t>Maria</t>
  </si>
  <si>
    <t>Excel</t>
  </si>
  <si>
    <t>Valor Máximo</t>
  </si>
  <si>
    <t>Valor Mínimo</t>
  </si>
  <si>
    <t>Saída</t>
  </si>
  <si>
    <t>Thiago</t>
  </si>
  <si>
    <t>Larissa</t>
  </si>
  <si>
    <t>Carolina</t>
  </si>
  <si>
    <t>Amélia</t>
  </si>
  <si>
    <t>Joana</t>
  </si>
  <si>
    <t>Data entrada</t>
  </si>
  <si>
    <t>Funcionários desligados</t>
  </si>
  <si>
    <t>Entrega</t>
  </si>
  <si>
    <t>Total em horas</t>
  </si>
  <si>
    <t>Atividade</t>
  </si>
  <si>
    <t>Dias Trabalhados</t>
  </si>
  <si>
    <t>Data planejada</t>
  </si>
  <si>
    <t>Data real</t>
  </si>
  <si>
    <t>Marcar</t>
  </si>
  <si>
    <t>Escavar</t>
  </si>
  <si>
    <t>Concretar</t>
  </si>
  <si>
    <t>Planejado x Realizado [Dias de Atraso]</t>
  </si>
  <si>
    <t>Dias de Atraso</t>
  </si>
  <si>
    <t>Data Atual</t>
  </si>
  <si>
    <t>Clientes</t>
  </si>
  <si>
    <t>Dia</t>
  </si>
  <si>
    <t>Alice</t>
  </si>
  <si>
    <t>Clarice</t>
  </si>
  <si>
    <t>Camilo</t>
  </si>
  <si>
    <t>Carla</t>
  </si>
  <si>
    <t>Sidney</t>
  </si>
  <si>
    <t>Claudia</t>
  </si>
  <si>
    <t>Elaine</t>
  </si>
  <si>
    <t>Estela</t>
  </si>
  <si>
    <t>João</t>
  </si>
  <si>
    <t>Jonatas</t>
  </si>
  <si>
    <t>Getúlio</t>
  </si>
  <si>
    <t>Gustavo</t>
  </si>
  <si>
    <t>Heleno</t>
  </si>
  <si>
    <t>Hora</t>
  </si>
  <si>
    <t>Minuto</t>
  </si>
  <si>
    <t>Segundo</t>
  </si>
  <si>
    <t>Resultado</t>
  </si>
  <si>
    <t>UNIRTEXTO [apenas no office 365]</t>
  </si>
  <si>
    <t>Luzinete Lima</t>
  </si>
  <si>
    <t>Situação</t>
  </si>
  <si>
    <t>Ana Maria</t>
  </si>
  <si>
    <t>Eduardo Yto</t>
  </si>
  <si>
    <t>Yto Nihon</t>
  </si>
  <si>
    <t>Marcos Caldeira</t>
  </si>
  <si>
    <t>Marisete Dias</t>
  </si>
  <si>
    <t>Idade</t>
  </si>
  <si>
    <t>TABELA DE DADOS</t>
  </si>
  <si>
    <t>Média de vendas</t>
  </si>
  <si>
    <t>Critérios</t>
  </si>
  <si>
    <t>Não tem Bônus</t>
  </si>
  <si>
    <t>&lt; 5 milhões</t>
  </si>
  <si>
    <t>&gt;= 5 milhões</t>
  </si>
  <si>
    <t>Tem Bônus</t>
  </si>
  <si>
    <t>Data</t>
  </si>
  <si>
    <t>Entrada Manhã</t>
  </si>
  <si>
    <t>Saída Manhã</t>
  </si>
  <si>
    <t>Entrada Tarde</t>
  </si>
  <si>
    <t>Saída Tarde</t>
  </si>
  <si>
    <t>Duração</t>
  </si>
  <si>
    <t>1.</t>
  </si>
  <si>
    <t>2.</t>
  </si>
  <si>
    <t>Escolher o tipo de gráfico adequado a análise que você deseja fazer</t>
  </si>
  <si>
    <t>Personalizar o gráfico</t>
  </si>
  <si>
    <t>Participante</t>
  </si>
  <si>
    <t>Período</t>
  </si>
  <si>
    <t>Ana Elisa</t>
  </si>
  <si>
    <t>Marcia Sotero</t>
  </si>
  <si>
    <t>Patrícia Guimarães</t>
  </si>
  <si>
    <t>Filial Barueri</t>
  </si>
  <si>
    <t>Filial Campinas</t>
  </si>
  <si>
    <t>Filial Niterói</t>
  </si>
  <si>
    <t>Filial Blumenau</t>
  </si>
  <si>
    <t>Filial Salvador</t>
  </si>
  <si>
    <t>Vendas de Medicamentos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</si>
  <si>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</si>
  <si>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</si>
  <si>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</si>
  <si>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</si>
  <si>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</si>
  <si>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</si>
  <si>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</si>
  <si>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</si>
  <si>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</si>
  <si>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</si>
  <si>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</si>
  <si>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</si>
  <si>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Medicamento</t>
  </si>
  <si>
    <t>Ovestrion Cr 50G</t>
  </si>
  <si>
    <t>Lerin Col 24Ml</t>
  </si>
  <si>
    <t>Anestalcon Col 5Ml (C1)</t>
  </si>
  <si>
    <t>Adeforte Sol Oral Amp 1X3Ml</t>
  </si>
  <si>
    <t>Proviron Cpr 1X20 (C5)</t>
  </si>
  <si>
    <t>Cerumin Sol 8Ml</t>
  </si>
  <si>
    <t>Claril Col 15Ml</t>
  </si>
  <si>
    <t>Cipro 500Mg Cpr 1X6</t>
  </si>
  <si>
    <t>Hidrion Cpr 1X20</t>
  </si>
  <si>
    <t>Organoneuro Cerebral Drg 1X25</t>
  </si>
  <si>
    <t>Ionax Scrub 60G</t>
  </si>
  <si>
    <t>Ionil T 120Ml</t>
  </si>
  <si>
    <t>Maxidex Col 5Ml</t>
  </si>
  <si>
    <t>Sabril 500Mg Cpr Rev 1X60 (C1)</t>
  </si>
  <si>
    <t>Maxitrol Col 5Ml</t>
  </si>
  <si>
    <t>Mydriacyl 1% Col 5Ml</t>
  </si>
  <si>
    <t>Pred Fort Col 5Ml</t>
  </si>
  <si>
    <t>Tagamet 200Mg Cpr 1X40</t>
  </si>
  <si>
    <t>Glautimol 0.50% Col 5Ml</t>
  </si>
  <si>
    <t>Amoxicilina 250Mg Susp 150Ml Bios</t>
  </si>
  <si>
    <t>Planilha para testes</t>
  </si>
  <si>
    <t>Se desejar, use esta planilha para testar funções ou recursos apresentados no treinamento.</t>
  </si>
  <si>
    <t>Data da venda</t>
  </si>
  <si>
    <t>Prazo (dias)</t>
  </si>
  <si>
    <t>Preço (R$/kg)</t>
  </si>
  <si>
    <t>Volume (kg)</t>
  </si>
  <si>
    <t>Valor (R$)</t>
  </si>
  <si>
    <t>Comissão (R$)</t>
  </si>
  <si>
    <t>Extra</t>
  </si>
  <si>
    <t>Rolamento</t>
  </si>
  <si>
    <t>Luciana</t>
  </si>
  <si>
    <t>Big</t>
  </si>
  <si>
    <t>Roda</t>
  </si>
  <si>
    <t>Carrefour</t>
  </si>
  <si>
    <t>Rodrigo</t>
  </si>
  <si>
    <t>Sonda</t>
  </si>
  <si>
    <t>Repimboca</t>
  </si>
  <si>
    <t>S. Caetano</t>
  </si>
  <si>
    <t>Dínamo</t>
  </si>
  <si>
    <t>Amanda</t>
  </si>
  <si>
    <t>Painel</t>
  </si>
  <si>
    <t>Condensador</t>
  </si>
  <si>
    <t>Eixo</t>
  </si>
  <si>
    <t>Parafuseta</t>
  </si>
  <si>
    <t>Carlos</t>
  </si>
  <si>
    <t>Banco de nomes</t>
  </si>
  <si>
    <t>Ana</t>
  </si>
  <si>
    <t>David</t>
  </si>
  <si>
    <t>Herman</t>
  </si>
  <si>
    <t>José</t>
  </si>
  <si>
    <t>Oscar</t>
  </si>
  <si>
    <t>Paulo</t>
  </si>
  <si>
    <t>Ricardo</t>
  </si>
  <si>
    <r>
      <t xml:space="preserve">Gerador de números aleatórios: cole qualquer uma das amostras como valor. Para gerar uma nova amostra, recalcule a planilha pressionando a tecla </t>
    </r>
    <r>
      <rPr>
        <b/>
        <sz val="10"/>
        <rFont val="Trebuchet MS"/>
        <family val="2"/>
      </rPr>
      <t>F9</t>
    </r>
    <r>
      <rPr>
        <sz val="10"/>
        <rFont val="Trebuchet MS"/>
        <family val="2"/>
      </rPr>
      <t>.</t>
    </r>
  </si>
  <si>
    <t>Extensão para novo e-mail</t>
  </si>
  <si>
    <t>TI</t>
  </si>
  <si>
    <t>ADM</t>
  </si>
  <si>
    <t>FIN</t>
  </si>
  <si>
    <t>LOG</t>
  </si>
  <si>
    <t>COM</t>
  </si>
  <si>
    <t>Novo E-mail</t>
  </si>
  <si>
    <t>Análise de faturamento</t>
  </si>
  <si>
    <t>Filial Alagoas</t>
  </si>
  <si>
    <t>Adulto</t>
  </si>
  <si>
    <t>Sim</t>
  </si>
  <si>
    <t>Não</t>
  </si>
  <si>
    <t>Carla Alencar</t>
  </si>
  <si>
    <t>Mateus Martins</t>
  </si>
  <si>
    <t>Joaquim Nabuco</t>
  </si>
  <si>
    <t>Berenice Borba</t>
  </si>
  <si>
    <t>Manoel Rodrigues</t>
  </si>
  <si>
    <t>Francisco César</t>
  </si>
  <si>
    <t>Tempo de Casa</t>
  </si>
  <si>
    <t>Data de entrada</t>
  </si>
  <si>
    <t>Salário atual</t>
  </si>
  <si>
    <t>Novo Salário</t>
  </si>
  <si>
    <t>Aumento</t>
  </si>
  <si>
    <t>Recebeu Aumento?</t>
  </si>
  <si>
    <t>Arthur Guimarães</t>
  </si>
  <si>
    <t>Davi Sotero</t>
  </si>
  <si>
    <t>Joabe Dias</t>
  </si>
  <si>
    <t>Juarez Marquez</t>
  </si>
  <si>
    <t>Neto Dias</t>
  </si>
  <si>
    <t>Quincas Borba</t>
  </si>
  <si>
    <t>Sérgio Reis</t>
  </si>
  <si>
    <t>Tállia Guimarães</t>
  </si>
  <si>
    <t>Victor Yto</t>
  </si>
  <si>
    <t>Alameda Cincinato, 545 - Cotia/SP</t>
  </si>
  <si>
    <t>Via Menudo, 833 - Osasco/SP</t>
  </si>
  <si>
    <t>Arred</t>
  </si>
  <si>
    <t>Qtd Peças (Estoque)</t>
  </si>
  <si>
    <t>Descrição</t>
  </si>
  <si>
    <t>Salário Bruto</t>
  </si>
  <si>
    <t>Descontos</t>
  </si>
  <si>
    <t>Acréscimos</t>
  </si>
  <si>
    <t>Salário Família</t>
  </si>
  <si>
    <t>Adicional Noturno</t>
  </si>
  <si>
    <t>Férias</t>
  </si>
  <si>
    <t>Valor do IR</t>
  </si>
  <si>
    <t>Valor do INSS</t>
  </si>
  <si>
    <t>Plano de Saúde</t>
  </si>
  <si>
    <t>Desconto do Vale Transporte</t>
  </si>
  <si>
    <t>Valores de Entrada</t>
  </si>
  <si>
    <t>Valores de Saída</t>
  </si>
  <si>
    <t>Valor Absoluto</t>
  </si>
  <si>
    <t>Tállia</t>
  </si>
  <si>
    <t>Hora Entrada</t>
  </si>
  <si>
    <t>Hora Saída</t>
  </si>
  <si>
    <t>Horas trabalhadas</t>
  </si>
  <si>
    <t>Data de Saída</t>
  </si>
  <si>
    <t>Total em Horas</t>
  </si>
  <si>
    <t>Total em Decimal</t>
  </si>
  <si>
    <t>Valor/hora</t>
  </si>
  <si>
    <t>Contratação</t>
  </si>
  <si>
    <t>Tempo de Trabalho</t>
  </si>
  <si>
    <t>Tállia Larissa</t>
  </si>
  <si>
    <t>Thiago Hiroshi</t>
  </si>
  <si>
    <t>=AGORA()</t>
  </si>
  <si>
    <t>Função Agora + 15</t>
  </si>
  <si>
    <t>Função Agora + 30</t>
  </si>
  <si>
    <t>Função Agora + 60</t>
  </si>
  <si>
    <t>Função Agora + 120</t>
  </si>
  <si>
    <t>Vencimento</t>
  </si>
  <si>
    <t>Despesa</t>
  </si>
  <si>
    <t>Faculdade</t>
  </si>
  <si>
    <t>Carro</t>
  </si>
  <si>
    <t>Aluguel Escritório</t>
  </si>
  <si>
    <t>Cartão</t>
  </si>
  <si>
    <t>Tallia Larissa</t>
  </si>
  <si>
    <t>Victor Shunsuke</t>
  </si>
  <si>
    <t>Aniversário</t>
  </si>
  <si>
    <t>Data do Pedido</t>
  </si>
  <si>
    <t>Camisas</t>
  </si>
  <si>
    <t>Meias</t>
  </si>
  <si>
    <t>Calças</t>
  </si>
  <si>
    <t>Bonés</t>
  </si>
  <si>
    <t>Tênis</t>
  </si>
  <si>
    <t>Sapatos</t>
  </si>
  <si>
    <t>Gravatas</t>
  </si>
  <si>
    <t>Formulário de cadastramento</t>
  </si>
  <si>
    <t>Segundo Nome</t>
  </si>
  <si>
    <t>Yoshio</t>
  </si>
  <si>
    <t>Foz do Iguaçu</t>
  </si>
  <si>
    <t>PR</t>
  </si>
  <si>
    <t>Camila</t>
  </si>
  <si>
    <t>Dias</t>
  </si>
  <si>
    <t>Patrícia</t>
  </si>
  <si>
    <t>Cláudio</t>
  </si>
  <si>
    <t>Nunes</t>
  </si>
  <si>
    <t>Sousa</t>
  </si>
  <si>
    <t>PI</t>
  </si>
  <si>
    <t>Hugo</t>
  </si>
  <si>
    <t>Marques</t>
  </si>
  <si>
    <t>São Caetano do Sul</t>
  </si>
  <si>
    <t>Nome completo e data do Nascimento:</t>
  </si>
  <si>
    <t>Vamos usar virgula como delimitador</t>
  </si>
  <si>
    <t>Estamos</t>
  </si>
  <si>
    <t>juntando</t>
  </si>
  <si>
    <t>todas estas células</t>
  </si>
  <si>
    <t>com o método</t>
  </si>
  <si>
    <t>desta aula</t>
  </si>
  <si>
    <t>UNIRTEXTO</t>
  </si>
  <si>
    <t>Exemplo</t>
  </si>
  <si>
    <t>de</t>
  </si>
  <si>
    <t>como</t>
  </si>
  <si>
    <t>o</t>
  </si>
  <si>
    <t>trabalha</t>
  </si>
  <si>
    <t>unindo</t>
  </si>
  <si>
    <t>as</t>
  </si>
  <si>
    <t>matrizes</t>
  </si>
  <si>
    <t>Matriz como referência</t>
  </si>
  <si>
    <t>Data de Pgto</t>
  </si>
  <si>
    <t>Status</t>
  </si>
  <si>
    <t>Bebê conforto</t>
  </si>
  <si>
    <t>Notebook</t>
  </si>
  <si>
    <t>Automóvel</t>
  </si>
  <si>
    <t>Motocicleta</t>
  </si>
  <si>
    <t>Vídeo Game</t>
  </si>
  <si>
    <t>TV 52'' pol.</t>
  </si>
  <si>
    <t>Exemplo 1</t>
  </si>
  <si>
    <t>Exemplo 2</t>
  </si>
  <si>
    <t>Vendas por região</t>
  </si>
  <si>
    <t>Venda</t>
  </si>
  <si>
    <t>Joaquim</t>
  </si>
  <si>
    <t>Ananias</t>
  </si>
  <si>
    <t>Ana Clara</t>
  </si>
  <si>
    <t>Paula</t>
  </si>
  <si>
    <t>Tomé</t>
  </si>
  <si>
    <t>Josefa</t>
  </si>
  <si>
    <t>Marisete</t>
  </si>
  <si>
    <t>Arnaldo</t>
  </si>
  <si>
    <t>Tracy</t>
  </si>
  <si>
    <t>Conheça nosso site: https://www.ytonihon.com.br</t>
  </si>
  <si>
    <t>Material desenvolvido pela Yto Nihon Treinamentos</t>
  </si>
  <si>
    <t>filiais.</t>
  </si>
  <si>
    <t>Cômodo</t>
  </si>
  <si>
    <t>Sala</t>
  </si>
  <si>
    <t>Quarto Casal</t>
  </si>
  <si>
    <t>Quarto crianças</t>
  </si>
  <si>
    <t>Cozinha</t>
  </si>
  <si>
    <t>Banheiro</t>
  </si>
  <si>
    <t>Início</t>
  </si>
  <si>
    <t>Término</t>
  </si>
  <si>
    <t>Custo Realizado</t>
  </si>
  <si>
    <t>Custo Previsto</t>
  </si>
  <si>
    <t>Início da Obra</t>
  </si>
  <si>
    <t>Término da Obra</t>
  </si>
  <si>
    <t>Diferença</t>
  </si>
  <si>
    <t>Duração direta</t>
  </si>
  <si>
    <t>1. Quantos dias diretos durou a obra de reforma da casa?</t>
  </si>
  <si>
    <t>Reforma da casa</t>
  </si>
  <si>
    <t>Pedido</t>
  </si>
  <si>
    <t>PEDIDO A</t>
  </si>
  <si>
    <t>PEDIDO B</t>
  </si>
  <si>
    <t>PEDIDO C</t>
  </si>
  <si>
    <t>PEDIDO D</t>
  </si>
  <si>
    <t>PEDIDO E</t>
  </si>
  <si>
    <t>PEDIDO F</t>
  </si>
  <si>
    <t>PEDIDO G</t>
  </si>
  <si>
    <t>PEDIDO H</t>
  </si>
  <si>
    <t>PEDIDO I</t>
  </si>
  <si>
    <t>PEDIDO J</t>
  </si>
  <si>
    <t>Média de tempo</t>
  </si>
  <si>
    <t>Valor Total</t>
  </si>
  <si>
    <t>Planejado</t>
  </si>
  <si>
    <t>Realizado</t>
  </si>
  <si>
    <t>Margem de Erro</t>
  </si>
  <si>
    <t>Despesa  01</t>
  </si>
  <si>
    <t>Despesa  02</t>
  </si>
  <si>
    <t>Despesa  03</t>
  </si>
  <si>
    <t>Despesa  04</t>
  </si>
  <si>
    <t>Despesa  05</t>
  </si>
  <si>
    <t>Despesa  06</t>
  </si>
  <si>
    <t>Empresa</t>
  </si>
  <si>
    <t>Yto Nihon Treinamentos</t>
  </si>
  <si>
    <t>Pizzaria Que fome</t>
  </si>
  <si>
    <t>Função Hoje</t>
  </si>
  <si>
    <t>Criatividade</t>
  </si>
  <si>
    <t>Solidariedade</t>
  </si>
  <si>
    <t>Domínio</t>
  </si>
  <si>
    <t>Hoje</t>
  </si>
  <si>
    <t>Hoje + 30</t>
  </si>
  <si>
    <t>Hoje + 60</t>
  </si>
  <si>
    <t>Hoje + 90</t>
  </si>
  <si>
    <t>Mês por Extenso</t>
  </si>
  <si>
    <t>Informação por extenso</t>
  </si>
  <si>
    <t>CLASSIFICAÇÃO PERSONALIZADA</t>
  </si>
  <si>
    <t>Mextra</t>
  </si>
  <si>
    <t>Barrefive</t>
  </si>
  <si>
    <t>Solda</t>
  </si>
  <si>
    <t>Small</t>
  </si>
  <si>
    <t>% Obtida</t>
  </si>
  <si>
    <t>Evolução</t>
  </si>
  <si>
    <t>Cadastro básico de Clientes</t>
  </si>
  <si>
    <t>CÓD</t>
  </si>
  <si>
    <t>SETOR</t>
  </si>
  <si>
    <t>FILIAL</t>
  </si>
  <si>
    <t>MG</t>
  </si>
  <si>
    <t>RJ</t>
  </si>
  <si>
    <t>BH</t>
  </si>
  <si>
    <t>GO</t>
  </si>
  <si>
    <t>ENS</t>
  </si>
  <si>
    <t>SUP</t>
  </si>
  <si>
    <t>VEN</t>
  </si>
  <si>
    <t>FUNÇÃO CONCAT</t>
  </si>
  <si>
    <t>Dica Importante: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</si>
  <si>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</si>
  <si>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</si>
  <si>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</si>
  <si>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</si>
  <si>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</si>
  <si>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</si>
  <si>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</si>
  <si>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</si>
  <si>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</si>
  <si>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</si>
  <si>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Esta atividade foi atualizada em 27/03/2019</t>
  </si>
  <si>
    <t>Venda Mínima</t>
  </si>
  <si>
    <t>Venda Máxima</t>
  </si>
  <si>
    <t>Folha Salarial - Formatada como tabela</t>
  </si>
  <si>
    <t>Percentual alcançado</t>
  </si>
  <si>
    <t>Percentual restante</t>
  </si>
  <si>
    <t>Géssica Dias</t>
  </si>
  <si>
    <t>Lidia Menezes</t>
  </si>
  <si>
    <t>Marieta Severo</t>
  </si>
  <si>
    <t>Marina Barbosa</t>
  </si>
  <si>
    <t>Valmir Antunes</t>
  </si>
  <si>
    <t>Isaque Severo</t>
  </si>
  <si>
    <t>Tiago Camargo</t>
  </si>
  <si>
    <t>Heitor Hulgar</t>
  </si>
  <si>
    <t>Judith Eneas</t>
  </si>
  <si>
    <t>Eduardo Carneiro</t>
  </si>
  <si>
    <t>Victor Golias</t>
  </si>
  <si>
    <t>Arthur Mcarthur</t>
  </si>
  <si>
    <t>Ana Barcos</t>
  </si>
  <si>
    <t>Quantos relatórios não chegaram?</t>
  </si>
  <si>
    <t>Resposta:</t>
  </si>
  <si>
    <t>Quantos relatórios chegaram?</t>
  </si>
  <si>
    <t>Maria Luzinete</t>
  </si>
  <si>
    <t>Marcia Goldswift</t>
  </si>
  <si>
    <t>Victor Malfort</t>
  </si>
  <si>
    <t>ARREDONDE USANDO DUAS CASAS DECIMAIS O SALÁRIO DOS COLABORADORES</t>
  </si>
  <si>
    <t>Compras do mês</t>
  </si>
  <si>
    <t>Produtos</t>
  </si>
  <si>
    <t>Qtde</t>
  </si>
  <si>
    <t>Valor Unitário</t>
  </si>
  <si>
    <t>Função SOMA</t>
  </si>
  <si>
    <t>Higiene Pessoal</t>
  </si>
  <si>
    <t>Sabonete</t>
  </si>
  <si>
    <t>Shampoo</t>
  </si>
  <si>
    <t>SOMARPRODUTO</t>
  </si>
  <si>
    <t>Condicionador</t>
  </si>
  <si>
    <t>Esponja</t>
  </si>
  <si>
    <t>Pasta de Dentes</t>
  </si>
  <si>
    <t>Listerine</t>
  </si>
  <si>
    <t>Laticínios</t>
  </si>
  <si>
    <t>Iogurte</t>
  </si>
  <si>
    <t>Leite Desnatado</t>
  </si>
  <si>
    <t>Queijo</t>
  </si>
  <si>
    <t>Requeijão</t>
  </si>
  <si>
    <t>Queijo Cottage</t>
  </si>
  <si>
    <t>Carnes</t>
  </si>
  <si>
    <t>Frios Peru</t>
  </si>
  <si>
    <t>Frios de Suínos</t>
  </si>
  <si>
    <t>Maminha</t>
  </si>
  <si>
    <t>Picanha</t>
  </si>
  <si>
    <t>Frango</t>
  </si>
  <si>
    <t>Item</t>
  </si>
  <si>
    <t>Mouse</t>
  </si>
  <si>
    <t>Teclado</t>
  </si>
  <si>
    <t>Mousepad</t>
  </si>
  <si>
    <t>Office 365</t>
  </si>
  <si>
    <t>Itens para o escritório</t>
  </si>
  <si>
    <t>2018</t>
  </si>
  <si>
    <t>Aniversariantes</t>
  </si>
  <si>
    <t>Melo</t>
  </si>
  <si>
    <t>Média Salarial 2017 - 2020</t>
  </si>
  <si>
    <t>2019</t>
  </si>
  <si>
    <t>2020</t>
  </si>
  <si>
    <t>Danilo</t>
  </si>
  <si>
    <t>A média de vendas de 2018 foi superada em 2019, quando, tivemos um valor médio de</t>
  </si>
  <si>
    <t>TABELA DE METAS E VENDAS 2019</t>
  </si>
  <si>
    <t>A maior venda de 2019 foi</t>
  </si>
  <si>
    <t>de 2019 foi</t>
  </si>
  <si>
    <t>que em 2019 conseguimos obter um total de vendas no valor de:</t>
  </si>
  <si>
    <t>Danilo Macieira</t>
  </si>
  <si>
    <t>Calcular a idade</t>
  </si>
  <si>
    <t>Data atual</t>
  </si>
  <si>
    <t>INT</t>
  </si>
  <si>
    <t>Eutállia</t>
  </si>
  <si>
    <t>Mariana</t>
  </si>
  <si>
    <t>Chiesa</t>
  </si>
  <si>
    <t>Danilo Maciel</t>
  </si>
  <si>
    <t>Essa função é nova, portanto, não existe nas versões inferiores a 2016 para assinantes Microsoft 365</t>
  </si>
  <si>
    <t>Concatenar</t>
  </si>
  <si>
    <t>Entenda o teste lógico</t>
  </si>
  <si>
    <t>É adulto?</t>
  </si>
  <si>
    <t>Resultado 1</t>
  </si>
  <si>
    <t>Resultado 2</t>
  </si>
  <si>
    <t>Resultado 3</t>
  </si>
  <si>
    <t>Resultado 4</t>
  </si>
  <si>
    <t>Resultado 5</t>
  </si>
  <si>
    <t>É maior de idade?</t>
  </si>
  <si>
    <t>Exemplo 3</t>
  </si>
  <si>
    <t>Maria Santos</t>
  </si>
  <si>
    <t>Adenor Miranda</t>
  </si>
  <si>
    <t>Sofá</t>
  </si>
  <si>
    <t>TABELA VENDAS 2019</t>
  </si>
  <si>
    <t>Média anual</t>
  </si>
  <si>
    <t>22 notebooks</t>
  </si>
  <si>
    <t>23 notebooks</t>
  </si>
  <si>
    <t>24 notebooks</t>
  </si>
  <si>
    <t>25 notebooks</t>
  </si>
  <si>
    <t>26 notebooks</t>
  </si>
  <si>
    <t>Lote 02</t>
  </si>
  <si>
    <t>Lote 03</t>
  </si>
  <si>
    <t>Lote 04</t>
  </si>
  <si>
    <t>Lote 05</t>
  </si>
  <si>
    <t>Lote 06</t>
  </si>
  <si>
    <t>Agosto de 2024</t>
  </si>
  <si>
    <t>Marcos x Ribeiro</t>
  </si>
  <si>
    <t>Eduardo b Ribeiro</t>
  </si>
  <si>
    <t>Arthur c Ribeiro</t>
  </si>
  <si>
    <t>Victor c Ribeiro</t>
  </si>
  <si>
    <t>Tallia g Ribeiro</t>
  </si>
  <si>
    <t>Carmen h Ribeiro</t>
  </si>
  <si>
    <t>Thiago y Ribeiro</t>
  </si>
  <si>
    <t>Mariana t Ribeiro</t>
  </si>
  <si>
    <t>Judith r Ribeiro</t>
  </si>
  <si>
    <t>Marcia s Ribeiro</t>
  </si>
  <si>
    <t>Zuleica c Ribeiro</t>
  </si>
  <si>
    <t>Carla y Ribeiro</t>
  </si>
  <si>
    <t>Creuza d Ribeiro</t>
  </si>
  <si>
    <t>Clóvis p Ribeiro</t>
  </si>
  <si>
    <t>Eduardo , Menezes</t>
  </si>
  <si>
    <t>Arthur , Dias</t>
  </si>
  <si>
    <t>Victor , Silvess</t>
  </si>
  <si>
    <t>Tallia , Camposs</t>
  </si>
  <si>
    <t>Carmen , Medeirs</t>
  </si>
  <si>
    <t>Thiago , Masckos</t>
  </si>
  <si>
    <t>Mariana , Aleixos</t>
  </si>
  <si>
    <t>Judith , Cézas</t>
  </si>
  <si>
    <t>Marcia , Guimars</t>
  </si>
  <si>
    <t>Zuleica , Magalhs</t>
  </si>
  <si>
    <t>Carla , Soteros</t>
  </si>
  <si>
    <t>Creuza , Leits</t>
  </si>
  <si>
    <t>Clóvis , Silvs</t>
  </si>
  <si>
    <t>CONCATENAR  =PRI.MAIÚSCULA(CONCAT(A25:D25))</t>
  </si>
  <si>
    <t>(22)6320-5003</t>
  </si>
  <si>
    <t>(79)4353-8502</t>
  </si>
  <si>
    <t>(47)5113-0400</t>
  </si>
  <si>
    <t>(11)5111-0137</t>
  </si>
  <si>
    <t>(85)4133-2754</t>
  </si>
  <si>
    <t>(60)6008-5318</t>
  </si>
  <si>
    <t>(21)4351-3126</t>
  </si>
  <si>
    <t>(84)5061-4129</t>
  </si>
  <si>
    <t>(36)5173-0168</t>
  </si>
  <si>
    <t>(11)4211-3351</t>
  </si>
  <si>
    <t>Rua</t>
  </si>
  <si>
    <t>Avenida</t>
  </si>
  <si>
    <t>Via</t>
  </si>
  <si>
    <t>Alameda</t>
  </si>
  <si>
    <t>Quadra</t>
  </si>
  <si>
    <t>Landri</t>
  </si>
  <si>
    <t>Rio de Janeiro</t>
  </si>
  <si>
    <t>Cruzeiro do Sul</t>
  </si>
  <si>
    <t>Monte Verde</t>
  </si>
  <si>
    <t>Mossoró</t>
  </si>
  <si>
    <t>BA</t>
  </si>
  <si>
    <t>RN</t>
  </si>
  <si>
    <t>Rua manoel</t>
  </si>
  <si>
    <t>Avenida brigadeiro</t>
  </si>
  <si>
    <t>Rua gabriel</t>
  </si>
  <si>
    <t>Avenida santos</t>
  </si>
  <si>
    <t>Rua ex</t>
  </si>
  <si>
    <t>Avenida marcos nunes</t>
  </si>
  <si>
    <t>Via miquéias naves</t>
  </si>
  <si>
    <t>Alameda jurerê</t>
  </si>
  <si>
    <t>Quadra q9</t>
  </si>
  <si>
    <t>Rua das irenes</t>
  </si>
  <si>
    <t>Alameda cincinato</t>
  </si>
  <si>
    <t>Rua olaria</t>
  </si>
  <si>
    <t>Via menudo</t>
  </si>
  <si>
    <t>Rua zorci dias</t>
  </si>
  <si>
    <t>ITO</t>
  </si>
  <si>
    <t>TOP 10 FUNCIONÁRIOS 2023</t>
  </si>
  <si>
    <t>Total geral 2024</t>
  </si>
  <si>
    <t>Meta Geral 2024</t>
  </si>
  <si>
    <t>Meta Individual 2024</t>
  </si>
  <si>
    <t>TOP 10 Funcionários de 2024 com Evolução Trimestral</t>
  </si>
  <si>
    <t>Análise de Desempenho dos TOP 10 Funcionários - 2023 vs. 2024</t>
  </si>
  <si>
    <t>Telefone Voip</t>
  </si>
  <si>
    <t>Computador / Notebook DELL</t>
  </si>
  <si>
    <t>Entregaram Relatorio</t>
  </si>
  <si>
    <t>Não Entregaram Relatorio</t>
  </si>
  <si>
    <t>Coluna1</t>
  </si>
  <si>
    <t>Data do Pedido 2024</t>
  </si>
  <si>
    <t>Vendas Consolidadas por Filial e Consultor - Período de 10/04/2024 a 17/04/2014</t>
  </si>
  <si>
    <t>Tabela de Colaboradores</t>
  </si>
  <si>
    <t>Controle de Despesas</t>
  </si>
  <si>
    <t>Pedidos</t>
  </si>
  <si>
    <t>Valor Venda</t>
  </si>
  <si>
    <t>Relatório de Gestão de Pessoas, Despesas e Pedidos</t>
  </si>
  <si>
    <t>Conact</t>
  </si>
  <si>
    <t>Power BI</t>
  </si>
  <si>
    <t>Office 2010</t>
  </si>
  <si>
    <t>Power Point</t>
  </si>
  <si>
    <t>Email Colaboradores</t>
  </si>
  <si>
    <t>Ceres</t>
  </si>
  <si>
    <t>Marcia</t>
  </si>
  <si>
    <t>Tamara</t>
  </si>
  <si>
    <t>Valter</t>
  </si>
  <si>
    <t>Denise</t>
  </si>
  <si>
    <t>Dilza</t>
  </si>
  <si>
    <t>Elenice</t>
  </si>
  <si>
    <t>Marcos</t>
  </si>
  <si>
    <t>Bruno</t>
  </si>
  <si>
    <t>Bruna</t>
  </si>
  <si>
    <t>Cilene</t>
  </si>
  <si>
    <t>Jessica</t>
  </si>
  <si>
    <t>Gildete</t>
  </si>
  <si>
    <t>Aguiar</t>
  </si>
  <si>
    <t>Estevez</t>
  </si>
  <si>
    <t>Danubio</t>
  </si>
  <si>
    <t>Fortes</t>
  </si>
  <si>
    <t>Silva</t>
  </si>
  <si>
    <t>Souza</t>
  </si>
  <si>
    <t>Alencar</t>
  </si>
  <si>
    <t>Sotero</t>
  </si>
  <si>
    <t>Mathias</t>
  </si>
  <si>
    <t>Novaes</t>
  </si>
  <si>
    <t>Quincas</t>
  </si>
  <si>
    <t>Vaz</t>
  </si>
  <si>
    <t>Godoi</t>
  </si>
  <si>
    <t>Saturnino</t>
  </si>
  <si>
    <t>tjsp.jus.br</t>
  </si>
  <si>
    <t>Antenor Miranda</t>
  </si>
  <si>
    <t>Análise de Aumentos Salariais</t>
  </si>
  <si>
    <t>Relatório de Aumentos Salariais</t>
  </si>
  <si>
    <t>Esporte</t>
  </si>
  <si>
    <t>Futebol</t>
  </si>
  <si>
    <t>Basquete</t>
  </si>
  <si>
    <t>Xadrez</t>
  </si>
  <si>
    <t>Judo</t>
  </si>
  <si>
    <t>Karate</t>
  </si>
  <si>
    <t>Kung Fu</t>
  </si>
  <si>
    <t>Tenis</t>
  </si>
  <si>
    <t>Volei</t>
  </si>
  <si>
    <t>Resumo de Vendas Mensais 2024</t>
  </si>
  <si>
    <t>Media Filial'</t>
  </si>
  <si>
    <t>Segmentação de Meses para Análise</t>
  </si>
  <si>
    <t>Gestão de Faturamento: Resultados e Tendências</t>
  </si>
  <si>
    <t>Relatório de Desempenho de Vendas 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</si>
</sst>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9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"/>
    <numFmt numFmtId="165" formatCode="0.00_ ;[Red]\-0.00\ "/>
    <numFmt numFmtId="166" formatCode="&quot;$&quot;#,##0.00_);\(&quot;$&quot;#,##0.00\)"/>
    <numFmt numFmtId="167" formatCode="00"/>
    <numFmt numFmtId="168" formatCode="#,##0.00_ ;[Red]\-#,##0.00\ "/>
    <numFmt numFmtId="169" formatCode="[$R$ -416]#,##0.00"/>
    <numFmt numFmtId="170" formatCode="000"/>
    <numFmt numFmtId="171" formatCode="_-* #,##0_-;\-* #,##0_-;_-* &quot;-&quot;??_-;_-@_-"/>
    <numFmt numFmtId="172" formatCode="#,##0\ &quot;dias&quot;"/>
    <numFmt numFmtId="173" formatCode="[h]:mm:ss;@"/>
    <numFmt numFmtId="174" formatCode="ddd\ dd/mm/yyyy\ hh:mm"/>
    <numFmt numFmtId="175" formatCode="ddd\ dd/mm/yyyy\ hh:mm:ss"/>
    <numFmt numFmtId="176" formatCode="ddd\ dd/mmm/yyyy"/>
    <numFmt numFmtId="177" formatCode="[hh]:mm"/>
    <numFmt numFmtId="178" formatCode="[$-F400]h:mm:ss\ AM/PM"/>
    <numFmt numFmtId="179" formatCode="_(* #,##0_);_(* \(#,##0\);_(* &quot;-&quot;_);_(@_)"/>
    <numFmt numFmtId="180" formatCode="_(&quot;R$ &quot;* #,##0.00_);_(&quot;R$ &quot;* \(#,##0.00\);_(&quot;R$ &quot;* &quot;-&quot;??_);_(@_)"/>
    <numFmt numFmtId="181" formatCode="_-* #,##0.000_-;\-* #,##0.000_-;_-* &quot;-&quot;??_-;_-@_-"/>
    <numFmt numFmtId="182" formatCode="0.000"/>
    <numFmt numFmtId="183" formatCode="dd/mm/yy\ hh:mm"/>
    <numFmt numFmtId="184" formatCode="&quot;NP&quot;\ 000"/>
    <numFmt numFmtId="185" formatCode="dddd\ dd/mm/yyyy"/>
    <numFmt numFmtId="186" formatCode="mmmm\,\ yyyy;@"/>
    <numFmt numFmtId="187" formatCode="0.0000"/>
    <numFmt numFmtId="188" formatCode="mmmm"/>
    <numFmt numFmtId="189" formatCode="ddd"/>
    <numFmt numFmtId="190" formatCode="dddd"/>
  </numFmts>
  <fonts count="9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9"/>
      <color indexed="81"/>
      <name val="Segoe UI"/>
      <family val="2"/>
    </font>
    <font>
      <b/>
      <sz val="12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Segoe UI Light"/>
      <family val="2"/>
    </font>
    <font>
      <sz val="14"/>
      <name val="Segoe UI Light"/>
      <family val="2"/>
    </font>
    <font>
      <sz val="12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Segoe UI Light"/>
      <family val="2"/>
    </font>
    <font>
      <sz val="15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8"/>
      <color theme="1" tint="0.14996795556505021"/>
      <name val="Calibri"/>
      <family val="2"/>
      <scheme val="minor"/>
    </font>
    <font>
      <b/>
      <sz val="9"/>
      <color theme="0"/>
      <name val="Calibri Light"/>
      <family val="1"/>
      <scheme val="major"/>
    </font>
    <font>
      <i/>
      <sz val="8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22"/>
      <color rgb="FF3B3838"/>
      <name val="Segoe UI Light"/>
      <family val="2"/>
    </font>
    <font>
      <sz val="20"/>
      <color rgb="FF000000"/>
      <name val="Courier New"/>
      <family val="3"/>
    </font>
    <font>
      <u/>
      <sz val="11"/>
      <color theme="10"/>
      <name val="Calibri"/>
      <family val="2"/>
    </font>
    <font>
      <b/>
      <sz val="12"/>
      <color theme="4" tint="-0.249977111117893"/>
      <name val="Calibri"/>
      <family val="2"/>
      <scheme val="minor"/>
    </font>
    <font>
      <b/>
      <sz val="12"/>
      <color rgb="FF0B7406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8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FFFF"/>
      <name val="Arial"/>
      <family val="2"/>
    </font>
    <font>
      <b/>
      <sz val="9"/>
      <color indexed="81"/>
      <name val="Segoe UI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theme="1"/>
      <name val="Futura Bk BT"/>
      <family val="2"/>
    </font>
    <font>
      <b/>
      <sz val="12"/>
      <color theme="1"/>
      <name val="Futura Bk BT"/>
      <family val="2"/>
    </font>
    <font>
      <b/>
      <sz val="14"/>
      <color theme="0"/>
      <name val="Univers"/>
      <family val="2"/>
    </font>
    <font>
      <b/>
      <sz val="28"/>
      <color theme="4"/>
      <name val="Univers"/>
      <family val="2"/>
    </font>
    <font>
      <sz val="12"/>
      <color theme="0"/>
      <name val="Calibri"/>
      <family val="2"/>
      <scheme val="minor"/>
    </font>
    <font>
      <sz val="10"/>
      <name val="Arial"/>
      <family val="2"/>
    </font>
    <font>
      <sz val="18"/>
      <color indexed="8"/>
      <name val="Georgia"/>
      <family val="1"/>
    </font>
    <font>
      <sz val="10"/>
      <name val="Trebuchet MS"/>
      <family val="2"/>
    </font>
    <font>
      <i/>
      <sz val="8"/>
      <name val="Trebuchet MS"/>
      <family val="2"/>
    </font>
    <font>
      <sz val="8"/>
      <name val="Trebuchet MS"/>
      <family val="2"/>
    </font>
    <font>
      <b/>
      <sz val="10"/>
      <name val="Trebuchet MS"/>
      <family val="2"/>
    </font>
    <font>
      <sz val="18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0"/>
      <color rgb="FFC0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 Light"/>
      <family val="1"/>
      <scheme val="major"/>
    </font>
    <font>
      <b/>
      <sz val="12"/>
      <color theme="0"/>
      <name val="Cambria"/>
      <family val="1"/>
    </font>
    <font>
      <b/>
      <sz val="11"/>
      <color rgb="FF020202"/>
      <name val="Cambria"/>
      <family val="1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b/>
      <sz val="14"/>
      <color rgb="FFFF0000"/>
      <name val="Segoe UI Light"/>
      <family val="2"/>
    </font>
    <font>
      <b/>
      <sz val="11"/>
      <name val="Segoe UI Light"/>
      <family val="2"/>
    </font>
    <font>
      <b/>
      <sz val="11"/>
      <color theme="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indexed="33"/>
      <name val="negrito"/>
    </font>
    <font>
      <sz val="10"/>
      <color indexed="33"/>
      <name val="negrito"/>
    </font>
    <font>
      <b/>
      <sz val="9"/>
      <color indexed="33"/>
      <name val="negrito"/>
    </font>
    <font>
      <sz val="9"/>
      <color indexed="33"/>
      <name val="negrito"/>
    </font>
    <font>
      <b/>
      <sz val="9"/>
      <color indexed="33"/>
      <name val="Segoe UI"/>
      <family val="2"/>
    </font>
    <font>
      <sz val="9"/>
      <color indexed="33"/>
      <name val="Segoe UI"/>
      <family val="2"/>
    </font>
    <font>
      <b/>
      <sz val="20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7"/>
        <bgColor theme="8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rgb="FFFFC000"/>
        <bgColor theme="8"/>
      </patternFill>
    </fill>
    <fill>
      <patternFill patternType="solid">
        <fgColor theme="6" tint="0.79998168889431442"/>
        <bgColor theme="8" tint="0.59999389629810485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6AA84F"/>
        <bgColor rgb="FF6AA84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theme="8"/>
        <bgColor rgb="FF980000"/>
      </patternFill>
    </fill>
    <fill>
      <patternFill patternType="solid">
        <fgColor rgb="FFFF0000"/>
        <bgColor rgb="FF9900FF"/>
      </patternFill>
    </fill>
    <fill>
      <patternFill patternType="solid">
        <fgColor theme="0" tint="-0.34998626667073579"/>
        <bgColor rgb="FFFF00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B740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-0.249977111117893"/>
        <bgColor theme="9"/>
      </patternFill>
    </fill>
    <fill>
      <patternFill patternType="solid">
        <fgColor rgb="FF0070C0"/>
        <bgColor theme="9"/>
      </patternFill>
    </fill>
    <fill>
      <patternFill patternType="solid">
        <fgColor indexed="63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8" tint="0.59999389629810485"/>
      </patternFill>
    </fill>
    <fill>
      <patternFill patternType="solid">
        <fgColor theme="5" tint="0.59999389629810485"/>
        <bgColor indexed="26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207245"/>
        <bgColor indexed="64"/>
      </patternFill>
    </fill>
    <fill>
      <patternFill patternType="solid">
        <fgColor rgb="FFF2E8C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499984740745262"/>
        <bgColor indexed="64"/>
      </patternFill>
    </fill>
  </fills>
  <borders count="2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 style="medium">
        <color theme="4"/>
      </right>
      <top/>
      <bottom/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/>
      <right/>
      <top style="thin">
        <color theme="5" tint="0.59999389629810485"/>
      </top>
      <bottom style="double">
        <color theme="5" tint="0.59999389629810485"/>
      </bottom>
      <diagonal/>
    </border>
    <border>
      <left/>
      <right/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/>
      <right/>
      <top style="thin">
        <color theme="5" tint="0.59999389629810485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8"/>
      </right>
      <top/>
      <bottom/>
      <diagonal/>
    </border>
    <border>
      <left/>
      <right/>
      <top style="thin">
        <color theme="4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indexed="64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medium">
        <color indexed="64"/>
      </bottom>
      <diagonal/>
    </border>
    <border>
      <left style="hair">
        <color theme="0" tint="-0.34998626667073579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theme="7"/>
      </left>
      <right style="medium">
        <color theme="7"/>
      </right>
      <top style="medium">
        <color theme="7"/>
      </top>
      <bottom style="hair">
        <color theme="0" tint="-0.34998626667073579"/>
      </bottom>
      <diagonal/>
    </border>
    <border>
      <left style="medium">
        <color theme="7"/>
      </left>
      <right style="medium">
        <color theme="7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7"/>
      </left>
      <right style="medium">
        <color theme="7"/>
      </right>
      <top style="hair">
        <color theme="0" tint="-0.34998626667073579"/>
      </top>
      <bottom style="medium">
        <color theme="7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medium">
        <color theme="7" tint="-0.499984740745262"/>
      </left>
      <right style="medium">
        <color theme="7" tint="-0.499984740745262"/>
      </right>
      <top style="medium">
        <color theme="7" tint="-0.499984740745262"/>
      </top>
      <bottom style="thin">
        <color theme="7" tint="0.39997558519241921"/>
      </bottom>
      <diagonal/>
    </border>
    <border>
      <left style="medium">
        <color theme="7" tint="-0.499984740745262"/>
      </left>
      <right style="medium">
        <color theme="7" tint="-0.499984740745262"/>
      </right>
      <top style="thin">
        <color theme="7" tint="0.39997558519241921"/>
      </top>
      <bottom style="thin">
        <color theme="7" tint="0.39997558519241921"/>
      </bottom>
      <diagonal/>
    </border>
    <border>
      <left style="medium">
        <color theme="7" tint="-0.499984740745262"/>
      </left>
      <right style="medium">
        <color theme="7" tint="-0.499984740745262"/>
      </right>
      <top style="thin">
        <color theme="7" tint="0.39997558519241921"/>
      </top>
      <bottom style="medium">
        <color theme="7" tint="-0.49998474074526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medium">
        <color theme="7"/>
      </right>
      <top/>
      <bottom/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thin">
        <color theme="0"/>
      </bottom>
      <diagonal/>
    </border>
    <border>
      <left style="medium">
        <color theme="7"/>
      </left>
      <right style="medium">
        <color theme="7"/>
      </right>
      <top style="thin">
        <color theme="0"/>
      </top>
      <bottom style="thin">
        <color theme="0"/>
      </bottom>
      <diagonal/>
    </border>
    <border>
      <left style="medium">
        <color theme="7"/>
      </left>
      <right style="medium">
        <color theme="7"/>
      </right>
      <top style="thin">
        <color theme="0"/>
      </top>
      <bottom style="medium">
        <color theme="7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  <border>
      <left/>
      <right/>
      <top style="thin">
        <color theme="6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theme="1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double">
        <color theme="8"/>
      </top>
      <bottom style="thin">
        <color theme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47"/>
      </bottom>
      <diagonal/>
    </border>
    <border>
      <left/>
      <right/>
      <top/>
      <bottom style="medium">
        <color indexed="51"/>
      </bottom>
      <diagonal/>
    </border>
    <border>
      <left style="medium">
        <color indexed="47"/>
      </left>
      <right/>
      <top style="medium">
        <color indexed="47"/>
      </top>
      <bottom style="thin">
        <color indexed="47"/>
      </bottom>
      <diagonal/>
    </border>
    <border>
      <left/>
      <right/>
      <top style="medium">
        <color indexed="47"/>
      </top>
      <bottom style="thin">
        <color indexed="47"/>
      </bottom>
      <diagonal/>
    </border>
    <border>
      <left/>
      <right style="medium">
        <color indexed="47"/>
      </right>
      <top style="medium">
        <color indexed="47"/>
      </top>
      <bottom style="thin">
        <color indexed="47"/>
      </bottom>
      <diagonal/>
    </border>
    <border>
      <left style="medium">
        <color indexed="47"/>
      </left>
      <right style="hair">
        <color indexed="47"/>
      </right>
      <top/>
      <bottom style="hair">
        <color indexed="47"/>
      </bottom>
      <diagonal/>
    </border>
    <border>
      <left style="hair">
        <color indexed="47"/>
      </left>
      <right style="hair">
        <color indexed="47"/>
      </right>
      <top/>
      <bottom style="hair">
        <color indexed="47"/>
      </bottom>
      <diagonal/>
    </border>
    <border>
      <left style="hair">
        <color indexed="47"/>
      </left>
      <right style="medium">
        <color indexed="47"/>
      </right>
      <top/>
      <bottom style="hair">
        <color indexed="47"/>
      </bottom>
      <diagonal/>
    </border>
    <border>
      <left style="medium">
        <color indexed="47"/>
      </left>
      <right style="hair">
        <color indexed="47"/>
      </right>
      <top style="hair">
        <color indexed="47"/>
      </top>
      <bottom style="hair">
        <color indexed="47"/>
      </bottom>
      <diagonal/>
    </border>
    <border>
      <left style="hair">
        <color indexed="47"/>
      </left>
      <right style="hair">
        <color indexed="47"/>
      </right>
      <top style="hair">
        <color indexed="47"/>
      </top>
      <bottom style="hair">
        <color indexed="47"/>
      </bottom>
      <diagonal/>
    </border>
    <border>
      <left style="hair">
        <color indexed="47"/>
      </left>
      <right style="medium">
        <color indexed="47"/>
      </right>
      <top style="hair">
        <color indexed="47"/>
      </top>
      <bottom style="hair">
        <color indexed="47"/>
      </bottom>
      <diagonal/>
    </border>
    <border>
      <left style="medium">
        <color indexed="47"/>
      </left>
      <right style="hair">
        <color indexed="47"/>
      </right>
      <top style="hair">
        <color indexed="47"/>
      </top>
      <bottom style="medium">
        <color indexed="47"/>
      </bottom>
      <diagonal/>
    </border>
    <border>
      <left style="hair">
        <color indexed="47"/>
      </left>
      <right style="hair">
        <color indexed="47"/>
      </right>
      <top style="hair">
        <color indexed="47"/>
      </top>
      <bottom style="medium">
        <color indexed="47"/>
      </bottom>
      <diagonal/>
    </border>
    <border>
      <left style="hair">
        <color indexed="47"/>
      </left>
      <right style="medium">
        <color indexed="47"/>
      </right>
      <top style="hair">
        <color indexed="47"/>
      </top>
      <bottom style="medium">
        <color indexed="47"/>
      </bottom>
      <diagonal/>
    </border>
    <border>
      <left/>
      <right/>
      <top style="dotted">
        <color indexed="47"/>
      </top>
      <bottom/>
      <diagonal/>
    </border>
    <border>
      <left style="medium">
        <color indexed="47"/>
      </left>
      <right style="hair">
        <color indexed="47"/>
      </right>
      <top style="thin">
        <color indexed="47"/>
      </top>
      <bottom style="medium">
        <color indexed="47"/>
      </bottom>
      <diagonal/>
    </border>
    <border>
      <left style="hair">
        <color indexed="47"/>
      </left>
      <right style="hair">
        <color indexed="47"/>
      </right>
      <top style="thin">
        <color indexed="47"/>
      </top>
      <bottom style="medium">
        <color indexed="47"/>
      </bottom>
      <diagonal/>
    </border>
    <border>
      <left style="hair">
        <color indexed="47"/>
      </left>
      <right style="medium">
        <color indexed="47"/>
      </right>
      <top style="thin">
        <color indexed="47"/>
      </top>
      <bottom style="medium">
        <color indexed="47"/>
      </bottom>
      <diagonal/>
    </border>
    <border>
      <left/>
      <right/>
      <top style="dashed">
        <color indexed="47"/>
      </top>
      <bottom/>
      <diagonal/>
    </border>
    <border>
      <left/>
      <right/>
      <top/>
      <bottom style="hair">
        <color indexed="47"/>
      </bottom>
      <diagonal/>
    </border>
    <border>
      <left/>
      <right/>
      <top style="hair">
        <color indexed="47"/>
      </top>
      <bottom style="hair">
        <color indexed="47"/>
      </bottom>
      <diagonal/>
    </border>
    <border>
      <left/>
      <right/>
      <top style="hair">
        <color indexed="47"/>
      </top>
      <bottom style="medium">
        <color indexed="47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thin">
        <color theme="4" tint="0.39997558519241921"/>
      </top>
      <bottom style="medium">
        <color rgb="FFFF000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/>
      <top/>
      <bottom style="medium">
        <color theme="1"/>
      </bottom>
      <diagonal/>
    </border>
    <border>
      <left/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/>
      <right style="medium">
        <color indexed="64"/>
      </right>
      <top style="medium">
        <color theme="1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 style="thin">
        <color theme="1" tint="0.249977111117893"/>
      </bottom>
      <diagonal/>
    </border>
    <border>
      <left style="medium">
        <color rgb="FFFF0000"/>
      </left>
      <right/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medium">
        <color theme="0"/>
      </left>
      <right style="thin">
        <color theme="7" tint="0.39997558519241921"/>
      </right>
      <top style="medium">
        <color theme="0"/>
      </top>
      <bottom/>
      <diagonal/>
    </border>
    <border>
      <left style="thin">
        <color theme="7" tint="0.39997558519241921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indexed="64"/>
      </top>
      <bottom style="thin">
        <color rgb="FF0070C0"/>
      </bottom>
      <diagonal/>
    </border>
    <border>
      <left/>
      <right/>
      <top style="medium">
        <color indexed="64"/>
      </top>
      <bottom style="thin">
        <color rgb="FF0070C0"/>
      </bottom>
      <diagonal/>
    </border>
    <border>
      <left/>
      <right style="medium">
        <color indexed="64"/>
      </right>
      <top style="medium">
        <color indexed="64"/>
      </top>
      <bottom style="thin">
        <color rgb="FF0070C0"/>
      </bottom>
      <diagonal/>
    </border>
    <border>
      <left style="medium">
        <color indexed="64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medium">
        <color indexed="64"/>
      </right>
      <top style="thin">
        <color rgb="FF0070C0"/>
      </top>
      <bottom style="thin">
        <color rgb="FF0070C0"/>
      </bottom>
      <diagonal/>
    </border>
    <border>
      <left style="medium">
        <color indexed="64"/>
      </left>
      <right style="thin">
        <color rgb="FF0070C0"/>
      </right>
      <top style="thin">
        <color rgb="FF0070C0"/>
      </top>
      <bottom style="medium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medium">
        <color indexed="64"/>
      </bottom>
      <diagonal/>
    </border>
    <border>
      <left style="thin">
        <color rgb="FF0070C0"/>
      </left>
      <right style="medium">
        <color indexed="64"/>
      </right>
      <top style="thin">
        <color rgb="FF0070C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C00000"/>
      </left>
      <right style="thin">
        <color theme="0"/>
      </right>
      <top style="thin">
        <color theme="0"/>
      </top>
      <bottom style="medium">
        <color rgb="FFC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C00000"/>
      </bottom>
      <diagonal/>
    </border>
    <border>
      <left style="medium">
        <color rgb="FFC00000"/>
      </left>
      <right style="thin">
        <color theme="0"/>
      </right>
      <top style="medium">
        <color rgb="FFC00000"/>
      </top>
      <bottom/>
      <diagonal/>
    </border>
    <border>
      <left style="thin">
        <color theme="0"/>
      </left>
      <right style="thin">
        <color theme="0"/>
      </right>
      <top style="medium">
        <color rgb="FFC00000"/>
      </top>
      <bottom/>
      <diagonal/>
    </border>
    <border>
      <left style="thin">
        <color theme="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8" tint="0.39997558519241921"/>
      </left>
      <right style="thin">
        <color theme="8" tint="0.3999755851924192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rgb="FF0B7406"/>
      </left>
      <right/>
      <top style="medium">
        <color rgb="FF0B7406"/>
      </top>
      <bottom/>
      <diagonal/>
    </border>
    <border>
      <left/>
      <right/>
      <top style="medium">
        <color rgb="FF0B7406"/>
      </top>
      <bottom/>
      <diagonal/>
    </border>
    <border>
      <left/>
      <right style="medium">
        <color rgb="FF0B7406"/>
      </right>
      <top style="medium">
        <color rgb="FF0B7406"/>
      </top>
      <bottom/>
      <diagonal/>
    </border>
    <border>
      <left style="medium">
        <color rgb="FF0B7406"/>
      </left>
      <right/>
      <top/>
      <bottom/>
      <diagonal/>
    </border>
    <border>
      <left/>
      <right style="medium">
        <color rgb="FF0B7406"/>
      </right>
      <top/>
      <bottom/>
      <diagonal/>
    </border>
    <border>
      <left style="medium">
        <color rgb="FF0B7406"/>
      </left>
      <right/>
      <top/>
      <bottom style="medium">
        <color rgb="FF0B7406"/>
      </bottom>
      <diagonal/>
    </border>
    <border>
      <left/>
      <right/>
      <top/>
      <bottom style="medium">
        <color rgb="FF0B7406"/>
      </bottom>
      <diagonal/>
    </border>
    <border>
      <left/>
      <right style="medium">
        <color rgb="FF0B7406"/>
      </right>
      <top/>
      <bottom style="medium">
        <color rgb="FF0B7406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medium">
        <color theme="4" tint="0.39997558519241921"/>
      </top>
      <bottom/>
      <diagonal/>
    </border>
    <border>
      <left/>
      <right/>
      <top style="medium">
        <color theme="4" tint="0.39997558519241921"/>
      </top>
      <bottom/>
      <diagonal/>
    </border>
    <border>
      <left/>
      <right style="medium">
        <color theme="4" tint="0.39997558519241921"/>
      </right>
      <top style="medium">
        <color theme="4" tint="0.39997558519241921"/>
      </top>
      <bottom/>
      <diagonal/>
    </border>
    <border>
      <left style="medium">
        <color theme="4" tint="0.39997558519241921"/>
      </left>
      <right/>
      <top/>
      <bottom/>
      <diagonal/>
    </border>
    <border>
      <left/>
      <right style="medium">
        <color theme="4" tint="0.39997558519241921"/>
      </right>
      <top/>
      <bottom/>
      <diagonal/>
    </border>
    <border>
      <left/>
      <right style="medium">
        <color theme="4" tint="0.39997558519241921"/>
      </right>
      <top/>
      <bottom style="medium">
        <color theme="4" tint="0.39997558519241921"/>
      </bottom>
      <diagonal/>
    </border>
  </borders>
  <cellStyleXfs count="20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0" fillId="0" borderId="0" applyNumberFormat="0" applyFill="0" applyBorder="0" applyProtection="0">
      <alignment horizontal="left" vertical="center"/>
    </xf>
    <xf numFmtId="0" fontId="21" fillId="6" borderId="0" applyNumberFormat="0" applyFont="0" applyBorder="0" applyAlignment="0" applyProtection="0">
      <alignment vertical="center"/>
    </xf>
    <xf numFmtId="166" fontId="22" fillId="7" borderId="25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/>
    <xf numFmtId="0" fontId="26" fillId="0" borderId="0"/>
    <xf numFmtId="0" fontId="16" fillId="8" borderId="0" applyNumberFormat="0" applyBorder="0" applyProtection="0"/>
    <xf numFmtId="0" fontId="2" fillId="9" borderId="47"/>
    <xf numFmtId="0" fontId="2" fillId="9" borderId="0"/>
    <xf numFmtId="0" fontId="2" fillId="10" borderId="46"/>
    <xf numFmtId="0" fontId="2" fillId="9" borderId="47"/>
    <xf numFmtId="0" fontId="30" fillId="0" borderId="0" applyNumberFormat="0" applyFill="0" applyBorder="0" applyAlignment="0" applyProtection="0"/>
    <xf numFmtId="0" fontId="42" fillId="0" borderId="0"/>
    <xf numFmtId="0" fontId="56" fillId="0" borderId="0"/>
    <xf numFmtId="43" fontId="2" fillId="0" borderId="0" applyFont="0" applyFill="0" applyBorder="0" applyAlignment="0" applyProtection="0"/>
    <xf numFmtId="0" fontId="45" fillId="0" borderId="0"/>
  </cellStyleXfs>
  <cellXfs count="846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1" fillId="0" borderId="1" xfId="0" applyFont="1" applyBorder="1" applyAlignment="1">
      <alignment horizontal="centerContinuous" vertical="center"/>
    </xf>
    <xf numFmtId="0" fontId="3" fillId="0" borderId="0" xfId="0" applyFont="1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/>
    </xf>
    <xf numFmtId="3" fontId="4" fillId="0" borderId="0" xfId="0" applyNumberFormat="1" applyFont="1" applyAlignment="1">
      <alignment horizontal="left"/>
    </xf>
    <xf numFmtId="44" fontId="4" fillId="0" borderId="0" xfId="1" applyFont="1" applyAlignment="1">
      <alignment horizontal="right" vertical="top"/>
    </xf>
    <xf numFmtId="44" fontId="4" fillId="0" borderId="0" xfId="1" applyFont="1" applyAlignment="1">
      <alignment horizontal="center" vertical="top"/>
    </xf>
    <xf numFmtId="0" fontId="5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8" fillId="0" borderId="0" xfId="0" applyFont="1" applyAlignment="1">
      <alignment vertical="center" textRotation="90"/>
    </xf>
    <xf numFmtId="0" fontId="4" fillId="0" borderId="0" xfId="1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12" fillId="0" borderId="0" xfId="1" applyNumberFormat="1" applyFont="1" applyAlignment="1">
      <alignment horizontal="right" vertical="top"/>
    </xf>
    <xf numFmtId="0" fontId="12" fillId="0" borderId="7" xfId="0" applyFont="1" applyBorder="1" applyAlignment="1">
      <alignment horizontal="right" vertical="top"/>
    </xf>
    <xf numFmtId="0" fontId="12" fillId="0" borderId="7" xfId="1" applyNumberFormat="1" applyFont="1" applyBorder="1" applyAlignment="1">
      <alignment horizontal="right" vertical="top"/>
    </xf>
    <xf numFmtId="0" fontId="4" fillId="0" borderId="7" xfId="0" applyFont="1" applyBorder="1" applyAlignment="1">
      <alignment vertical="top"/>
    </xf>
    <xf numFmtId="44" fontId="4" fillId="0" borderId="7" xfId="1" applyFont="1" applyBorder="1" applyAlignment="1">
      <alignment horizontal="center" vertical="top"/>
    </xf>
    <xf numFmtId="0" fontId="13" fillId="0" borderId="0" xfId="0" applyFont="1" applyAlignment="1">
      <alignment horizontal="left"/>
    </xf>
    <xf numFmtId="0" fontId="11" fillId="0" borderId="8" xfId="0" applyFont="1" applyBorder="1" applyAlignment="1">
      <alignment horizontal="centerContinuous"/>
    </xf>
    <xf numFmtId="0" fontId="10" fillId="0" borderId="8" xfId="0" applyFont="1" applyBorder="1" applyAlignment="1">
      <alignment horizontal="centerContinuous"/>
    </xf>
    <xf numFmtId="0" fontId="10" fillId="2" borderId="8" xfId="0" applyFont="1" applyFill="1" applyBorder="1" applyAlignment="1">
      <alignment horizontal="left" vertical="top"/>
    </xf>
    <xf numFmtId="44" fontId="4" fillId="0" borderId="9" xfId="1" applyFont="1" applyBorder="1" applyAlignment="1">
      <alignment horizontal="center" vertical="top"/>
    </xf>
    <xf numFmtId="44" fontId="4" fillId="0" borderId="10" xfId="1" applyFont="1" applyBorder="1" applyAlignment="1">
      <alignment horizontal="center" vertical="top"/>
    </xf>
    <xf numFmtId="44" fontId="4" fillId="0" borderId="11" xfId="1" applyFont="1" applyBorder="1" applyAlignment="1">
      <alignment horizontal="center" vertical="top"/>
    </xf>
    <xf numFmtId="44" fontId="4" fillId="0" borderId="12" xfId="1" applyFont="1" applyBorder="1" applyAlignment="1">
      <alignment horizontal="center" vertical="top"/>
    </xf>
    <xf numFmtId="44" fontId="4" fillId="0" borderId="13" xfId="1" applyFont="1" applyBorder="1" applyAlignment="1">
      <alignment horizontal="center" vertical="top"/>
    </xf>
    <xf numFmtId="44" fontId="4" fillId="0" borderId="14" xfId="1" applyFont="1" applyBorder="1" applyAlignment="1">
      <alignment horizontal="center" vertical="top"/>
    </xf>
    <xf numFmtId="0" fontId="5" fillId="0" borderId="15" xfId="0" applyFont="1" applyBorder="1" applyAlignment="1">
      <alignment horizontal="left" vertical="top"/>
    </xf>
    <xf numFmtId="0" fontId="4" fillId="0" borderId="16" xfId="0" applyFont="1" applyBorder="1" applyAlignment="1">
      <alignment horizontal="left" vertical="top"/>
    </xf>
    <xf numFmtId="0" fontId="4" fillId="0" borderId="17" xfId="0" applyFont="1" applyBorder="1" applyAlignment="1">
      <alignment horizontal="left" vertical="top"/>
    </xf>
    <xf numFmtId="14" fontId="13" fillId="0" borderId="0" xfId="2" applyNumberFormat="1" applyFont="1" applyAlignment="1">
      <alignment horizontal="center"/>
    </xf>
    <xf numFmtId="14" fontId="13" fillId="0" borderId="0" xfId="0" applyNumberFormat="1" applyFont="1" applyAlignment="1">
      <alignment horizontal="center"/>
    </xf>
    <xf numFmtId="44" fontId="0" fillId="0" borderId="0" xfId="1" applyFont="1"/>
    <xf numFmtId="0" fontId="1" fillId="0" borderId="19" xfId="0" applyFont="1" applyBorder="1"/>
    <xf numFmtId="44" fontId="1" fillId="0" borderId="19" xfId="1" applyFont="1" applyBorder="1"/>
    <xf numFmtId="164" fontId="0" fillId="0" borderId="0" xfId="0" applyNumberFormat="1"/>
    <xf numFmtId="3" fontId="0" fillId="0" borderId="0" xfId="0" applyNumberFormat="1"/>
    <xf numFmtId="43" fontId="0" fillId="0" borderId="23" xfId="3" applyFont="1" applyBorder="1"/>
    <xf numFmtId="43" fontId="0" fillId="4" borderId="23" xfId="3" applyFont="1" applyFill="1" applyBorder="1"/>
    <xf numFmtId="40" fontId="0" fillId="4" borderId="23" xfId="3" applyNumberFormat="1" applyFont="1" applyFill="1" applyBorder="1"/>
    <xf numFmtId="40" fontId="0" fillId="0" borderId="23" xfId="3" applyNumberFormat="1" applyFont="1" applyBorder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43" fontId="0" fillId="0" borderId="0" xfId="3" applyFont="1"/>
    <xf numFmtId="14" fontId="0" fillId="0" borderId="28" xfId="0" applyNumberFormat="1" applyBorder="1" applyAlignment="1">
      <alignment vertical="center"/>
    </xf>
    <xf numFmtId="2" fontId="0" fillId="0" borderId="29" xfId="0" applyNumberFormat="1" applyBorder="1" applyAlignment="1">
      <alignment vertical="center"/>
    </xf>
    <xf numFmtId="14" fontId="0" fillId="0" borderId="26" xfId="0" applyNumberFormat="1" applyBorder="1" applyAlignment="1">
      <alignment vertical="center"/>
    </xf>
    <xf numFmtId="2" fontId="0" fillId="0" borderId="27" xfId="0" applyNumberFormat="1" applyBorder="1" applyAlignment="1">
      <alignment vertical="center"/>
    </xf>
    <xf numFmtId="43" fontId="0" fillId="0" borderId="27" xfId="3" applyFont="1" applyBorder="1" applyAlignment="1">
      <alignment vertical="center"/>
    </xf>
    <xf numFmtId="44" fontId="0" fillId="0" borderId="26" xfId="1" applyFont="1" applyBorder="1" applyAlignment="1">
      <alignment vertical="center"/>
    </xf>
    <xf numFmtId="0" fontId="5" fillId="2" borderId="2" xfId="0" applyFont="1" applyFill="1" applyBorder="1" applyAlignment="1">
      <alignment horizontal="center" vertical="center"/>
    </xf>
    <xf numFmtId="43" fontId="5" fillId="2" borderId="3" xfId="3" applyFont="1" applyFill="1" applyBorder="1" applyAlignment="1">
      <alignment horizontal="center" vertical="center"/>
    </xf>
    <xf numFmtId="43" fontId="0" fillId="0" borderId="29" xfId="3" applyFont="1" applyBorder="1" applyAlignment="1">
      <alignment vertical="center"/>
    </xf>
    <xf numFmtId="43" fontId="24" fillId="0" borderId="30" xfId="8" applyNumberFormat="1" applyBorder="1" applyAlignment="1">
      <alignment vertical="center"/>
    </xf>
    <xf numFmtId="44" fontId="0" fillId="0" borderId="31" xfId="1" applyFont="1" applyBorder="1" applyAlignment="1">
      <alignment vertical="center"/>
    </xf>
    <xf numFmtId="43" fontId="24" fillId="0" borderId="32" xfId="8" applyNumberFormat="1" applyBorder="1" applyAlignment="1">
      <alignment vertical="center"/>
    </xf>
    <xf numFmtId="44" fontId="0" fillId="0" borderId="28" xfId="1" applyFont="1" applyBorder="1" applyAlignment="1">
      <alignment vertical="center"/>
    </xf>
    <xf numFmtId="0" fontId="5" fillId="2" borderId="33" xfId="0" applyFont="1" applyFill="1" applyBorder="1" applyAlignment="1">
      <alignment horizontal="center" vertical="center"/>
    </xf>
    <xf numFmtId="2" fontId="0" fillId="0" borderId="34" xfId="0" applyNumberFormat="1" applyBorder="1" applyAlignment="1">
      <alignment vertical="center"/>
    </xf>
    <xf numFmtId="2" fontId="0" fillId="0" borderId="35" xfId="0" applyNumberFormat="1" applyBorder="1" applyAlignment="1">
      <alignment vertical="center"/>
    </xf>
    <xf numFmtId="2" fontId="0" fillId="0" borderId="36" xfId="0" applyNumberFormat="1" applyBorder="1" applyAlignment="1">
      <alignment vertical="center"/>
    </xf>
    <xf numFmtId="0" fontId="1" fillId="6" borderId="40" xfId="0" applyFont="1" applyFill="1" applyBorder="1"/>
    <xf numFmtId="0" fontId="0" fillId="0" borderId="40" xfId="0" applyBorder="1"/>
    <xf numFmtId="0" fontId="1" fillId="6" borderId="40" xfId="0" applyFont="1" applyFill="1" applyBorder="1" applyAlignment="1">
      <alignment horizontal="center" vertical="center"/>
    </xf>
    <xf numFmtId="167" fontId="0" fillId="0" borderId="0" xfId="0" applyNumberFormat="1"/>
    <xf numFmtId="0" fontId="27" fillId="0" borderId="0" xfId="9" applyFont="1"/>
    <xf numFmtId="0" fontId="26" fillId="0" borderId="0" xfId="9"/>
    <xf numFmtId="0" fontId="28" fillId="0" borderId="0" xfId="9" applyFont="1" applyAlignment="1">
      <alignment horizontal="centerContinuous" vertical="center"/>
    </xf>
    <xf numFmtId="0" fontId="26" fillId="0" borderId="0" xfId="9" applyAlignment="1">
      <alignment horizontal="centerContinuous"/>
    </xf>
    <xf numFmtId="0" fontId="16" fillId="8" borderId="0" xfId="10" applyAlignment="1">
      <alignment horizontal="center" vertical="center"/>
    </xf>
    <xf numFmtId="0" fontId="16" fillId="8" borderId="0" xfId="10"/>
    <xf numFmtId="0" fontId="16" fillId="8" borderId="0" xfId="10" applyAlignment="1">
      <alignment horizontal="right"/>
    </xf>
    <xf numFmtId="0" fontId="27" fillId="0" borderId="0" xfId="9" applyFont="1" applyAlignment="1">
      <alignment wrapText="1"/>
    </xf>
    <xf numFmtId="0" fontId="2" fillId="9" borderId="47" xfId="11"/>
    <xf numFmtId="0" fontId="2" fillId="9" borderId="48" xfId="12" applyBorder="1" applyAlignment="1">
      <alignment horizontal="left"/>
    </xf>
    <xf numFmtId="0" fontId="2" fillId="10" borderId="49" xfId="13" applyBorder="1"/>
    <xf numFmtId="0" fontId="2" fillId="9" borderId="48" xfId="12" applyBorder="1"/>
    <xf numFmtId="0" fontId="2" fillId="9" borderId="47" xfId="14"/>
    <xf numFmtId="0" fontId="27" fillId="0" borderId="0" xfId="9" quotePrefix="1" applyFont="1"/>
    <xf numFmtId="0" fontId="29" fillId="0" borderId="0" xfId="9" applyFont="1"/>
    <xf numFmtId="0" fontId="2" fillId="9" borderId="0" xfId="12"/>
    <xf numFmtId="0" fontId="2" fillId="10" borderId="46" xfId="13"/>
    <xf numFmtId="0" fontId="30" fillId="0" borderId="0" xfId="15"/>
    <xf numFmtId="3" fontId="2" fillId="9" borderId="48" xfId="12" applyNumberFormat="1" applyBorder="1" applyAlignment="1">
      <alignment horizontal="right"/>
    </xf>
    <xf numFmtId="0" fontId="5" fillId="0" borderId="0" xfId="0" applyFont="1"/>
    <xf numFmtId="0" fontId="4" fillId="0" borderId="0" xfId="0" applyFont="1"/>
    <xf numFmtId="3" fontId="4" fillId="0" borderId="0" xfId="0" applyNumberFormat="1" applyFont="1"/>
    <xf numFmtId="0" fontId="19" fillId="8" borderId="1" xfId="10" applyFont="1" applyBorder="1" applyAlignment="1">
      <alignment horizontal="left"/>
    </xf>
    <xf numFmtId="0" fontId="19" fillId="8" borderId="2" xfId="10" applyFont="1" applyBorder="1" applyAlignment="1">
      <alignment horizontal="left"/>
    </xf>
    <xf numFmtId="0" fontId="19" fillId="8" borderId="3" xfId="10" applyFont="1" applyBorder="1" applyAlignment="1">
      <alignment horizontal="left"/>
    </xf>
    <xf numFmtId="0" fontId="16" fillId="8" borderId="41" xfId="10" applyBorder="1"/>
    <xf numFmtId="0" fontId="16" fillId="8" borderId="33" xfId="10" applyBorder="1"/>
    <xf numFmtId="0" fontId="16" fillId="8" borderId="42" xfId="10" applyBorder="1"/>
    <xf numFmtId="0" fontId="2" fillId="9" borderId="50" xfId="12" applyBorder="1" applyAlignment="1">
      <alignment horizontal="left"/>
    </xf>
    <xf numFmtId="0" fontId="2" fillId="9" borderId="52" xfId="12" applyBorder="1" applyAlignment="1">
      <alignment horizontal="left"/>
    </xf>
    <xf numFmtId="3" fontId="2" fillId="9" borderId="53" xfId="12" applyNumberFormat="1" applyBorder="1" applyAlignment="1">
      <alignment horizontal="right"/>
    </xf>
    <xf numFmtId="44" fontId="0" fillId="2" borderId="54" xfId="1" applyFont="1" applyFill="1" applyBorder="1"/>
    <xf numFmtId="44" fontId="0" fillId="2" borderId="55" xfId="1" applyFont="1" applyFill="1" applyBorder="1"/>
    <xf numFmtId="44" fontId="0" fillId="2" borderId="56" xfId="1" applyFont="1" applyFill="1" applyBorder="1"/>
    <xf numFmtId="0" fontId="0" fillId="13" borderId="58" xfId="0" applyFill="1" applyBorder="1"/>
    <xf numFmtId="0" fontId="0" fillId="14" borderId="58" xfId="0" applyFill="1" applyBorder="1"/>
    <xf numFmtId="168" fontId="0" fillId="0" borderId="0" xfId="0" applyNumberFormat="1"/>
    <xf numFmtId="4" fontId="0" fillId="0" borderId="0" xfId="0" applyNumberFormat="1"/>
    <xf numFmtId="4" fontId="0" fillId="13" borderId="60" xfId="0" applyNumberFormat="1" applyFill="1" applyBorder="1"/>
    <xf numFmtId="4" fontId="0" fillId="14" borderId="60" xfId="0" applyNumberFormat="1" applyFill="1" applyBorder="1"/>
    <xf numFmtId="0" fontId="35" fillId="15" borderId="57" xfId="0" applyFont="1" applyFill="1" applyBorder="1"/>
    <xf numFmtId="168" fontId="4" fillId="13" borderId="58" xfId="0" applyNumberFormat="1" applyFont="1" applyFill="1" applyBorder="1"/>
    <xf numFmtId="4" fontId="0" fillId="13" borderId="59" xfId="0" applyNumberFormat="1" applyFill="1" applyBorder="1"/>
    <xf numFmtId="0" fontId="0" fillId="13" borderId="59" xfId="0" applyFill="1" applyBorder="1"/>
    <xf numFmtId="4" fontId="0" fillId="14" borderId="59" xfId="0" applyNumberFormat="1" applyFill="1" applyBorder="1"/>
    <xf numFmtId="0" fontId="0" fillId="14" borderId="59" xfId="0" applyFill="1" applyBorder="1"/>
    <xf numFmtId="0" fontId="0" fillId="14" borderId="61" xfId="0" applyFill="1" applyBorder="1"/>
    <xf numFmtId="4" fontId="0" fillId="14" borderId="62" xfId="0" applyNumberFormat="1" applyFill="1" applyBorder="1"/>
    <xf numFmtId="0" fontId="0" fillId="14" borderId="62" xfId="0" applyFill="1" applyBorder="1"/>
    <xf numFmtId="0" fontId="36" fillId="16" borderId="0" xfId="0" applyFont="1" applyFill="1" applyAlignment="1">
      <alignment horizontal="centerContinuous"/>
    </xf>
    <xf numFmtId="0" fontId="34" fillId="16" borderId="0" xfId="0" applyFont="1" applyFill="1" applyAlignment="1">
      <alignment horizontal="centerContinuous"/>
    </xf>
    <xf numFmtId="4" fontId="0" fillId="14" borderId="63" xfId="0" applyNumberFormat="1" applyFill="1" applyBorder="1"/>
    <xf numFmtId="0" fontId="5" fillId="17" borderId="57" xfId="0" applyFont="1" applyFill="1" applyBorder="1"/>
    <xf numFmtId="0" fontId="5" fillId="17" borderId="64" xfId="0" applyFont="1" applyFill="1" applyBorder="1"/>
    <xf numFmtId="0" fontId="5" fillId="17" borderId="65" xfId="0" applyFont="1" applyFill="1" applyBorder="1"/>
    <xf numFmtId="3" fontId="0" fillId="0" borderId="66" xfId="0" applyNumberFormat="1" applyBorder="1"/>
    <xf numFmtId="3" fontId="0" fillId="0" borderId="67" xfId="0" applyNumberFormat="1" applyBorder="1"/>
    <xf numFmtId="3" fontId="0" fillId="0" borderId="68" xfId="0" applyNumberFormat="1" applyBorder="1"/>
    <xf numFmtId="3" fontId="0" fillId="13" borderId="69" xfId="0" applyNumberFormat="1" applyFill="1" applyBorder="1"/>
    <xf numFmtId="3" fontId="0" fillId="14" borderId="70" xfId="0" applyNumberFormat="1" applyFill="1" applyBorder="1"/>
    <xf numFmtId="3" fontId="0" fillId="13" borderId="70" xfId="0" applyNumberFormat="1" applyFill="1" applyBorder="1"/>
    <xf numFmtId="0" fontId="5" fillId="17" borderId="72" xfId="0" applyFont="1" applyFill="1" applyBorder="1"/>
    <xf numFmtId="3" fontId="0" fillId="13" borderId="71" xfId="0" applyNumberFormat="1" applyFill="1" applyBorder="1"/>
    <xf numFmtId="0" fontId="37" fillId="18" borderId="0" xfId="0" applyFont="1" applyFill="1"/>
    <xf numFmtId="0" fontId="37" fillId="18" borderId="73" xfId="0" applyFont="1" applyFill="1" applyBorder="1"/>
    <xf numFmtId="4" fontId="38" fillId="19" borderId="0" xfId="0" applyNumberFormat="1" applyFont="1" applyFill="1"/>
    <xf numFmtId="4" fontId="38" fillId="19" borderId="74" xfId="0" applyNumberFormat="1" applyFont="1" applyFill="1" applyBorder="1"/>
    <xf numFmtId="0" fontId="39" fillId="0" borderId="0" xfId="0" applyFont="1" applyAlignment="1">
      <alignment horizontal="left" vertical="center" readingOrder="1"/>
    </xf>
    <xf numFmtId="10" fontId="0" fillId="0" borderId="0" xfId="0" applyNumberFormat="1"/>
    <xf numFmtId="0" fontId="0" fillId="0" borderId="0" xfId="0" applyAlignment="1">
      <alignment horizontal="left" vertical="center"/>
    </xf>
    <xf numFmtId="0" fontId="34" fillId="17" borderId="72" xfId="0" applyFont="1" applyFill="1" applyBorder="1" applyAlignment="1">
      <alignment horizontal="center" vertical="center"/>
    </xf>
    <xf numFmtId="0" fontId="0" fillId="13" borderId="77" xfId="0" applyFill="1" applyBorder="1"/>
    <xf numFmtId="0" fontId="0" fillId="14" borderId="78" xfId="0" applyFill="1" applyBorder="1"/>
    <xf numFmtId="0" fontId="0" fillId="13" borderId="78" xfId="0" applyFill="1" applyBorder="1"/>
    <xf numFmtId="0" fontId="1" fillId="13" borderId="78" xfId="0" applyFont="1" applyFill="1" applyBorder="1"/>
    <xf numFmtId="0" fontId="1" fillId="0" borderId="0" xfId="0" applyFont="1"/>
    <xf numFmtId="0" fontId="34" fillId="17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40" fillId="0" borderId="0" xfId="0" applyFont="1"/>
    <xf numFmtId="0" fontId="42" fillId="0" borderId="0" xfId="16"/>
    <xf numFmtId="0" fontId="44" fillId="0" borderId="0" xfId="16" applyFont="1"/>
    <xf numFmtId="0" fontId="44" fillId="0" borderId="0" xfId="16" applyFont="1" applyAlignment="1">
      <alignment horizontal="center"/>
    </xf>
    <xf numFmtId="0" fontId="44" fillId="0" borderId="82" xfId="16" applyFont="1" applyBorder="1" applyAlignment="1">
      <alignment horizontal="right"/>
    </xf>
    <xf numFmtId="169" fontId="45" fillId="0" borderId="0" xfId="16" applyNumberFormat="1" applyFont="1" applyAlignment="1">
      <alignment horizontal="center"/>
    </xf>
    <xf numFmtId="3" fontId="45" fillId="0" borderId="0" xfId="16" applyNumberFormat="1" applyFont="1" applyAlignment="1">
      <alignment horizontal="center"/>
    </xf>
    <xf numFmtId="44" fontId="45" fillId="0" borderId="82" xfId="1" applyFont="1" applyBorder="1" applyAlignment="1">
      <alignment horizontal="right"/>
    </xf>
    <xf numFmtId="44" fontId="44" fillId="0" borderId="0" xfId="1" applyFont="1" applyAlignment="1">
      <alignment horizontal="center"/>
    </xf>
    <xf numFmtId="44" fontId="44" fillId="0" borderId="82" xfId="1" applyFont="1" applyBorder="1" applyAlignment="1">
      <alignment horizontal="center"/>
    </xf>
    <xf numFmtId="44" fontId="45" fillId="0" borderId="0" xfId="1" applyFont="1" applyAlignment="1">
      <alignment horizontal="right"/>
    </xf>
    <xf numFmtId="44" fontId="46" fillId="22" borderId="82" xfId="1" applyFont="1" applyFill="1" applyBorder="1" applyAlignment="1">
      <alignment horizontal="right"/>
    </xf>
    <xf numFmtId="44" fontId="46" fillId="23" borderId="82" xfId="1" applyFont="1" applyFill="1" applyBorder="1" applyAlignment="1">
      <alignment horizontal="right"/>
    </xf>
    <xf numFmtId="44" fontId="46" fillId="24" borderId="82" xfId="1" applyFont="1" applyFill="1" applyBorder="1" applyAlignment="1">
      <alignment horizontal="right"/>
    </xf>
    <xf numFmtId="44" fontId="42" fillId="0" borderId="0" xfId="1" applyFont="1"/>
    <xf numFmtId="44" fontId="44" fillId="25" borderId="82" xfId="1" applyFont="1" applyFill="1" applyBorder="1" applyAlignment="1">
      <alignment horizontal="right"/>
    </xf>
    <xf numFmtId="44" fontId="46" fillId="26" borderId="82" xfId="1" applyFont="1" applyFill="1" applyBorder="1" applyAlignment="1">
      <alignment horizontal="right"/>
    </xf>
    <xf numFmtId="44" fontId="46" fillId="27" borderId="82" xfId="1" applyFont="1" applyFill="1" applyBorder="1" applyAlignment="1">
      <alignment horizontal="right"/>
    </xf>
    <xf numFmtId="0" fontId="45" fillId="28" borderId="82" xfId="16" applyFont="1" applyFill="1" applyBorder="1"/>
    <xf numFmtId="44" fontId="46" fillId="28" borderId="82" xfId="1" applyFont="1" applyFill="1" applyBorder="1" applyAlignment="1">
      <alignment horizontal="right"/>
    </xf>
    <xf numFmtId="43" fontId="0" fillId="0" borderId="0" xfId="3" applyFont="1" applyAlignment="1">
      <alignment horizontal="center" vertical="center"/>
    </xf>
    <xf numFmtId="43" fontId="0" fillId="13" borderId="63" xfId="3" applyFont="1" applyFill="1" applyBorder="1" applyAlignment="1">
      <alignment horizontal="center" vertical="center"/>
    </xf>
    <xf numFmtId="170" fontId="0" fillId="0" borderId="0" xfId="0" applyNumberFormat="1" applyAlignment="1">
      <alignment horizontal="center"/>
    </xf>
    <xf numFmtId="43" fontId="0" fillId="14" borderId="63" xfId="3" applyFont="1" applyFill="1" applyBorder="1" applyAlignment="1">
      <alignment horizontal="center" vertical="center"/>
    </xf>
    <xf numFmtId="0" fontId="34" fillId="17" borderId="0" xfId="0" applyFont="1" applyFill="1" applyAlignment="1">
      <alignment horizontal="center" vertical="center"/>
    </xf>
    <xf numFmtId="43" fontId="0" fillId="13" borderId="76" xfId="3" applyFont="1" applyFill="1" applyBorder="1" applyAlignment="1">
      <alignment horizontal="center" vertical="center"/>
    </xf>
    <xf numFmtId="0" fontId="36" fillId="0" borderId="0" xfId="0" applyFont="1" applyAlignment="1">
      <alignment horizontal="center"/>
    </xf>
    <xf numFmtId="43" fontId="0" fillId="0" borderId="84" xfId="3" applyFont="1" applyBorder="1" applyAlignment="1">
      <alignment horizontal="center" vertical="center"/>
    </xf>
    <xf numFmtId="43" fontId="0" fillId="0" borderId="85" xfId="3" applyFont="1" applyBorder="1" applyAlignment="1">
      <alignment horizontal="center" vertical="center"/>
    </xf>
    <xf numFmtId="43" fontId="0" fillId="0" borderId="86" xfId="3" applyFont="1" applyBorder="1" applyAlignment="1">
      <alignment horizontal="center" vertical="center"/>
    </xf>
    <xf numFmtId="0" fontId="19" fillId="7" borderId="38" xfId="0" applyFont="1" applyFill="1" applyBorder="1" applyAlignment="1">
      <alignment horizontal="centerContinuous"/>
    </xf>
    <xf numFmtId="0" fontId="19" fillId="7" borderId="39" xfId="0" applyFont="1" applyFill="1" applyBorder="1" applyAlignment="1">
      <alignment horizontal="centerContinuous"/>
    </xf>
    <xf numFmtId="40" fontId="0" fillId="0" borderId="0" xfId="3" applyNumberFormat="1" applyFont="1" applyAlignment="1">
      <alignment horizontal="center" vertical="center"/>
    </xf>
    <xf numFmtId="0" fontId="49" fillId="2" borderId="0" xfId="0" applyFont="1" applyFill="1"/>
    <xf numFmtId="0" fontId="48" fillId="35" borderId="0" xfId="0" applyFont="1" applyFill="1" applyAlignment="1">
      <alignment horizontal="left" vertical="center" indent="1"/>
    </xf>
    <xf numFmtId="0" fontId="0" fillId="35" borderId="0" xfId="0" applyFill="1" applyAlignment="1">
      <alignment vertical="center"/>
    </xf>
    <xf numFmtId="0" fontId="48" fillId="35" borderId="0" xfId="0" applyFont="1" applyFill="1" applyAlignment="1">
      <alignment vertical="center"/>
    </xf>
    <xf numFmtId="0" fontId="0" fillId="35" borderId="0" xfId="0" applyFill="1" applyAlignment="1">
      <alignment horizontal="left" vertical="center" indent="1"/>
    </xf>
    <xf numFmtId="43" fontId="2" fillId="35" borderId="0" xfId="3" applyFill="1" applyAlignment="1">
      <alignment vertical="center"/>
    </xf>
    <xf numFmtId="0" fontId="0" fillId="35" borderId="0" xfId="0" applyFill="1" applyAlignment="1">
      <alignment horizontal="left" vertical="center" indent="3"/>
    </xf>
    <xf numFmtId="44" fontId="1" fillId="35" borderId="0" xfId="1" applyFont="1" applyFill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88" xfId="0" applyBorder="1"/>
    <xf numFmtId="0" fontId="0" fillId="0" borderId="89" xfId="0" applyBorder="1"/>
    <xf numFmtId="0" fontId="34" fillId="17" borderId="89" xfId="0" applyFont="1" applyFill="1" applyBorder="1" applyAlignment="1">
      <alignment horizontal="center" vertical="center" wrapText="1"/>
    </xf>
    <xf numFmtId="0" fontId="34" fillId="17" borderId="88" xfId="0" applyFont="1" applyFill="1" applyBorder="1" applyAlignment="1">
      <alignment horizontal="center" vertical="center"/>
    </xf>
    <xf numFmtId="0" fontId="1" fillId="0" borderId="90" xfId="0" applyFont="1" applyBorder="1"/>
    <xf numFmtId="43" fontId="0" fillId="36" borderId="63" xfId="3" applyFont="1" applyFill="1" applyBorder="1"/>
    <xf numFmtId="0" fontId="45" fillId="36" borderId="77" xfId="0" applyFont="1" applyFill="1" applyBorder="1"/>
    <xf numFmtId="43" fontId="0" fillId="36" borderId="76" xfId="3" applyFont="1" applyFill="1" applyBorder="1"/>
    <xf numFmtId="0" fontId="45" fillId="38" borderId="78" xfId="0" applyFont="1" applyFill="1" applyBorder="1"/>
    <xf numFmtId="43" fontId="0" fillId="38" borderId="63" xfId="3" applyFont="1" applyFill="1" applyBorder="1"/>
    <xf numFmtId="0" fontId="45" fillId="36" borderId="78" xfId="0" applyFont="1" applyFill="1" applyBorder="1"/>
    <xf numFmtId="0" fontId="34" fillId="37" borderId="0" xfId="0" applyFont="1" applyFill="1" applyAlignment="1">
      <alignment horizontal="center" vertical="center"/>
    </xf>
    <xf numFmtId="0" fontId="34" fillId="37" borderId="72" xfId="0" applyFont="1" applyFill="1" applyBorder="1" applyAlignment="1">
      <alignment horizontal="center" vertical="center"/>
    </xf>
    <xf numFmtId="171" fontId="0" fillId="36" borderId="76" xfId="3" applyNumberFormat="1" applyFont="1" applyFill="1" applyBorder="1" applyAlignment="1">
      <alignment horizontal="center" vertical="center"/>
    </xf>
    <xf numFmtId="171" fontId="0" fillId="38" borderId="63" xfId="3" applyNumberFormat="1" applyFont="1" applyFill="1" applyBorder="1" applyAlignment="1">
      <alignment horizontal="center" vertical="center"/>
    </xf>
    <xf numFmtId="171" fontId="0" fillId="36" borderId="63" xfId="3" applyNumberFormat="1" applyFont="1" applyFill="1" applyBorder="1" applyAlignment="1">
      <alignment horizontal="center" vertical="center"/>
    </xf>
    <xf numFmtId="43" fontId="0" fillId="38" borderId="63" xfId="3" applyFont="1" applyFill="1" applyBorder="1" applyAlignment="1">
      <alignment horizontal="center" vertical="center"/>
    </xf>
    <xf numFmtId="43" fontId="0" fillId="36" borderId="63" xfId="3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74" fontId="5" fillId="0" borderId="0" xfId="0" applyNumberFormat="1" applyFont="1"/>
    <xf numFmtId="175" fontId="4" fillId="0" borderId="0" xfId="0" applyNumberFormat="1" applyFont="1"/>
    <xf numFmtId="1" fontId="0" fillId="0" borderId="0" xfId="0" applyNumberFormat="1"/>
    <xf numFmtId="40" fontId="0" fillId="13" borderId="59" xfId="3" applyNumberFormat="1" applyFont="1" applyFill="1" applyBorder="1" applyAlignment="1">
      <alignment horizontal="center" vertical="center"/>
    </xf>
    <xf numFmtId="40" fontId="0" fillId="13" borderId="60" xfId="3" applyNumberFormat="1" applyFont="1" applyFill="1" applyBorder="1" applyAlignment="1">
      <alignment horizontal="center" vertical="center"/>
    </xf>
    <xf numFmtId="40" fontId="0" fillId="14" borderId="59" xfId="3" applyNumberFormat="1" applyFont="1" applyFill="1" applyBorder="1" applyAlignment="1">
      <alignment horizontal="center" vertical="center"/>
    </xf>
    <xf numFmtId="40" fontId="0" fillId="14" borderId="60" xfId="3" applyNumberFormat="1" applyFont="1" applyFill="1" applyBorder="1" applyAlignment="1">
      <alignment horizontal="center" vertical="center"/>
    </xf>
    <xf numFmtId="40" fontId="0" fillId="0" borderId="84" xfId="3" applyNumberFormat="1" applyFont="1" applyBorder="1" applyAlignment="1">
      <alignment horizontal="center" vertical="center"/>
    </xf>
    <xf numFmtId="40" fontId="0" fillId="0" borderId="85" xfId="3" applyNumberFormat="1" applyFont="1" applyBorder="1" applyAlignment="1">
      <alignment horizontal="center" vertical="center"/>
    </xf>
    <xf numFmtId="40" fontId="0" fillId="0" borderId="86" xfId="3" applyNumberFormat="1" applyFont="1" applyBorder="1" applyAlignment="1">
      <alignment horizontal="center" vertical="center"/>
    </xf>
    <xf numFmtId="14" fontId="0" fillId="0" borderId="0" xfId="0" applyNumberFormat="1" applyAlignment="1">
      <alignment vertical="center" wrapText="1"/>
    </xf>
    <xf numFmtId="176" fontId="0" fillId="0" borderId="0" xfId="0" applyNumberFormat="1"/>
    <xf numFmtId="177" fontId="0" fillId="0" borderId="0" xfId="0" applyNumberFormat="1"/>
    <xf numFmtId="178" fontId="0" fillId="0" borderId="0" xfId="0" applyNumberFormat="1" applyAlignment="1">
      <alignment horizontal="center" vertical="center"/>
    </xf>
    <xf numFmtId="178" fontId="0" fillId="0" borderId="0" xfId="0" quotePrefix="1" applyNumberFormat="1" applyAlignment="1">
      <alignment horizontal="center" vertical="center"/>
    </xf>
    <xf numFmtId="0" fontId="51" fillId="0" borderId="0" xfId="0" applyFont="1"/>
    <xf numFmtId="0" fontId="52" fillId="0" borderId="0" xfId="0" applyFont="1" applyAlignment="1">
      <alignment horizontal="right"/>
    </xf>
    <xf numFmtId="0" fontId="57" fillId="41" borderId="92" xfId="17" applyFont="1" applyFill="1" applyBorder="1" applyAlignment="1">
      <alignment horizontal="left" vertical="center"/>
    </xf>
    <xf numFmtId="0" fontId="57" fillId="41" borderId="93" xfId="17" applyFont="1" applyFill="1" applyBorder="1" applyAlignment="1">
      <alignment horizontal="left" vertical="center"/>
    </xf>
    <xf numFmtId="0" fontId="58" fillId="42" borderId="0" xfId="17" applyFont="1" applyFill="1" applyAlignment="1">
      <alignment horizontal="left" vertical="center"/>
    </xf>
    <xf numFmtId="0" fontId="59" fillId="43" borderId="94" xfId="17" applyFont="1" applyFill="1" applyBorder="1" applyAlignment="1">
      <alignment horizontal="left" vertical="center"/>
    </xf>
    <xf numFmtId="179" fontId="59" fillId="43" borderId="95" xfId="17" applyNumberFormat="1" applyFont="1" applyFill="1" applyBorder="1" applyAlignment="1">
      <alignment horizontal="left" vertical="center"/>
    </xf>
    <xf numFmtId="179" fontId="59" fillId="43" borderId="95" xfId="17" applyNumberFormat="1" applyFont="1" applyFill="1" applyBorder="1" applyAlignment="1">
      <alignment horizontal="right" vertical="center"/>
    </xf>
    <xf numFmtId="179" fontId="59" fillId="43" borderId="96" xfId="17" applyNumberFormat="1" applyFont="1" applyFill="1" applyBorder="1" applyAlignment="1">
      <alignment horizontal="right" vertical="center"/>
    </xf>
    <xf numFmtId="14" fontId="60" fillId="42" borderId="97" xfId="17" applyNumberFormat="1" applyFont="1" applyFill="1" applyBorder="1" applyAlignment="1">
      <alignment horizontal="left" vertical="center"/>
    </xf>
    <xf numFmtId="179" fontId="60" fillId="42" borderId="98" xfId="17" applyNumberFormat="1" applyFont="1" applyFill="1" applyBorder="1" applyAlignment="1">
      <alignment horizontal="left" vertical="center"/>
    </xf>
    <xf numFmtId="179" fontId="60" fillId="42" borderId="98" xfId="17" applyNumberFormat="1" applyFont="1" applyFill="1" applyBorder="1" applyAlignment="1">
      <alignment horizontal="right" vertical="center"/>
    </xf>
    <xf numFmtId="179" fontId="60" fillId="42" borderId="99" xfId="17" applyNumberFormat="1" applyFont="1" applyFill="1" applyBorder="1" applyAlignment="1">
      <alignment horizontal="right" vertical="center"/>
    </xf>
    <xf numFmtId="14" fontId="60" fillId="42" borderId="100" xfId="17" applyNumberFormat="1" applyFont="1" applyFill="1" applyBorder="1" applyAlignment="1">
      <alignment horizontal="left" vertical="center"/>
    </xf>
    <xf numFmtId="179" fontId="60" fillId="42" borderId="101" xfId="17" applyNumberFormat="1" applyFont="1" applyFill="1" applyBorder="1" applyAlignment="1">
      <alignment horizontal="left" vertical="center"/>
    </xf>
    <xf numFmtId="179" fontId="60" fillId="42" borderId="101" xfId="17" applyNumberFormat="1" applyFont="1" applyFill="1" applyBorder="1" applyAlignment="1">
      <alignment horizontal="right" vertical="center"/>
    </xf>
    <xf numFmtId="179" fontId="60" fillId="42" borderId="102" xfId="17" applyNumberFormat="1" applyFont="1" applyFill="1" applyBorder="1" applyAlignment="1">
      <alignment horizontal="right" vertical="center"/>
    </xf>
    <xf numFmtId="14" fontId="60" fillId="42" borderId="103" xfId="17" applyNumberFormat="1" applyFont="1" applyFill="1" applyBorder="1" applyAlignment="1">
      <alignment horizontal="left" vertical="center"/>
    </xf>
    <xf numFmtId="179" fontId="60" fillId="42" borderId="104" xfId="17" applyNumberFormat="1" applyFont="1" applyFill="1" applyBorder="1" applyAlignment="1">
      <alignment horizontal="left" vertical="center"/>
    </xf>
    <xf numFmtId="179" fontId="60" fillId="42" borderId="104" xfId="17" applyNumberFormat="1" applyFont="1" applyFill="1" applyBorder="1" applyAlignment="1">
      <alignment horizontal="right" vertical="center"/>
    </xf>
    <xf numFmtId="179" fontId="60" fillId="42" borderId="105" xfId="17" applyNumberFormat="1" applyFont="1" applyFill="1" applyBorder="1" applyAlignment="1">
      <alignment horizontal="right" vertical="center"/>
    </xf>
    <xf numFmtId="0" fontId="58" fillId="42" borderId="106" xfId="17" applyFont="1" applyFill="1" applyBorder="1" applyAlignment="1">
      <alignment horizontal="left" vertical="center"/>
    </xf>
    <xf numFmtId="0" fontId="59" fillId="43" borderId="95" xfId="17" applyFont="1" applyFill="1" applyBorder="1" applyAlignment="1">
      <alignment horizontal="left" vertical="center"/>
    </xf>
    <xf numFmtId="0" fontId="59" fillId="43" borderId="96" xfId="17" applyFont="1" applyFill="1" applyBorder="1" applyAlignment="1">
      <alignment horizontal="left" vertical="center"/>
    </xf>
    <xf numFmtId="0" fontId="60" fillId="42" borderId="107" xfId="17" applyFont="1" applyFill="1" applyBorder="1" applyAlignment="1">
      <alignment horizontal="left" vertical="center"/>
    </xf>
    <xf numFmtId="0" fontId="60" fillId="42" borderId="108" xfId="17" applyFont="1" applyFill="1" applyBorder="1" applyAlignment="1">
      <alignment horizontal="left" vertical="center"/>
    </xf>
    <xf numFmtId="0" fontId="60" fillId="42" borderId="109" xfId="17" applyFont="1" applyFill="1" applyBorder="1" applyAlignment="1">
      <alignment horizontal="left" vertical="center"/>
    </xf>
    <xf numFmtId="0" fontId="58" fillId="42" borderId="110" xfId="17" applyFont="1" applyFill="1" applyBorder="1" applyAlignment="1">
      <alignment horizontal="left" vertical="center"/>
    </xf>
    <xf numFmtId="180" fontId="59" fillId="43" borderId="96" xfId="17" applyNumberFormat="1" applyFont="1" applyFill="1" applyBorder="1" applyAlignment="1">
      <alignment horizontal="right" vertical="center"/>
    </xf>
    <xf numFmtId="179" fontId="60" fillId="42" borderId="111" xfId="17" applyNumberFormat="1" applyFont="1" applyFill="1" applyBorder="1" applyAlignment="1">
      <alignment horizontal="right" vertical="center"/>
    </xf>
    <xf numFmtId="180" fontId="60" fillId="42" borderId="99" xfId="17" applyNumberFormat="1" applyFont="1" applyFill="1" applyBorder="1" applyAlignment="1">
      <alignment horizontal="right" vertical="center"/>
    </xf>
    <xf numFmtId="179" fontId="60" fillId="42" borderId="112" xfId="17" applyNumberFormat="1" applyFont="1" applyFill="1" applyBorder="1" applyAlignment="1">
      <alignment horizontal="right" vertical="center"/>
    </xf>
    <xf numFmtId="180" fontId="60" fillId="42" borderId="102" xfId="17" applyNumberFormat="1" applyFont="1" applyFill="1" applyBorder="1" applyAlignment="1">
      <alignment horizontal="right" vertical="center"/>
    </xf>
    <xf numFmtId="179" fontId="60" fillId="42" borderId="113" xfId="17" applyNumberFormat="1" applyFont="1" applyFill="1" applyBorder="1" applyAlignment="1">
      <alignment horizontal="right" vertical="center"/>
    </xf>
    <xf numFmtId="180" fontId="60" fillId="42" borderId="105" xfId="17" applyNumberFormat="1" applyFont="1" applyFill="1" applyBorder="1" applyAlignment="1">
      <alignment horizontal="right" vertical="center"/>
    </xf>
    <xf numFmtId="0" fontId="24" fillId="0" borderId="0" xfId="8"/>
    <xf numFmtId="0" fontId="0" fillId="0" borderId="0" xfId="0" applyAlignment="1">
      <alignment wrapText="1"/>
    </xf>
    <xf numFmtId="0" fontId="4" fillId="0" borderId="0" xfId="0" applyFont="1" applyAlignment="1">
      <alignment horizontal="left" vertical="center"/>
    </xf>
    <xf numFmtId="43" fontId="50" fillId="34" borderId="83" xfId="3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38" fontId="4" fillId="0" borderId="0" xfId="3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4" fontId="0" fillId="0" borderId="0" xfId="0" applyNumberFormat="1" applyAlignment="1">
      <alignment horizontal="center" vertical="center"/>
    </xf>
    <xf numFmtId="0" fontId="48" fillId="0" borderId="0" xfId="0" applyFont="1" applyAlignment="1">
      <alignment horizontal="left" vertical="center"/>
    </xf>
    <xf numFmtId="2" fontId="0" fillId="0" borderId="117" xfId="0" applyNumberFormat="1" applyBorder="1" applyAlignment="1">
      <alignment vertical="center"/>
    </xf>
    <xf numFmtId="2" fontId="0" fillId="0" borderId="118" xfId="0" applyNumberFormat="1" applyBorder="1" applyAlignment="1">
      <alignment vertical="center"/>
    </xf>
    <xf numFmtId="2" fontId="0" fillId="0" borderId="119" xfId="0" applyNumberFormat="1" applyBorder="1" applyAlignment="1">
      <alignment vertical="center"/>
    </xf>
    <xf numFmtId="14" fontId="5" fillId="2" borderId="4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2" fillId="10" borderId="51" xfId="13" applyNumberFormat="1" applyBorder="1"/>
    <xf numFmtId="43" fontId="1" fillId="13" borderId="63" xfId="3" applyFont="1" applyFill="1" applyBorder="1" applyAlignment="1">
      <alignment horizontal="center" vertical="center"/>
    </xf>
    <xf numFmtId="0" fontId="4" fillId="14" borderId="121" xfId="0" applyFont="1" applyFill="1" applyBorder="1" applyAlignment="1">
      <alignment horizontal="center" vertical="center"/>
    </xf>
    <xf numFmtId="0" fontId="4" fillId="0" borderId="121" xfId="0" applyFont="1" applyBorder="1" applyAlignment="1">
      <alignment horizontal="center" vertical="center"/>
    </xf>
    <xf numFmtId="0" fontId="4" fillId="14" borderId="120" xfId="0" applyFont="1" applyFill="1" applyBorder="1" applyAlignment="1">
      <alignment horizontal="center" vertical="center"/>
    </xf>
    <xf numFmtId="0" fontId="34" fillId="17" borderId="121" xfId="0" applyFont="1" applyFill="1" applyBorder="1" applyAlignment="1">
      <alignment horizontal="center" vertical="center"/>
    </xf>
    <xf numFmtId="0" fontId="34" fillId="17" borderId="122" xfId="0" applyFont="1" applyFill="1" applyBorder="1" applyAlignment="1">
      <alignment horizontal="center" vertical="center"/>
    </xf>
    <xf numFmtId="0" fontId="1" fillId="0" borderId="83" xfId="0" applyFont="1" applyBorder="1"/>
    <xf numFmtId="2" fontId="4" fillId="14" borderId="84" xfId="1" applyNumberFormat="1" applyFont="1" applyFill="1" applyBorder="1" applyAlignment="1">
      <alignment horizontal="center" vertical="center"/>
    </xf>
    <xf numFmtId="181" fontId="34" fillId="37" borderId="76" xfId="0" applyNumberFormat="1" applyFont="1" applyFill="1" applyBorder="1"/>
    <xf numFmtId="182" fontId="0" fillId="0" borderId="0" xfId="0" applyNumberFormat="1"/>
    <xf numFmtId="181" fontId="0" fillId="36" borderId="63" xfId="18" applyNumberFormat="1" applyFont="1" applyFill="1" applyBorder="1"/>
    <xf numFmtId="0" fontId="34" fillId="37" borderId="0" xfId="0" applyFont="1" applyFill="1"/>
    <xf numFmtId="0" fontId="34" fillId="37" borderId="72" xfId="0" applyFont="1" applyFill="1" applyBorder="1"/>
    <xf numFmtId="0" fontId="0" fillId="36" borderId="77" xfId="0" applyFill="1" applyBorder="1"/>
    <xf numFmtId="181" fontId="0" fillId="36" borderId="76" xfId="18" applyNumberFormat="1" applyFont="1" applyFill="1" applyBorder="1"/>
    <xf numFmtId="0" fontId="0" fillId="38" borderId="78" xfId="0" applyFill="1" applyBorder="1"/>
    <xf numFmtId="181" fontId="0" fillId="38" borderId="63" xfId="18" applyNumberFormat="1" applyFont="1" applyFill="1" applyBorder="1"/>
    <xf numFmtId="0" fontId="0" fillId="36" borderId="78" xfId="0" applyFill="1" applyBorder="1"/>
    <xf numFmtId="0" fontId="34" fillId="37" borderId="77" xfId="0" applyFont="1" applyFill="1" applyBorder="1"/>
    <xf numFmtId="181" fontId="34" fillId="37" borderId="72" xfId="0" applyNumberFormat="1" applyFont="1" applyFill="1" applyBorder="1"/>
    <xf numFmtId="43" fontId="0" fillId="38" borderId="83" xfId="3" applyFont="1" applyFill="1" applyBorder="1"/>
    <xf numFmtId="0" fontId="34" fillId="17" borderId="125" xfId="0" applyFont="1" applyFill="1" applyBorder="1" applyAlignment="1">
      <alignment horizontal="center" vertical="center"/>
    </xf>
    <xf numFmtId="0" fontId="0" fillId="13" borderId="125" xfId="0" applyFill="1" applyBorder="1" applyAlignment="1">
      <alignment horizontal="center" vertical="center"/>
    </xf>
    <xf numFmtId="0" fontId="0" fillId="14" borderId="125" xfId="0" applyFill="1" applyBorder="1" applyAlignment="1">
      <alignment horizontal="center" vertical="center"/>
    </xf>
    <xf numFmtId="44" fontId="0" fillId="13" borderId="125" xfId="1" applyFont="1" applyFill="1" applyBorder="1" applyAlignment="1">
      <alignment horizontal="center" vertical="center"/>
    </xf>
    <xf numFmtId="44" fontId="0" fillId="14" borderId="125" xfId="1" applyFont="1" applyFill="1" applyBorder="1" applyAlignment="1">
      <alignment horizontal="center" vertical="center"/>
    </xf>
    <xf numFmtId="183" fontId="0" fillId="13" borderId="125" xfId="0" applyNumberFormat="1" applyFill="1" applyBorder="1" applyAlignment="1">
      <alignment horizontal="center" vertical="center"/>
    </xf>
    <xf numFmtId="183" fontId="0" fillId="14" borderId="125" xfId="0" applyNumberFormat="1" applyFill="1" applyBorder="1" applyAlignment="1">
      <alignment horizontal="center" vertical="center"/>
    </xf>
    <xf numFmtId="20" fontId="0" fillId="0" borderId="0" xfId="0" applyNumberFormat="1"/>
    <xf numFmtId="177" fontId="0" fillId="0" borderId="126" xfId="0" applyNumberFormat="1" applyBorder="1"/>
    <xf numFmtId="177" fontId="0" fillId="0" borderId="127" xfId="0" applyNumberFormat="1" applyBorder="1"/>
    <xf numFmtId="44" fontId="0" fillId="0" borderId="128" xfId="1" applyFont="1" applyBorder="1"/>
    <xf numFmtId="44" fontId="0" fillId="0" borderId="129" xfId="1" applyFont="1" applyBorder="1"/>
    <xf numFmtId="0" fontId="0" fillId="0" borderId="91" xfId="0" applyBorder="1" applyAlignment="1">
      <alignment horizontal="center" vertical="center"/>
    </xf>
    <xf numFmtId="22" fontId="0" fillId="0" borderId="91" xfId="0" applyNumberFormat="1" applyBorder="1" applyAlignment="1">
      <alignment horizontal="center" vertical="center"/>
    </xf>
    <xf numFmtId="0" fontId="0" fillId="13" borderId="63" xfId="0" applyFill="1" applyBorder="1"/>
    <xf numFmtId="0" fontId="0" fillId="13" borderId="76" xfId="0" applyFill="1" applyBorder="1"/>
    <xf numFmtId="0" fontId="0" fillId="14" borderId="63" xfId="0" applyFill="1" applyBorder="1"/>
    <xf numFmtId="174" fontId="5" fillId="13" borderId="77" xfId="0" applyNumberFormat="1" applyFont="1" applyFill="1" applyBorder="1"/>
    <xf numFmtId="174" fontId="5" fillId="14" borderId="78" xfId="0" applyNumberFormat="1" applyFont="1" applyFill="1" applyBorder="1"/>
    <xf numFmtId="174" fontId="5" fillId="13" borderId="78" xfId="0" applyNumberFormat="1" applyFont="1" applyFill="1" applyBorder="1"/>
    <xf numFmtId="1" fontId="0" fillId="13" borderId="63" xfId="0" applyNumberFormat="1" applyFill="1" applyBorder="1"/>
    <xf numFmtId="0" fontId="34" fillId="46" borderId="87" xfId="0" applyFont="1" applyFill="1" applyBorder="1" applyAlignment="1">
      <alignment horizontal="center" vertical="center"/>
    </xf>
    <xf numFmtId="0" fontId="34" fillId="17" borderId="122" xfId="0" applyFont="1" applyFill="1" applyBorder="1" applyAlignment="1">
      <alignment horizontal="center"/>
    </xf>
    <xf numFmtId="0" fontId="0" fillId="14" borderId="122" xfId="0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0" fontId="0" fillId="14" borderId="83" xfId="0" applyFill="1" applyBorder="1" applyAlignment="1">
      <alignment horizontal="center" vertical="center"/>
    </xf>
    <xf numFmtId="0" fontId="0" fillId="0" borderId="125" xfId="0" applyBorder="1" applyAlignment="1">
      <alignment horizontal="center" vertical="center"/>
    </xf>
    <xf numFmtId="0" fontId="57" fillId="49" borderId="0" xfId="17" applyFont="1" applyFill="1" applyAlignment="1">
      <alignment horizontal="left" vertical="center"/>
    </xf>
    <xf numFmtId="0" fontId="57" fillId="0" borderId="0" xfId="17" applyFont="1" applyAlignment="1">
      <alignment horizontal="left" vertical="center"/>
    </xf>
    <xf numFmtId="0" fontId="58" fillId="0" borderId="0" xfId="17" applyFont="1" applyAlignment="1">
      <alignment horizontal="left" vertical="center"/>
    </xf>
    <xf numFmtId="0" fontId="58" fillId="0" borderId="106" xfId="17" applyFont="1" applyBorder="1" applyAlignment="1">
      <alignment horizontal="left" vertical="center"/>
    </xf>
    <xf numFmtId="0" fontId="58" fillId="0" borderId="110" xfId="17" applyFont="1" applyBorder="1" applyAlignment="1">
      <alignment horizontal="left" vertical="center"/>
    </xf>
    <xf numFmtId="14" fontId="0" fillId="13" borderId="60" xfId="0" applyNumberFormat="1" applyFill="1" applyBorder="1" applyAlignment="1">
      <alignment horizontal="center"/>
    </xf>
    <xf numFmtId="168" fontId="1" fillId="46" borderId="76" xfId="0" applyNumberFormat="1" applyFont="1" applyFill="1" applyBorder="1"/>
    <xf numFmtId="4" fontId="5" fillId="17" borderId="76" xfId="0" applyNumberFormat="1" applyFont="1" applyFill="1" applyBorder="1"/>
    <xf numFmtId="0" fontId="5" fillId="46" borderId="0" xfId="0" applyFont="1" applyFill="1" applyAlignment="1">
      <alignment horizontal="left" vertical="center"/>
    </xf>
    <xf numFmtId="0" fontId="5" fillId="46" borderId="72" xfId="0" applyFont="1" applyFill="1" applyBorder="1" applyAlignment="1">
      <alignment horizontal="left" vertical="center"/>
    </xf>
    <xf numFmtId="0" fontId="0" fillId="50" borderId="77" xfId="0" applyFill="1" applyBorder="1"/>
    <xf numFmtId="168" fontId="0" fillId="50" borderId="76" xfId="0" applyNumberFormat="1" applyFill="1" applyBorder="1"/>
    <xf numFmtId="0" fontId="0" fillId="45" borderId="78" xfId="0" applyFill="1" applyBorder="1"/>
    <xf numFmtId="168" fontId="0" fillId="45" borderId="63" xfId="0" applyNumberFormat="1" applyFill="1" applyBorder="1"/>
    <xf numFmtId="0" fontId="0" fillId="50" borderId="78" xfId="0" applyFill="1" applyBorder="1"/>
    <xf numFmtId="168" fontId="0" fillId="50" borderId="63" xfId="0" applyNumberFormat="1" applyFill="1" applyBorder="1"/>
    <xf numFmtId="0" fontId="34" fillId="46" borderId="77" xfId="0" applyFont="1" applyFill="1" applyBorder="1"/>
    <xf numFmtId="0" fontId="5" fillId="17" borderId="0" xfId="0" applyFont="1" applyFill="1"/>
    <xf numFmtId="0" fontId="4" fillId="13" borderId="77" xfId="0" applyFont="1" applyFill="1" applyBorder="1"/>
    <xf numFmtId="4" fontId="4" fillId="13" borderId="76" xfId="0" applyNumberFormat="1" applyFont="1" applyFill="1" applyBorder="1"/>
    <xf numFmtId="0" fontId="4" fillId="14" borderId="78" xfId="0" applyFont="1" applyFill="1" applyBorder="1"/>
    <xf numFmtId="4" fontId="4" fillId="14" borderId="63" xfId="0" applyNumberFormat="1" applyFont="1" applyFill="1" applyBorder="1"/>
    <xf numFmtId="0" fontId="4" fillId="13" borderId="78" xfId="0" applyFont="1" applyFill="1" applyBorder="1"/>
    <xf numFmtId="4" fontId="4" fillId="13" borderId="63" xfId="0" applyNumberFormat="1" applyFont="1" applyFill="1" applyBorder="1"/>
    <xf numFmtId="0" fontId="5" fillId="17" borderId="77" xfId="0" applyFont="1" applyFill="1" applyBorder="1"/>
    <xf numFmtId="3" fontId="50" fillId="34" borderId="83" xfId="0" applyNumberFormat="1" applyFont="1" applyFill="1" applyBorder="1" applyAlignment="1">
      <alignment horizontal="left" vertical="center"/>
    </xf>
    <xf numFmtId="183" fontId="0" fillId="13" borderId="120" xfId="0" applyNumberFormat="1" applyFill="1" applyBorder="1" applyAlignment="1">
      <alignment horizontal="center" vertical="center"/>
    </xf>
    <xf numFmtId="183" fontId="0" fillId="14" borderId="120" xfId="0" applyNumberFormat="1" applyFill="1" applyBorder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85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52" borderId="83" xfId="0" applyFill="1" applyBorder="1" applyAlignment="1">
      <alignment horizontal="center" vertical="center"/>
    </xf>
    <xf numFmtId="0" fontId="34" fillId="51" borderId="22" xfId="0" applyFont="1" applyFill="1" applyBorder="1" applyAlignment="1">
      <alignment horizontal="center" vertical="center"/>
    </xf>
    <xf numFmtId="0" fontId="34" fillId="51" borderId="146" xfId="0" applyFont="1" applyFill="1" applyBorder="1" applyAlignment="1">
      <alignment horizontal="center" vertical="center"/>
    </xf>
    <xf numFmtId="14" fontId="0" fillId="52" borderId="147" xfId="0" applyNumberFormat="1" applyFill="1" applyBorder="1" applyAlignment="1">
      <alignment horizontal="center" vertical="center"/>
    </xf>
    <xf numFmtId="44" fontId="0" fillId="52" borderId="148" xfId="1" applyFont="1" applyFill="1" applyBorder="1" applyAlignment="1">
      <alignment horizontal="center" vertical="center"/>
    </xf>
    <xf numFmtId="44" fontId="0" fillId="52" borderId="147" xfId="1" applyFont="1" applyFill="1" applyBorder="1" applyAlignment="1">
      <alignment horizontal="center" vertical="center"/>
    </xf>
    <xf numFmtId="44" fontId="0" fillId="52" borderId="20" xfId="0" applyNumberFormat="1" applyFill="1" applyBorder="1" applyAlignment="1">
      <alignment horizontal="center" vertical="center"/>
    </xf>
    <xf numFmtId="173" fontId="0" fillId="0" borderId="84" xfId="0" applyNumberFormat="1" applyBorder="1" applyAlignment="1">
      <alignment horizontal="center" vertical="center"/>
    </xf>
    <xf numFmtId="173" fontId="0" fillId="0" borderId="85" xfId="0" applyNumberFormat="1" applyBorder="1" applyAlignment="1">
      <alignment horizontal="center" vertical="center"/>
    </xf>
    <xf numFmtId="173" fontId="0" fillId="0" borderId="86" xfId="0" applyNumberFormat="1" applyBorder="1" applyAlignment="1">
      <alignment horizontal="center" vertical="center"/>
    </xf>
    <xf numFmtId="178" fontId="0" fillId="0" borderId="0" xfId="0" applyNumberFormat="1"/>
    <xf numFmtId="0" fontId="34" fillId="0" borderId="0" xfId="0" applyFont="1"/>
    <xf numFmtId="43" fontId="0" fillId="0" borderId="0" xfId="0" applyNumberFormat="1"/>
    <xf numFmtId="10" fontId="0" fillId="0" borderId="0" xfId="2" applyNumberFormat="1" applyFont="1"/>
    <xf numFmtId="0" fontId="19" fillId="7" borderId="149" xfId="0" applyFont="1" applyFill="1" applyBorder="1"/>
    <xf numFmtId="0" fontId="36" fillId="0" borderId="0" xfId="0" applyFont="1" applyAlignment="1">
      <alignment horizontal="left" vertical="center"/>
    </xf>
    <xf numFmtId="14" fontId="48" fillId="0" borderId="0" xfId="0" applyNumberFormat="1" applyFont="1" applyAlignment="1">
      <alignment horizontal="left" vertical="center"/>
    </xf>
    <xf numFmtId="0" fontId="65" fillId="32" borderId="154" xfId="0" applyFont="1" applyFill="1" applyBorder="1" applyAlignment="1">
      <alignment vertical="center"/>
    </xf>
    <xf numFmtId="0" fontId="65" fillId="32" borderId="156" xfId="0" applyFont="1" applyFill="1" applyBorder="1" applyAlignment="1">
      <alignment vertical="center"/>
    </xf>
    <xf numFmtId="9" fontId="0" fillId="0" borderId="0" xfId="2" applyFont="1"/>
    <xf numFmtId="0" fontId="19" fillId="37" borderId="0" xfId="0" applyFont="1" applyFill="1" applyAlignment="1">
      <alignment vertical="center"/>
    </xf>
    <xf numFmtId="0" fontId="25" fillId="55" borderId="0" xfId="0" applyFont="1" applyFill="1" applyAlignment="1">
      <alignment horizontal="left" vertical="top"/>
    </xf>
    <xf numFmtId="0" fontId="34" fillId="0" borderId="0" xfId="0" applyFont="1" applyAlignment="1">
      <alignment horizontal="center" vertical="center"/>
    </xf>
    <xf numFmtId="0" fontId="34" fillId="0" borderId="72" xfId="0" applyFont="1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14" fontId="0" fillId="0" borderId="76" xfId="0" applyNumberFormat="1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14" fontId="0" fillId="0" borderId="63" xfId="0" applyNumberFormat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4" fillId="0" borderId="72" xfId="0" applyFont="1" applyBorder="1"/>
    <xf numFmtId="0" fontId="0" fillId="0" borderId="77" xfId="0" applyBorder="1"/>
    <xf numFmtId="14" fontId="0" fillId="0" borderId="76" xfId="0" applyNumberFormat="1" applyBorder="1"/>
    <xf numFmtId="44" fontId="0" fillId="0" borderId="76" xfId="1" applyFont="1" applyBorder="1"/>
    <xf numFmtId="0" fontId="0" fillId="0" borderId="76" xfId="0" applyBorder="1" applyAlignment="1">
      <alignment horizontal="center"/>
    </xf>
    <xf numFmtId="0" fontId="0" fillId="0" borderId="78" xfId="0" applyBorder="1"/>
    <xf numFmtId="14" fontId="0" fillId="0" borderId="63" xfId="0" applyNumberFormat="1" applyBorder="1"/>
    <xf numFmtId="44" fontId="0" fillId="0" borderId="63" xfId="1" applyFont="1" applyBorder="1"/>
    <xf numFmtId="0" fontId="0" fillId="0" borderId="63" xfId="0" applyBorder="1" applyAlignment="1">
      <alignment horizontal="center"/>
    </xf>
    <xf numFmtId="184" fontId="0" fillId="0" borderId="77" xfId="0" applyNumberFormat="1" applyBorder="1" applyAlignment="1">
      <alignment horizontal="center" vertical="center"/>
    </xf>
    <xf numFmtId="184" fontId="0" fillId="0" borderId="78" xfId="0" applyNumberFormat="1" applyBorder="1" applyAlignment="1">
      <alignment horizontal="center" vertical="center"/>
    </xf>
    <xf numFmtId="0" fontId="1" fillId="30" borderId="0" xfId="0" applyFont="1" applyFill="1" applyAlignment="1">
      <alignment vertical="center"/>
    </xf>
    <xf numFmtId="0" fontId="68" fillId="30" borderId="0" xfId="0" applyFont="1" applyFill="1" applyAlignment="1">
      <alignment vertical="center"/>
    </xf>
    <xf numFmtId="0" fontId="41" fillId="2" borderId="0" xfId="0" applyFont="1" applyFill="1" applyAlignment="1">
      <alignment vertical="center"/>
    </xf>
    <xf numFmtId="0" fontId="67" fillId="0" borderId="166" xfId="0" applyFont="1" applyBorder="1" applyAlignment="1">
      <alignment horizontal="left" vertical="center"/>
    </xf>
    <xf numFmtId="0" fontId="8" fillId="2" borderId="165" xfId="0" applyFont="1" applyFill="1" applyBorder="1"/>
    <xf numFmtId="43" fontId="0" fillId="0" borderId="59" xfId="3" applyFont="1" applyBorder="1" applyAlignment="1">
      <alignment horizontal="center" vertical="center"/>
    </xf>
    <xf numFmtId="0" fontId="34" fillId="17" borderId="167" xfId="0" applyFont="1" applyFill="1" applyBorder="1" applyAlignment="1">
      <alignment horizontal="center" vertical="center"/>
    </xf>
    <xf numFmtId="0" fontId="0" fillId="13" borderId="167" xfId="0" applyFill="1" applyBorder="1" applyAlignment="1">
      <alignment horizontal="center" vertical="center"/>
    </xf>
    <xf numFmtId="43" fontId="0" fillId="13" borderId="167" xfId="3" applyFont="1" applyFill="1" applyBorder="1" applyAlignment="1">
      <alignment horizontal="center" vertical="center"/>
    </xf>
    <xf numFmtId="43" fontId="0" fillId="13" borderId="167" xfId="3" applyFont="1" applyFill="1" applyBorder="1"/>
    <xf numFmtId="0" fontId="0" fillId="14" borderId="167" xfId="0" applyFill="1" applyBorder="1" applyAlignment="1">
      <alignment horizontal="center" vertical="center"/>
    </xf>
    <xf numFmtId="43" fontId="0" fillId="14" borderId="167" xfId="3" applyFont="1" applyFill="1" applyBorder="1" applyAlignment="1">
      <alignment horizontal="center" vertical="center"/>
    </xf>
    <xf numFmtId="43" fontId="0" fillId="14" borderId="167" xfId="3" applyFont="1" applyFill="1" applyBorder="1"/>
    <xf numFmtId="43" fontId="0" fillId="0" borderId="168" xfId="3" applyFont="1" applyBorder="1"/>
    <xf numFmtId="43" fontId="0" fillId="0" borderId="169" xfId="3" applyFont="1" applyBorder="1"/>
    <xf numFmtId="43" fontId="0" fillId="0" borderId="170" xfId="3" applyFont="1" applyBorder="1"/>
    <xf numFmtId="43" fontId="0" fillId="0" borderId="171" xfId="3" applyFont="1" applyBorder="1"/>
    <xf numFmtId="43" fontId="0" fillId="0" borderId="172" xfId="3" applyFont="1" applyBorder="1"/>
    <xf numFmtId="0" fontId="0" fillId="0" borderId="60" xfId="0" applyBorder="1" applyAlignment="1">
      <alignment horizontal="center" vertical="center"/>
    </xf>
    <xf numFmtId="43" fontId="0" fillId="0" borderId="173" xfId="3" applyFont="1" applyBorder="1" applyAlignment="1">
      <alignment horizontal="center" vertical="center"/>
    </xf>
    <xf numFmtId="43" fontId="0" fillId="0" borderId="174" xfId="3" applyFont="1" applyBorder="1" applyAlignment="1">
      <alignment horizontal="center" vertical="center"/>
    </xf>
    <xf numFmtId="43" fontId="0" fillId="0" borderId="175" xfId="3" applyFont="1" applyBorder="1" applyAlignment="1">
      <alignment horizontal="center" vertical="center"/>
    </xf>
    <xf numFmtId="43" fontId="0" fillId="0" borderId="179" xfId="3" applyFont="1" applyBorder="1" applyAlignment="1">
      <alignment horizontal="center" vertical="center"/>
    </xf>
    <xf numFmtId="43" fontId="0" fillId="0" borderId="180" xfId="3" applyFont="1" applyBorder="1" applyAlignment="1">
      <alignment horizontal="center" vertical="center"/>
    </xf>
    <xf numFmtId="0" fontId="0" fillId="0" borderId="181" xfId="0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183" xfId="0" applyBorder="1" applyAlignment="1">
      <alignment horizontal="center" vertical="center"/>
    </xf>
    <xf numFmtId="0" fontId="69" fillId="0" borderId="0" xfId="0" applyFont="1"/>
    <xf numFmtId="0" fontId="70" fillId="0" borderId="0" xfId="0" applyFont="1"/>
    <xf numFmtId="0" fontId="71" fillId="0" borderId="0" xfId="0" applyFont="1"/>
    <xf numFmtId="0" fontId="9" fillId="0" borderId="0" xfId="0" applyFont="1" applyAlignment="1">
      <alignment vertical="center" textRotation="90"/>
    </xf>
    <xf numFmtId="0" fontId="1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48" fillId="35" borderId="186" xfId="0" applyFont="1" applyFill="1" applyBorder="1" applyAlignment="1">
      <alignment vertical="center"/>
    </xf>
    <xf numFmtId="0" fontId="48" fillId="35" borderId="187" xfId="0" applyFont="1" applyFill="1" applyBorder="1" applyAlignment="1">
      <alignment vertical="center"/>
    </xf>
    <xf numFmtId="0" fontId="48" fillId="35" borderId="188" xfId="0" applyFont="1" applyFill="1" applyBorder="1" applyAlignment="1">
      <alignment vertical="center"/>
    </xf>
    <xf numFmtId="0" fontId="48" fillId="35" borderId="189" xfId="0" applyFont="1" applyFill="1" applyBorder="1" applyAlignment="1">
      <alignment vertical="center"/>
    </xf>
    <xf numFmtId="171" fontId="0" fillId="0" borderId="0" xfId="3" applyNumberFormat="1" applyFont="1"/>
    <xf numFmtId="0" fontId="16" fillId="56" borderId="0" xfId="0" applyFont="1" applyFill="1"/>
    <xf numFmtId="0" fontId="0" fillId="31" borderId="0" xfId="0" applyFill="1"/>
    <xf numFmtId="0" fontId="16" fillId="31" borderId="0" xfId="0" applyFont="1" applyFill="1"/>
    <xf numFmtId="0" fontId="16" fillId="20" borderId="0" xfId="0" applyFont="1" applyFill="1"/>
    <xf numFmtId="0" fontId="72" fillId="0" borderId="0" xfId="0" applyFont="1"/>
    <xf numFmtId="0" fontId="73" fillId="0" borderId="0" xfId="19" applyFont="1"/>
    <xf numFmtId="0" fontId="73" fillId="0" borderId="0" xfId="19" applyFont="1" applyAlignment="1">
      <alignment vertical="center"/>
    </xf>
    <xf numFmtId="0" fontId="75" fillId="58" borderId="91" xfId="0" applyFont="1" applyFill="1" applyBorder="1" applyAlignment="1">
      <alignment horizontal="center" vertical="center" wrapText="1"/>
    </xf>
    <xf numFmtId="0" fontId="75" fillId="58" borderId="91" xfId="0" applyFont="1" applyFill="1" applyBorder="1" applyAlignment="1">
      <alignment horizontal="left" vertical="center" wrapText="1"/>
    </xf>
    <xf numFmtId="44" fontId="73" fillId="0" borderId="91" xfId="1" applyFont="1" applyBorder="1" applyAlignment="1">
      <alignment horizontal="center" vertical="center"/>
    </xf>
    <xf numFmtId="0" fontId="73" fillId="0" borderId="91" xfId="19" applyFont="1" applyBorder="1" applyAlignment="1">
      <alignment vertical="center"/>
    </xf>
    <xf numFmtId="0" fontId="73" fillId="0" borderId="91" xfId="19" applyFont="1" applyBorder="1" applyAlignment="1">
      <alignment horizontal="center" vertical="center"/>
    </xf>
    <xf numFmtId="44" fontId="73" fillId="0" borderId="91" xfId="1" applyFont="1" applyBorder="1" applyAlignment="1">
      <alignment vertical="center"/>
    </xf>
    <xf numFmtId="0" fontId="34" fillId="17" borderId="0" xfId="0" applyFont="1" applyFill="1"/>
    <xf numFmtId="0" fontId="34" fillId="17" borderId="72" xfId="0" applyFont="1" applyFill="1" applyBorder="1"/>
    <xf numFmtId="9" fontId="0" fillId="0" borderId="0" xfId="0" applyNumberFormat="1"/>
    <xf numFmtId="44" fontId="0" fillId="0" borderId="76" xfId="1" applyFont="1" applyFill="1" applyBorder="1"/>
    <xf numFmtId="44" fontId="0" fillId="0" borderId="63" xfId="1" applyFont="1" applyFill="1" applyBorder="1"/>
    <xf numFmtId="0" fontId="34" fillId="17" borderId="192" xfId="0" applyFont="1" applyFill="1" applyBorder="1"/>
    <xf numFmtId="14" fontId="0" fillId="14" borderId="60" xfId="0" applyNumberFormat="1" applyFill="1" applyBorder="1" applyAlignment="1">
      <alignment horizontal="center"/>
    </xf>
    <xf numFmtId="14" fontId="0" fillId="13" borderId="63" xfId="0" applyNumberFormat="1" applyFill="1" applyBorder="1" applyAlignment="1">
      <alignment horizontal="center"/>
    </xf>
    <xf numFmtId="0" fontId="34" fillId="48" borderId="122" xfId="0" applyFont="1" applyFill="1" applyBorder="1" applyAlignment="1">
      <alignment horizontal="left"/>
    </xf>
    <xf numFmtId="0" fontId="18" fillId="53" borderId="0" xfId="0" applyFont="1" applyFill="1" applyAlignment="1">
      <alignment vertical="center"/>
    </xf>
    <xf numFmtId="43" fontId="4" fillId="0" borderId="0" xfId="3" applyFont="1" applyFill="1" applyAlignment="1">
      <alignment horizontal="center" vertical="center"/>
    </xf>
    <xf numFmtId="0" fontId="18" fillId="0" borderId="0" xfId="0" applyFont="1" applyAlignment="1">
      <alignment vertical="center"/>
    </xf>
    <xf numFmtId="44" fontId="0" fillId="0" borderId="0" xfId="1" applyFont="1" applyFill="1" applyBorder="1" applyAlignment="1">
      <alignment horizontal="center" vertical="center"/>
    </xf>
    <xf numFmtId="0" fontId="34" fillId="16" borderId="0" xfId="0" applyFont="1" applyFill="1"/>
    <xf numFmtId="44" fontId="0" fillId="0" borderId="0" xfId="1" applyFont="1" applyFill="1" applyAlignment="1">
      <alignment horizontal="center" vertical="center"/>
    </xf>
    <xf numFmtId="0" fontId="0" fillId="53" borderId="0" xfId="0" applyFill="1"/>
    <xf numFmtId="0" fontId="54" fillId="53" borderId="0" xfId="0" applyFont="1" applyFill="1"/>
    <xf numFmtId="0" fontId="0" fillId="5" borderId="0" xfId="0" applyFill="1"/>
    <xf numFmtId="4" fontId="5" fillId="0" borderId="0" xfId="0" applyNumberFormat="1" applyFont="1"/>
    <xf numFmtId="2" fontId="0" fillId="0" borderId="0" xfId="0" applyNumberFormat="1" applyAlignment="1">
      <alignment vertical="center"/>
    </xf>
    <xf numFmtId="2" fontId="0" fillId="0" borderId="91" xfId="0" applyNumberFormat="1" applyBorder="1" applyAlignment="1">
      <alignment vertical="center"/>
    </xf>
    <xf numFmtId="43" fontId="24" fillId="0" borderId="91" xfId="8" applyNumberFormat="1" applyBorder="1" applyAlignment="1">
      <alignment vertical="center"/>
    </xf>
    <xf numFmtId="0" fontId="5" fillId="2" borderId="186" xfId="0" applyFont="1" applyFill="1" applyBorder="1" applyAlignment="1">
      <alignment horizontal="center" vertical="center"/>
    </xf>
    <xf numFmtId="0" fontId="5" fillId="2" borderId="187" xfId="0" applyFont="1" applyFill="1" applyBorder="1" applyAlignment="1">
      <alignment horizontal="center" vertical="center"/>
    </xf>
    <xf numFmtId="43" fontId="5" fillId="2" borderId="187" xfId="3" applyFont="1" applyFill="1" applyBorder="1" applyAlignment="1">
      <alignment horizontal="center" vertical="center"/>
    </xf>
    <xf numFmtId="0" fontId="5" fillId="2" borderId="188" xfId="0" applyFont="1" applyFill="1" applyBorder="1" applyAlignment="1">
      <alignment horizontal="center" vertical="center"/>
    </xf>
    <xf numFmtId="2" fontId="0" fillId="0" borderId="193" xfId="0" applyNumberFormat="1" applyBorder="1" applyAlignment="1">
      <alignment vertical="center"/>
    </xf>
    <xf numFmtId="14" fontId="0" fillId="0" borderId="194" xfId="0" applyNumberFormat="1" applyBorder="1"/>
    <xf numFmtId="2" fontId="0" fillId="0" borderId="189" xfId="0" applyNumberFormat="1" applyBorder="1" applyAlignment="1">
      <alignment vertical="center"/>
    </xf>
    <xf numFmtId="2" fontId="0" fillId="0" borderId="195" xfId="0" applyNumberFormat="1" applyBorder="1" applyAlignment="1">
      <alignment vertical="center"/>
    </xf>
    <xf numFmtId="43" fontId="24" fillId="0" borderId="195" xfId="8" applyNumberFormat="1" applyBorder="1" applyAlignment="1">
      <alignment vertical="center"/>
    </xf>
    <xf numFmtId="43" fontId="0" fillId="0" borderId="0" xfId="3" applyFont="1" applyBorder="1" applyAlignment="1">
      <alignment vertical="center"/>
    </xf>
    <xf numFmtId="0" fontId="79" fillId="2" borderId="91" xfId="0" applyFont="1" applyFill="1" applyBorder="1" applyAlignment="1">
      <alignment vertical="top"/>
    </xf>
    <xf numFmtId="185" fontId="80" fillId="0" borderId="91" xfId="2" applyNumberFormat="1" applyFont="1" applyBorder="1" applyAlignment="1"/>
    <xf numFmtId="0" fontId="81" fillId="0" borderId="0" xfId="0" applyFont="1" applyAlignment="1">
      <alignment horizontal="center"/>
    </xf>
    <xf numFmtId="0" fontId="0" fillId="0" borderId="91" xfId="0" applyBorder="1"/>
    <xf numFmtId="44" fontId="15" fillId="3" borderId="91" xfId="1" applyFont="1" applyFill="1" applyBorder="1"/>
    <xf numFmtId="44" fontId="0" fillId="0" borderId="91" xfId="1" applyFont="1" applyBorder="1"/>
    <xf numFmtId="0" fontId="1" fillId="0" borderId="91" xfId="0" applyFont="1" applyBorder="1"/>
    <xf numFmtId="44" fontId="1" fillId="0" borderId="91" xfId="1" applyFont="1" applyBorder="1"/>
    <xf numFmtId="0" fontId="14" fillId="59" borderId="18" xfId="0" applyFont="1" applyFill="1" applyBorder="1"/>
    <xf numFmtId="0" fontId="14" fillId="59" borderId="21" xfId="0" applyFont="1" applyFill="1" applyBorder="1"/>
    <xf numFmtId="0" fontId="0" fillId="60" borderId="0" xfId="0" applyFill="1"/>
    <xf numFmtId="164" fontId="0" fillId="60" borderId="0" xfId="0" applyNumberFormat="1" applyFill="1"/>
    <xf numFmtId="3" fontId="0" fillId="60" borderId="0" xfId="0" applyNumberFormat="1" applyFill="1"/>
    <xf numFmtId="0" fontId="16" fillId="60" borderId="0" xfId="0" applyFont="1" applyFill="1" applyAlignment="1">
      <alignment horizontal="left"/>
    </xf>
    <xf numFmtId="0" fontId="0" fillId="12" borderId="0" xfId="0" applyFill="1" applyAlignment="1">
      <alignment horizontal="left"/>
    </xf>
    <xf numFmtId="40" fontId="0" fillId="12" borderId="0" xfId="0" applyNumberFormat="1" applyFill="1" applyAlignment="1">
      <alignment horizontal="right"/>
    </xf>
    <xf numFmtId="0" fontId="0" fillId="12" borderId="0" xfId="0" applyFill="1" applyAlignment="1">
      <alignment horizontal="right"/>
    </xf>
    <xf numFmtId="0" fontId="0" fillId="60" borderId="197" xfId="0" applyFill="1" applyBorder="1" applyAlignment="1">
      <alignment horizontal="left"/>
    </xf>
    <xf numFmtId="0" fontId="0" fillId="60" borderId="197" xfId="0" applyFill="1" applyBorder="1" applyAlignment="1">
      <alignment horizontal="right"/>
    </xf>
    <xf numFmtId="0" fontId="0" fillId="12" borderId="197" xfId="0" applyFill="1" applyBorder="1" applyAlignment="1">
      <alignment horizontal="left"/>
    </xf>
    <xf numFmtId="40" fontId="0" fillId="12" borderId="197" xfId="0" applyNumberFormat="1" applyFill="1" applyBorder="1" applyAlignment="1">
      <alignment horizontal="right"/>
    </xf>
    <xf numFmtId="165" fontId="16" fillId="60" borderId="0" xfId="0" applyNumberFormat="1" applyFont="1" applyFill="1" applyAlignment="1">
      <alignment horizontal="right"/>
    </xf>
    <xf numFmtId="0" fontId="16" fillId="60" borderId="0" xfId="0" applyFont="1" applyFill="1" applyAlignment="1">
      <alignment horizontal="right"/>
    </xf>
    <xf numFmtId="0" fontId="17" fillId="0" borderId="0" xfId="0" applyFont="1" applyAlignment="1">
      <alignment horizontal="center"/>
    </xf>
    <xf numFmtId="0" fontId="16" fillId="0" borderId="0" xfId="0" applyFont="1"/>
    <xf numFmtId="0" fontId="19" fillId="60" borderId="0" xfId="0" applyFont="1" applyFill="1"/>
    <xf numFmtId="0" fontId="16" fillId="60" borderId="0" xfId="0" applyFont="1" applyFill="1"/>
    <xf numFmtId="0" fontId="17" fillId="60" borderId="0" xfId="0" applyFont="1" applyFill="1"/>
    <xf numFmtId="168" fontId="0" fillId="12" borderId="197" xfId="0" applyNumberFormat="1" applyFill="1" applyBorder="1" applyAlignment="1">
      <alignment horizontal="right"/>
    </xf>
    <xf numFmtId="14" fontId="0" fillId="0" borderId="197" xfId="0" applyNumberFormat="1" applyBorder="1" applyAlignment="1">
      <alignment vertical="center" wrapText="1"/>
    </xf>
    <xf numFmtId="2" fontId="0" fillId="0" borderId="197" xfId="0" applyNumberFormat="1" applyBorder="1" applyAlignment="1">
      <alignment vertical="center" wrapText="1"/>
    </xf>
    <xf numFmtId="43" fontId="0" fillId="0" borderId="197" xfId="3" applyFont="1" applyBorder="1" applyAlignment="1">
      <alignment vertical="center" wrapText="1"/>
    </xf>
    <xf numFmtId="14" fontId="0" fillId="0" borderId="198" xfId="0" applyNumberFormat="1" applyBorder="1" applyAlignment="1">
      <alignment vertical="center" wrapText="1"/>
    </xf>
    <xf numFmtId="2" fontId="0" fillId="0" borderId="198" xfId="0" applyNumberFormat="1" applyBorder="1" applyAlignment="1">
      <alignment vertical="center" wrapText="1"/>
    </xf>
    <xf numFmtId="43" fontId="0" fillId="0" borderId="198" xfId="3" applyFont="1" applyBorder="1" applyAlignment="1">
      <alignment vertical="center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3" fontId="5" fillId="2" borderId="0" xfId="3" applyFont="1" applyFill="1" applyBorder="1" applyAlignment="1">
      <alignment horizontal="center" vertical="center" wrapText="1"/>
    </xf>
    <xf numFmtId="14" fontId="0" fillId="20" borderId="4" xfId="0" applyNumberFormat="1" applyFill="1" applyBorder="1" applyAlignment="1">
      <alignment vertical="center"/>
    </xf>
    <xf numFmtId="14" fontId="0" fillId="20" borderId="5" xfId="0" applyNumberFormat="1" applyFill="1" applyBorder="1" applyAlignment="1">
      <alignment vertical="center"/>
    </xf>
    <xf numFmtId="14" fontId="0" fillId="20" borderId="6" xfId="0" applyNumberFormat="1" applyFill="1" applyBorder="1" applyAlignment="1">
      <alignment vertical="center"/>
    </xf>
    <xf numFmtId="0" fontId="1" fillId="20" borderId="0" xfId="0" applyFont="1" applyFill="1"/>
    <xf numFmtId="186" fontId="0" fillId="0" borderId="40" xfId="0" applyNumberFormat="1" applyBorder="1"/>
    <xf numFmtId="0" fontId="1" fillId="0" borderId="200" xfId="0" applyFont="1" applyBorder="1" applyAlignment="1">
      <alignment horizontal="center"/>
    </xf>
    <xf numFmtId="0" fontId="1" fillId="0" borderId="199" xfId="0" applyFont="1" applyBorder="1" applyAlignment="1">
      <alignment horizontal="center"/>
    </xf>
    <xf numFmtId="3" fontId="1" fillId="0" borderId="199" xfId="0" applyNumberFormat="1" applyFont="1" applyBorder="1" applyAlignment="1">
      <alignment horizontal="center"/>
    </xf>
    <xf numFmtId="0" fontId="0" fillId="61" borderId="0" xfId="0" applyFill="1"/>
    <xf numFmtId="4" fontId="0" fillId="0" borderId="0" xfId="1" applyNumberFormat="1" applyFont="1"/>
    <xf numFmtId="0" fontId="0" fillId="60" borderId="204" xfId="0" applyFill="1" applyBorder="1" applyAlignment="1">
      <alignment horizontal="center"/>
    </xf>
    <xf numFmtId="14" fontId="0" fillId="60" borderId="122" xfId="0" applyNumberFormat="1" applyFill="1" applyBorder="1" applyAlignment="1">
      <alignment horizontal="center"/>
    </xf>
    <xf numFmtId="0" fontId="0" fillId="60" borderId="122" xfId="0" applyFill="1" applyBorder="1" applyAlignment="1">
      <alignment horizontal="center" vertical="center" wrapText="1"/>
    </xf>
    <xf numFmtId="0" fontId="0" fillId="60" borderId="122" xfId="0" applyFill="1" applyBorder="1" applyAlignment="1">
      <alignment horizontal="center"/>
    </xf>
    <xf numFmtId="0" fontId="5" fillId="60" borderId="201" xfId="0" applyFont="1" applyFill="1" applyBorder="1" applyAlignment="1">
      <alignment horizontal="center"/>
    </xf>
    <xf numFmtId="0" fontId="5" fillId="60" borderId="202" xfId="0" applyFont="1" applyFill="1" applyBorder="1" applyAlignment="1">
      <alignment horizontal="center"/>
    </xf>
    <xf numFmtId="4" fontId="5" fillId="60" borderId="202" xfId="1" applyNumberFormat="1" applyFont="1" applyFill="1" applyBorder="1" applyAlignment="1">
      <alignment horizontal="center"/>
    </xf>
    <xf numFmtId="4" fontId="5" fillId="60" borderId="203" xfId="1" applyNumberFormat="1" applyFont="1" applyFill="1" applyBorder="1" applyAlignment="1">
      <alignment horizontal="center"/>
    </xf>
    <xf numFmtId="0" fontId="0" fillId="12" borderId="0" xfId="0" applyFill="1"/>
    <xf numFmtId="0" fontId="1" fillId="0" borderId="131" xfId="0" applyFont="1" applyBorder="1" applyAlignment="1">
      <alignment horizontal="center"/>
    </xf>
    <xf numFmtId="14" fontId="1" fillId="0" borderId="125" xfId="0" applyNumberFormat="1" applyFont="1" applyBorder="1" applyAlignment="1">
      <alignment horizontal="center"/>
    </xf>
    <xf numFmtId="0" fontId="1" fillId="0" borderId="125" xfId="0" applyFont="1" applyBorder="1" applyAlignment="1">
      <alignment horizontal="center"/>
    </xf>
    <xf numFmtId="4" fontId="1" fillId="0" borderId="125" xfId="1" applyNumberFormat="1" applyFont="1" applyBorder="1" applyAlignment="1">
      <alignment horizontal="center"/>
    </xf>
    <xf numFmtId="4" fontId="1" fillId="0" borderId="120" xfId="1" applyNumberFormat="1" applyFont="1" applyBorder="1" applyAlignment="1">
      <alignment horizontal="center"/>
    </xf>
    <xf numFmtId="2" fontId="1" fillId="0" borderId="125" xfId="0" applyNumberFormat="1" applyFont="1" applyBorder="1" applyAlignment="1">
      <alignment horizontal="center" vertical="center" wrapText="1"/>
    </xf>
    <xf numFmtId="0" fontId="1" fillId="0" borderId="204" xfId="0" applyFont="1" applyBorder="1" applyAlignment="1">
      <alignment horizontal="center"/>
    </xf>
    <xf numFmtId="14" fontId="1" fillId="0" borderId="122" xfId="0" applyNumberFormat="1" applyFont="1" applyBorder="1" applyAlignment="1">
      <alignment horizontal="center"/>
    </xf>
    <xf numFmtId="2" fontId="1" fillId="0" borderId="122" xfId="0" applyNumberFormat="1" applyFont="1" applyBorder="1" applyAlignment="1">
      <alignment horizontal="center" vertical="center" wrapText="1"/>
    </xf>
    <xf numFmtId="0" fontId="1" fillId="0" borderId="122" xfId="0" applyFont="1" applyBorder="1" applyAlignment="1">
      <alignment horizontal="center"/>
    </xf>
    <xf numFmtId="4" fontId="1" fillId="0" borderId="122" xfId="1" applyNumberFormat="1" applyFont="1" applyBorder="1" applyAlignment="1">
      <alignment horizontal="center"/>
    </xf>
    <xf numFmtId="4" fontId="1" fillId="0" borderId="121" xfId="1" applyNumberFormat="1" applyFont="1" applyBorder="1" applyAlignment="1">
      <alignment horizontal="center"/>
    </xf>
    <xf numFmtId="4" fontId="1" fillId="0" borderId="0" xfId="0" applyNumberFormat="1" applyFont="1"/>
    <xf numFmtId="0" fontId="1" fillId="0" borderId="0" xfId="0" applyFont="1" applyAlignment="1">
      <alignment horizontal="center" vertical="center"/>
    </xf>
    <xf numFmtId="43" fontId="0" fillId="0" borderId="0" xfId="3" applyFont="1" applyBorder="1" applyAlignment="1">
      <alignment horizontal="center" vertical="center"/>
    </xf>
    <xf numFmtId="43" fontId="5" fillId="0" borderId="0" xfId="3" applyFont="1" applyBorder="1"/>
    <xf numFmtId="43" fontId="1" fillId="0" borderId="0" xfId="3" applyFont="1" applyBorder="1"/>
    <xf numFmtId="43" fontId="5" fillId="0" borderId="0" xfId="3" applyFont="1" applyBorder="1" applyAlignment="1">
      <alignment vertical="center" wrapText="1"/>
    </xf>
    <xf numFmtId="43" fontId="5" fillId="0" borderId="0" xfId="0" applyNumberFormat="1" applyFont="1"/>
    <xf numFmtId="0" fontId="5" fillId="0" borderId="0" xfId="0" applyFont="1" applyAlignment="1">
      <alignment vertical="center" wrapText="1"/>
    </xf>
    <xf numFmtId="43" fontId="1" fillId="0" borderId="0" xfId="0" applyNumberFormat="1" applyFont="1"/>
    <xf numFmtId="43" fontId="1" fillId="0" borderId="0" xfId="2" applyNumberFormat="1" applyFont="1" applyBorder="1"/>
    <xf numFmtId="0" fontId="34" fillId="62" borderId="15" xfId="0" applyFont="1" applyFill="1" applyBorder="1" applyAlignment="1">
      <alignment horizontal="center" vertical="center"/>
    </xf>
    <xf numFmtId="10" fontId="1" fillId="0" borderId="17" xfId="2" applyNumberFormat="1" applyFont="1" applyBorder="1" applyAlignment="1">
      <alignment horizontal="center" vertical="center"/>
    </xf>
    <xf numFmtId="43" fontId="16" fillId="63" borderId="17" xfId="3" applyFont="1" applyFill="1" applyBorder="1" applyAlignment="1">
      <alignment horizontal="center" vertical="center"/>
    </xf>
    <xf numFmtId="10" fontId="0" fillId="0" borderId="0" xfId="0" applyNumberFormat="1" applyAlignment="1">
      <alignment vertical="center"/>
    </xf>
    <xf numFmtId="0" fontId="45" fillId="0" borderId="0" xfId="16" applyFont="1"/>
    <xf numFmtId="0" fontId="45" fillId="26" borderId="79" xfId="16" applyFont="1" applyFill="1" applyBorder="1"/>
    <xf numFmtId="0" fontId="45" fillId="27" borderId="79" xfId="16" applyFont="1" applyFill="1" applyBorder="1"/>
    <xf numFmtId="0" fontId="45" fillId="22" borderId="79" xfId="16" applyFont="1" applyFill="1" applyBorder="1"/>
    <xf numFmtId="0" fontId="45" fillId="23" borderId="79" xfId="16" applyFont="1" applyFill="1" applyBorder="1"/>
    <xf numFmtId="0" fontId="45" fillId="24" borderId="79" xfId="16" applyFont="1" applyFill="1" applyBorder="1"/>
    <xf numFmtId="0" fontId="45" fillId="0" borderId="205" xfId="16" applyFont="1" applyBorder="1"/>
    <xf numFmtId="44" fontId="45" fillId="0" borderId="205" xfId="1" applyFont="1" applyBorder="1" applyAlignment="1">
      <alignment horizontal="right"/>
    </xf>
    <xf numFmtId="0" fontId="44" fillId="0" borderId="91" xfId="16" applyFont="1" applyBorder="1" applyAlignment="1">
      <alignment horizontal="center"/>
    </xf>
    <xf numFmtId="0" fontId="45" fillId="0" borderId="91" xfId="16" applyFont="1" applyBorder="1"/>
    <xf numFmtId="44" fontId="45" fillId="0" borderId="91" xfId="1" applyFont="1" applyBorder="1" applyAlignment="1">
      <alignment horizontal="right"/>
    </xf>
    <xf numFmtId="9" fontId="25" fillId="65" borderId="207" xfId="2" applyFont="1" applyFill="1" applyBorder="1" applyAlignment="1">
      <alignment horizontal="center"/>
    </xf>
    <xf numFmtId="0" fontId="0" fillId="0" borderId="211" xfId="0" applyBorder="1" applyAlignment="1">
      <alignment horizontal="center" vertical="center"/>
    </xf>
    <xf numFmtId="0" fontId="0" fillId="0" borderId="212" xfId="0" applyBorder="1" applyAlignment="1">
      <alignment horizontal="center" vertical="center"/>
    </xf>
    <xf numFmtId="0" fontId="0" fillId="0" borderId="211" xfId="0" applyBorder="1" applyAlignment="1">
      <alignment horizontal="left" vertical="center"/>
    </xf>
    <xf numFmtId="40" fontId="1" fillId="0" borderId="0" xfId="3" applyNumberFormat="1" applyFont="1" applyBorder="1" applyAlignment="1">
      <alignment horizontal="center" vertical="center"/>
    </xf>
    <xf numFmtId="40" fontId="0" fillId="0" borderId="0" xfId="3" applyNumberFormat="1" applyFont="1" applyBorder="1" applyAlignment="1">
      <alignment horizontal="center" vertical="center"/>
    </xf>
    <xf numFmtId="40" fontId="0" fillId="0" borderId="212" xfId="3" applyNumberFormat="1" applyFont="1" applyBorder="1" applyAlignment="1">
      <alignment horizontal="center" vertical="center"/>
    </xf>
    <xf numFmtId="0" fontId="0" fillId="0" borderId="213" xfId="0" applyBorder="1" applyAlignment="1">
      <alignment horizontal="left" vertical="center"/>
    </xf>
    <xf numFmtId="0" fontId="0" fillId="0" borderId="214" xfId="0" applyBorder="1" applyAlignment="1">
      <alignment horizontal="left" vertical="center"/>
    </xf>
    <xf numFmtId="40" fontId="1" fillId="0" borderId="214" xfId="3" applyNumberFormat="1" applyFont="1" applyBorder="1" applyAlignment="1">
      <alignment horizontal="center" vertical="center"/>
    </xf>
    <xf numFmtId="40" fontId="0" fillId="0" borderId="214" xfId="3" applyNumberFormat="1" applyFont="1" applyBorder="1" applyAlignment="1">
      <alignment horizontal="center" vertical="center"/>
    </xf>
    <xf numFmtId="40" fontId="0" fillId="0" borderId="215" xfId="3" applyNumberFormat="1" applyFont="1" applyBorder="1" applyAlignment="1">
      <alignment horizontal="center" vertical="center"/>
    </xf>
    <xf numFmtId="0" fontId="4" fillId="33" borderId="206" xfId="0" applyFont="1" applyFill="1" applyBorder="1" applyAlignment="1">
      <alignment horizontal="center"/>
    </xf>
    <xf numFmtId="9" fontId="19" fillId="65" borderId="207" xfId="2" applyFont="1" applyFill="1" applyBorder="1" applyAlignment="1">
      <alignment horizontal="center"/>
    </xf>
    <xf numFmtId="40" fontId="0" fillId="33" borderId="0" xfId="3" applyNumberFormat="1" applyFont="1" applyFill="1" applyBorder="1" applyAlignment="1">
      <alignment horizontal="center" vertical="center"/>
    </xf>
    <xf numFmtId="40" fontId="0" fillId="33" borderId="212" xfId="3" applyNumberFormat="1" applyFont="1" applyFill="1" applyBorder="1" applyAlignment="1">
      <alignment horizontal="center" vertical="center"/>
    </xf>
    <xf numFmtId="187" fontId="0" fillId="0" borderId="0" xfId="0" applyNumberFormat="1"/>
    <xf numFmtId="178" fontId="0" fillId="13" borderId="144" xfId="0" applyNumberFormat="1" applyFill="1" applyBorder="1" applyAlignment="1">
      <alignment horizontal="center" vertical="center"/>
    </xf>
    <xf numFmtId="178" fontId="0" fillId="14" borderId="145" xfId="0" applyNumberFormat="1" applyFill="1" applyBorder="1" applyAlignment="1">
      <alignment horizontal="center" vertical="center"/>
    </xf>
    <xf numFmtId="178" fontId="0" fillId="13" borderId="145" xfId="0" applyNumberFormat="1" applyFill="1" applyBorder="1" applyAlignment="1">
      <alignment horizontal="center" vertical="center"/>
    </xf>
    <xf numFmtId="178" fontId="0" fillId="13" borderId="124" xfId="0" applyNumberFormat="1" applyFill="1" applyBorder="1" applyAlignment="1">
      <alignment horizontal="center" vertical="center"/>
    </xf>
    <xf numFmtId="2" fontId="0" fillId="0" borderId="128" xfId="3" applyNumberFormat="1" applyFont="1" applyBorder="1"/>
    <xf numFmtId="14" fontId="65" fillId="32" borderId="155" xfId="0" applyNumberFormat="1" applyFont="1" applyFill="1" applyBorder="1" applyAlignment="1">
      <alignment vertical="center"/>
    </xf>
    <xf numFmtId="49" fontId="48" fillId="0" borderId="0" xfId="0" applyNumberFormat="1" applyFont="1" applyAlignment="1">
      <alignment horizontal="left" vertical="center"/>
    </xf>
    <xf numFmtId="22" fontId="0" fillId="0" borderId="0" xfId="0" applyNumberFormat="1"/>
    <xf numFmtId="189" fontId="0" fillId="0" borderId="0" xfId="0" applyNumberFormat="1"/>
    <xf numFmtId="188" fontId="0" fillId="0" borderId="76" xfId="0" applyNumberFormat="1" applyBorder="1" applyAlignment="1">
      <alignment horizontal="center" vertical="center"/>
    </xf>
    <xf numFmtId="188" fontId="0" fillId="0" borderId="63" xfId="0" applyNumberFormat="1" applyBorder="1" applyAlignment="1">
      <alignment horizontal="center" vertical="center"/>
    </xf>
    <xf numFmtId="190" fontId="0" fillId="0" borderId="76" xfId="0" applyNumberFormat="1" applyBorder="1"/>
    <xf numFmtId="190" fontId="0" fillId="0" borderId="63" xfId="0" applyNumberFormat="1" applyBorder="1"/>
    <xf numFmtId="4" fontId="0" fillId="60" borderId="122" xfId="0" applyNumberFormat="1" applyFill="1" applyBorder="1" applyAlignment="1">
      <alignment horizontal="center"/>
    </xf>
    <xf numFmtId="4" fontId="0" fillId="60" borderId="121" xfId="0" applyNumberFormat="1" applyFill="1" applyBorder="1" applyAlignment="1">
      <alignment horizontal="center"/>
    </xf>
    <xf numFmtId="0" fontId="34" fillId="0" borderId="7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14" fontId="0" fillId="0" borderId="76" xfId="0" applyNumberFormat="1" applyBorder="1" applyAlignment="1">
      <alignment horizontal="center"/>
    </xf>
    <xf numFmtId="44" fontId="0" fillId="0" borderId="76" xfId="1" applyFont="1" applyBorder="1" applyAlignment="1">
      <alignment horizontal="center"/>
    </xf>
    <xf numFmtId="190" fontId="0" fillId="0" borderId="76" xfId="0" applyNumberFormat="1" applyBorder="1" applyAlignment="1">
      <alignment horizontal="center"/>
    </xf>
    <xf numFmtId="0" fontId="0" fillId="0" borderId="78" xfId="0" applyBorder="1" applyAlignment="1">
      <alignment horizontal="center"/>
    </xf>
    <xf numFmtId="14" fontId="0" fillId="0" borderId="63" xfId="0" applyNumberFormat="1" applyBorder="1" applyAlignment="1">
      <alignment horizontal="center"/>
    </xf>
    <xf numFmtId="44" fontId="0" fillId="0" borderId="63" xfId="1" applyFont="1" applyBorder="1" applyAlignment="1">
      <alignment horizontal="center"/>
    </xf>
    <xf numFmtId="190" fontId="0" fillId="0" borderId="63" xfId="0" applyNumberFormat="1" applyBorder="1" applyAlignment="1">
      <alignment horizontal="center"/>
    </xf>
    <xf numFmtId="0" fontId="34" fillId="37" borderId="57" xfId="0" applyFont="1" applyFill="1" applyBorder="1" applyAlignment="1">
      <alignment horizontal="center" vertical="center"/>
    </xf>
    <xf numFmtId="0" fontId="34" fillId="37" borderId="64" xfId="0" applyFont="1" applyFill="1" applyBorder="1" applyAlignment="1">
      <alignment horizontal="center" vertical="center"/>
    </xf>
    <xf numFmtId="0" fontId="34" fillId="37" borderId="65" xfId="0" applyFont="1" applyFill="1" applyBorder="1" applyAlignment="1">
      <alignment horizontal="center" vertical="center"/>
    </xf>
    <xf numFmtId="184" fontId="0" fillId="36" borderId="58" xfId="0" applyNumberFormat="1" applyFill="1" applyBorder="1" applyAlignment="1">
      <alignment horizontal="center" vertical="center"/>
    </xf>
    <xf numFmtId="0" fontId="0" fillId="36" borderId="59" xfId="0" applyFill="1" applyBorder="1" applyAlignment="1">
      <alignment horizontal="center" vertical="center"/>
    </xf>
    <xf numFmtId="14" fontId="0" fillId="36" borderId="59" xfId="0" applyNumberFormat="1" applyFill="1" applyBorder="1" applyAlignment="1">
      <alignment horizontal="center" vertical="center"/>
    </xf>
    <xf numFmtId="14" fontId="0" fillId="36" borderId="60" xfId="0" applyNumberFormat="1" applyFill="1" applyBorder="1"/>
    <xf numFmtId="184" fontId="0" fillId="38" borderId="58" xfId="0" applyNumberFormat="1" applyFill="1" applyBorder="1" applyAlignment="1">
      <alignment horizontal="center" vertical="center"/>
    </xf>
    <xf numFmtId="0" fontId="0" fillId="38" borderId="59" xfId="0" applyFill="1" applyBorder="1" applyAlignment="1">
      <alignment horizontal="center" vertical="center"/>
    </xf>
    <xf numFmtId="14" fontId="0" fillId="38" borderId="59" xfId="0" applyNumberFormat="1" applyFill="1" applyBorder="1" applyAlignment="1">
      <alignment horizontal="center" vertical="center"/>
    </xf>
    <xf numFmtId="14" fontId="0" fillId="38" borderId="60" xfId="0" applyNumberFormat="1" applyFill="1" applyBorder="1"/>
    <xf numFmtId="0" fontId="0" fillId="36" borderId="216" xfId="0" applyFill="1" applyBorder="1" applyAlignment="1">
      <alignment horizontal="center" vertical="center"/>
    </xf>
    <xf numFmtId="184" fontId="0" fillId="38" borderId="61" xfId="0" applyNumberFormat="1" applyFill="1" applyBorder="1" applyAlignment="1">
      <alignment horizontal="center" vertical="center"/>
    </xf>
    <xf numFmtId="0" fontId="0" fillId="38" borderId="62" xfId="0" applyFill="1" applyBorder="1" applyAlignment="1">
      <alignment horizontal="center" vertical="center"/>
    </xf>
    <xf numFmtId="14" fontId="0" fillId="38" borderId="62" xfId="0" applyNumberFormat="1" applyFill="1" applyBorder="1" applyAlignment="1">
      <alignment horizontal="center" vertical="center"/>
    </xf>
    <xf numFmtId="14" fontId="0" fillId="38" borderId="63" xfId="0" applyNumberFormat="1" applyFill="1" applyBorder="1"/>
    <xf numFmtId="0" fontId="34" fillId="0" borderId="0" xfId="0" applyFont="1" applyAlignment="1">
      <alignment horizontal="center"/>
    </xf>
    <xf numFmtId="0" fontId="0" fillId="62" borderId="0" xfId="0" applyFill="1"/>
    <xf numFmtId="0" fontId="16" fillId="62" borderId="0" xfId="0" applyFont="1" applyFill="1"/>
    <xf numFmtId="0" fontId="88" fillId="62" borderId="0" xfId="0" applyFont="1" applyFill="1"/>
    <xf numFmtId="0" fontId="1" fillId="47" borderId="91" xfId="0" applyFont="1" applyFill="1" applyBorder="1" applyAlignment="1">
      <alignment horizontal="center"/>
    </xf>
    <xf numFmtId="0" fontId="1" fillId="0" borderId="91" xfId="0" applyFont="1" applyBorder="1" applyAlignment="1">
      <alignment horizontal="center"/>
    </xf>
    <xf numFmtId="0" fontId="16" fillId="44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4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5" fillId="0" borderId="0" xfId="0" applyFont="1" applyAlignment="1">
      <alignment vertical="center"/>
    </xf>
    <xf numFmtId="14" fontId="25" fillId="0" borderId="0" xfId="0" applyNumberFormat="1" applyFont="1" applyAlignment="1">
      <alignment vertical="center"/>
    </xf>
    <xf numFmtId="172" fontId="25" fillId="0" borderId="0" xfId="0" applyNumberFormat="1" applyFont="1" applyAlignment="1">
      <alignment vertical="center"/>
    </xf>
    <xf numFmtId="4" fontId="25" fillId="0" borderId="0" xfId="0" applyNumberFormat="1" applyFont="1" applyAlignment="1">
      <alignment vertical="center"/>
    </xf>
    <xf numFmtId="4" fontId="25" fillId="0" borderId="0" xfId="0" applyNumberFormat="1" applyFont="1" applyAlignment="1">
      <alignment horizontal="center" vertical="center"/>
    </xf>
    <xf numFmtId="0" fontId="48" fillId="0" borderId="217" xfId="0" applyFont="1" applyBorder="1" applyAlignment="1">
      <alignment vertical="center"/>
    </xf>
    <xf numFmtId="14" fontId="48" fillId="0" borderId="217" xfId="0" applyNumberFormat="1" applyFont="1" applyBorder="1" applyAlignment="1">
      <alignment vertical="center"/>
    </xf>
    <xf numFmtId="172" fontId="48" fillId="0" borderId="217" xfId="0" applyNumberFormat="1" applyFont="1" applyBorder="1" applyAlignment="1">
      <alignment vertical="center"/>
    </xf>
    <xf numFmtId="4" fontId="48" fillId="0" borderId="217" xfId="0" applyNumberFormat="1" applyFont="1" applyBorder="1" applyAlignment="1">
      <alignment vertical="center"/>
    </xf>
    <xf numFmtId="4" fontId="48" fillId="0" borderId="217" xfId="0" applyNumberFormat="1" applyFont="1" applyBorder="1" applyAlignment="1">
      <alignment horizontal="center" vertical="center"/>
    </xf>
    <xf numFmtId="0" fontId="1" fillId="66" borderId="0" xfId="0" applyFont="1" applyFill="1"/>
    <xf numFmtId="0" fontId="18" fillId="66" borderId="0" xfId="0" applyFont="1" applyFill="1"/>
    <xf numFmtId="0" fontId="25" fillId="66" borderId="0" xfId="0" applyFont="1" applyFill="1" applyAlignment="1">
      <alignment horizontal="center" vertical="center" wrapText="1"/>
    </xf>
    <xf numFmtId="0" fontId="89" fillId="0" borderId="0" xfId="0" applyFont="1"/>
    <xf numFmtId="4" fontId="0" fillId="0" borderId="0" xfId="0" applyNumberFormat="1" applyAlignment="1">
      <alignment horizontal="center"/>
    </xf>
    <xf numFmtId="0" fontId="0" fillId="0" borderId="222" xfId="0" applyBorder="1" applyAlignment="1">
      <alignment horizontal="center" vertical="center"/>
    </xf>
    <xf numFmtId="0" fontId="0" fillId="0" borderId="223" xfId="0" applyBorder="1" applyAlignment="1">
      <alignment horizontal="center" vertical="center"/>
    </xf>
    <xf numFmtId="17" fontId="0" fillId="0" borderId="222" xfId="0" applyNumberFormat="1" applyBorder="1" applyAlignment="1">
      <alignment horizontal="center"/>
    </xf>
    <xf numFmtId="4" fontId="0" fillId="0" borderId="223" xfId="0" applyNumberFormat="1" applyBorder="1" applyAlignment="1">
      <alignment horizontal="center"/>
    </xf>
    <xf numFmtId="4" fontId="0" fillId="0" borderId="218" xfId="0" applyNumberFormat="1" applyBorder="1" applyAlignment="1">
      <alignment horizontal="center"/>
    </xf>
    <xf numFmtId="4" fontId="0" fillId="0" borderId="224" xfId="0" applyNumberFormat="1" applyBorder="1" applyAlignment="1">
      <alignment horizontal="center"/>
    </xf>
    <xf numFmtId="0" fontId="0" fillId="66" borderId="0" xfId="0" applyFill="1"/>
    <xf numFmtId="0" fontId="77" fillId="0" borderId="91" xfId="0" applyFont="1" applyBorder="1" applyAlignment="1">
      <alignment horizontal="left"/>
    </xf>
    <xf numFmtId="4" fontId="4" fillId="0" borderId="91" xfId="0" applyNumberFormat="1" applyFont="1" applyBorder="1"/>
    <xf numFmtId="0" fontId="55" fillId="44" borderId="91" xfId="0" applyFont="1" applyFill="1" applyBorder="1" applyAlignment="1">
      <alignment horizontal="left"/>
    </xf>
    <xf numFmtId="4" fontId="16" fillId="44" borderId="91" xfId="0" applyNumberFormat="1" applyFont="1" applyFill="1" applyBorder="1"/>
    <xf numFmtId="44" fontId="0" fillId="0" borderId="0" xfId="0" applyNumberFormat="1"/>
    <xf numFmtId="44" fontId="0" fillId="0" borderId="0" xfId="0" applyNumberFormat="1" applyAlignment="1">
      <alignment vertical="center"/>
    </xf>
    <xf numFmtId="4" fontId="5" fillId="2" borderId="187" xfId="0" applyNumberFormat="1" applyFont="1" applyFill="1" applyBorder="1" applyAlignment="1">
      <alignment horizontal="center" vertical="center"/>
    </xf>
    <xf numFmtId="4" fontId="0" fillId="0" borderId="91" xfId="1" applyNumberFormat="1" applyFont="1" applyBorder="1" applyAlignment="1">
      <alignment vertical="center"/>
    </xf>
    <xf numFmtId="4" fontId="0" fillId="0" borderId="195" xfId="1" applyNumberFormat="1" applyFont="1" applyBorder="1" applyAlignment="1">
      <alignment vertical="center"/>
    </xf>
    <xf numFmtId="0" fontId="53" fillId="7" borderId="219" xfId="0" applyFont="1" applyFill="1" applyBorder="1" applyAlignment="1">
      <alignment horizontal="center"/>
    </xf>
    <xf numFmtId="0" fontId="53" fillId="7" borderId="220" xfId="0" applyFont="1" applyFill="1" applyBorder="1" applyAlignment="1">
      <alignment horizontal="center"/>
    </xf>
    <xf numFmtId="0" fontId="53" fillId="7" borderId="221" xfId="0" applyFont="1" applyFill="1" applyBorder="1" applyAlignment="1">
      <alignment horizontal="center"/>
    </xf>
    <xf numFmtId="0" fontId="90" fillId="66" borderId="0" xfId="0" applyFont="1" applyFill="1" applyAlignment="1">
      <alignment horizontal="center"/>
    </xf>
    <xf numFmtId="0" fontId="8" fillId="0" borderId="0" xfId="0" applyFont="1" applyAlignment="1">
      <alignment horizontal="center" vertical="center" textRotation="90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 textRotation="90"/>
    </xf>
    <xf numFmtId="0" fontId="78" fillId="0" borderId="184" xfId="0" applyFont="1" applyBorder="1" applyAlignment="1">
      <alignment horizontal="center"/>
    </xf>
    <xf numFmtId="0" fontId="78" fillId="0" borderId="196" xfId="0" applyFont="1" applyBorder="1" applyAlignment="1">
      <alignment horizontal="center"/>
    </xf>
    <xf numFmtId="0" fontId="78" fillId="0" borderId="185" xfId="0" applyFont="1" applyBorder="1" applyAlignment="1">
      <alignment horizontal="center"/>
    </xf>
    <xf numFmtId="0" fontId="14" fillId="59" borderId="21" xfId="0" applyFont="1" applyFill="1" applyBorder="1" applyAlignment="1">
      <alignment horizontal="center"/>
    </xf>
    <xf numFmtId="0" fontId="18" fillId="60" borderId="24" xfId="0" applyFont="1" applyFill="1" applyBorder="1" applyAlignment="1">
      <alignment horizontal="center" vertical="center" textRotation="90"/>
    </xf>
    <xf numFmtId="0" fontId="17" fillId="0" borderId="0" xfId="0" applyFont="1" applyAlignment="1">
      <alignment horizontal="center"/>
    </xf>
    <xf numFmtId="0" fontId="18" fillId="5" borderId="24" xfId="0" applyFont="1" applyFill="1" applyBorder="1" applyAlignment="1">
      <alignment horizontal="center" vertical="center" textRotation="90"/>
    </xf>
    <xf numFmtId="0" fontId="25" fillId="6" borderId="40" xfId="0" applyFont="1" applyFill="1" applyBorder="1" applyAlignment="1">
      <alignment horizontal="center" vertical="center"/>
    </xf>
    <xf numFmtId="0" fontId="33" fillId="60" borderId="0" xfId="0" applyFont="1" applyFill="1" applyAlignment="1">
      <alignment horizontal="center"/>
    </xf>
    <xf numFmtId="0" fontId="31" fillId="12" borderId="1" xfId="0" applyFont="1" applyFill="1" applyBorder="1" applyAlignment="1">
      <alignment horizontal="left"/>
    </xf>
    <xf numFmtId="0" fontId="31" fillId="12" borderId="2" xfId="0" applyFont="1" applyFill="1" applyBorder="1" applyAlignment="1">
      <alignment horizontal="left"/>
    </xf>
    <xf numFmtId="0" fontId="31" fillId="12" borderId="3" xfId="0" applyFont="1" applyFill="1" applyBorder="1" applyAlignment="1">
      <alignment horizontal="left"/>
    </xf>
    <xf numFmtId="0" fontId="32" fillId="12" borderId="1" xfId="0" applyFont="1" applyFill="1" applyBorder="1" applyAlignment="1">
      <alignment horizontal="center" vertical="center"/>
    </xf>
    <xf numFmtId="0" fontId="32" fillId="12" borderId="2" xfId="0" applyFont="1" applyFill="1" applyBorder="1" applyAlignment="1">
      <alignment horizontal="center" vertical="center"/>
    </xf>
    <xf numFmtId="0" fontId="32" fillId="12" borderId="3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left"/>
    </xf>
    <xf numFmtId="0" fontId="19" fillId="11" borderId="2" xfId="0" applyFont="1" applyFill="1" applyBorder="1" applyAlignment="1">
      <alignment horizontal="left"/>
    </xf>
    <xf numFmtId="0" fontId="19" fillId="11" borderId="3" xfId="0" applyFont="1" applyFill="1" applyBorder="1" applyAlignment="1">
      <alignment horizontal="left"/>
    </xf>
    <xf numFmtId="0" fontId="19" fillId="8" borderId="1" xfId="10" applyFont="1" applyBorder="1" applyAlignment="1">
      <alignment horizontal="left"/>
    </xf>
    <xf numFmtId="0" fontId="19" fillId="8" borderId="2" xfId="10" applyFont="1" applyBorder="1" applyAlignment="1">
      <alignment horizontal="left"/>
    </xf>
    <xf numFmtId="0" fontId="19" fillId="8" borderId="3" xfId="10" applyFont="1" applyBorder="1" applyAlignment="1">
      <alignment horizontal="left"/>
    </xf>
    <xf numFmtId="0" fontId="33" fillId="11" borderId="0" xfId="0" applyFont="1" applyFill="1" applyAlignment="1">
      <alignment horizontal="left"/>
    </xf>
    <xf numFmtId="10" fontId="38" fillId="19" borderId="75" xfId="2" applyNumberFormat="1" applyFont="1" applyFill="1" applyBorder="1" applyAlignment="1">
      <alignment horizontal="center" vertical="center"/>
    </xf>
    <xf numFmtId="10" fontId="38" fillId="19" borderId="0" xfId="2" applyNumberFormat="1" applyFont="1" applyFill="1" applyAlignment="1">
      <alignment horizontal="center" vertical="center"/>
    </xf>
    <xf numFmtId="10" fontId="38" fillId="19" borderId="74" xfId="2" applyNumberFormat="1" applyFont="1" applyFill="1" applyBorder="1" applyAlignment="1">
      <alignment horizontal="center" vertical="center"/>
    </xf>
    <xf numFmtId="9" fontId="38" fillId="19" borderId="75" xfId="0" applyNumberFormat="1" applyFont="1" applyFill="1" applyBorder="1" applyAlignment="1">
      <alignment horizontal="center" vertical="center"/>
    </xf>
    <xf numFmtId="9" fontId="38" fillId="19" borderId="0" xfId="0" applyNumberFormat="1" applyFont="1" applyFill="1" applyAlignment="1">
      <alignment horizontal="center" vertical="center"/>
    </xf>
    <xf numFmtId="9" fontId="38" fillId="19" borderId="74" xfId="0" applyNumberFormat="1" applyFont="1" applyFill="1" applyBorder="1" applyAlignment="1">
      <alignment horizontal="center" vertical="center"/>
    </xf>
    <xf numFmtId="0" fontId="88" fillId="64" borderId="0" xfId="0" applyFont="1" applyFill="1" applyAlignment="1">
      <alignment horizontal="center" vertical="center"/>
    </xf>
    <xf numFmtId="0" fontId="34" fillId="64" borderId="0" xfId="0" applyFont="1" applyFill="1" applyAlignment="1">
      <alignment horizontal="center" vertical="center"/>
    </xf>
    <xf numFmtId="0" fontId="34" fillId="64" borderId="0" xfId="0" applyFont="1" applyFill="1" applyAlignment="1">
      <alignment horizontal="center"/>
    </xf>
    <xf numFmtId="0" fontId="41" fillId="0" borderId="0" xfId="0" applyFont="1" applyAlignment="1">
      <alignment horizontal="left" wrapText="1"/>
    </xf>
    <xf numFmtId="0" fontId="74" fillId="57" borderId="91" xfId="0" applyFont="1" applyFill="1" applyBorder="1" applyAlignment="1">
      <alignment horizontal="center" vertical="center"/>
    </xf>
    <xf numFmtId="0" fontId="74" fillId="57" borderId="184" xfId="0" applyFont="1" applyFill="1" applyBorder="1" applyAlignment="1">
      <alignment horizontal="center" vertical="center"/>
    </xf>
    <xf numFmtId="0" fontId="74" fillId="57" borderId="185" xfId="0" applyFont="1" applyFill="1" applyBorder="1" applyAlignment="1">
      <alignment horizontal="center" vertical="center"/>
    </xf>
    <xf numFmtId="0" fontId="36" fillId="16" borderId="0" xfId="0" applyFont="1" applyFill="1" applyAlignment="1">
      <alignment horizontal="center"/>
    </xf>
    <xf numFmtId="0" fontId="34" fillId="16" borderId="176" xfId="0" applyFont="1" applyFill="1" applyBorder="1" applyAlignment="1">
      <alignment horizontal="center" vertical="center"/>
    </xf>
    <xf numFmtId="0" fontId="34" fillId="16" borderId="177" xfId="0" applyFont="1" applyFill="1" applyBorder="1" applyAlignment="1">
      <alignment horizontal="center" vertical="center"/>
    </xf>
    <xf numFmtId="0" fontId="34" fillId="16" borderId="178" xfId="0" applyFont="1" applyFill="1" applyBorder="1" applyAlignment="1">
      <alignment horizontal="center" vertical="center"/>
    </xf>
    <xf numFmtId="0" fontId="64" fillId="30" borderId="142" xfId="0" applyFont="1" applyFill="1" applyBorder="1" applyAlignment="1">
      <alignment horizontal="center" vertical="center"/>
    </xf>
    <xf numFmtId="0" fontId="64" fillId="30" borderId="87" xfId="0" applyFont="1" applyFill="1" applyBorder="1" applyAlignment="1">
      <alignment horizontal="center" vertical="center"/>
    </xf>
    <xf numFmtId="0" fontId="64" fillId="30" borderId="143" xfId="0" applyFont="1" applyFill="1" applyBorder="1" applyAlignment="1">
      <alignment horizontal="center" vertical="center"/>
    </xf>
    <xf numFmtId="0" fontId="64" fillId="30" borderId="43" xfId="0" applyFont="1" applyFill="1" applyBorder="1" applyAlignment="1">
      <alignment horizontal="center" vertical="center"/>
    </xf>
    <xf numFmtId="0" fontId="64" fillId="30" borderId="44" xfId="0" applyFont="1" applyFill="1" applyBorder="1" applyAlignment="1">
      <alignment horizontal="center" vertical="center"/>
    </xf>
    <xf numFmtId="0" fontId="64" fillId="30" borderId="45" xfId="0" applyFont="1" applyFill="1" applyBorder="1" applyAlignment="1">
      <alignment horizontal="center" vertical="center"/>
    </xf>
    <xf numFmtId="0" fontId="19" fillId="33" borderId="41" xfId="0" applyFont="1" applyFill="1" applyBorder="1" applyAlignment="1">
      <alignment horizontal="center" vertical="center" wrapText="1"/>
    </xf>
    <xf numFmtId="0" fontId="19" fillId="33" borderId="33" xfId="0" applyFont="1" applyFill="1" applyBorder="1" applyAlignment="1">
      <alignment horizontal="center" vertical="center" wrapText="1"/>
    </xf>
    <xf numFmtId="0" fontId="19" fillId="33" borderId="42" xfId="0" applyFont="1" applyFill="1" applyBorder="1" applyAlignment="1">
      <alignment horizontal="center" vertical="center" wrapText="1"/>
    </xf>
    <xf numFmtId="0" fontId="19" fillId="33" borderId="140" xfId="0" applyFont="1" applyFill="1" applyBorder="1" applyAlignment="1">
      <alignment horizontal="center" vertical="center" wrapText="1"/>
    </xf>
    <xf numFmtId="0" fontId="19" fillId="33" borderId="37" xfId="0" applyFont="1" applyFill="1" applyBorder="1" applyAlignment="1">
      <alignment horizontal="center" vertical="center" wrapText="1"/>
    </xf>
    <xf numFmtId="0" fontId="19" fillId="33" borderId="141" xfId="0" applyFont="1" applyFill="1" applyBorder="1" applyAlignment="1">
      <alignment horizontal="center" vertical="center" wrapText="1"/>
    </xf>
    <xf numFmtId="0" fontId="64" fillId="34" borderId="142" xfId="0" applyFont="1" applyFill="1" applyBorder="1" applyAlignment="1">
      <alignment horizontal="center" vertical="center"/>
    </xf>
    <xf numFmtId="0" fontId="64" fillId="34" borderId="87" xfId="0" applyFont="1" applyFill="1" applyBorder="1" applyAlignment="1">
      <alignment horizontal="center" vertical="center"/>
    </xf>
    <xf numFmtId="0" fontId="64" fillId="34" borderId="143" xfId="0" applyFont="1" applyFill="1" applyBorder="1" applyAlignment="1">
      <alignment horizontal="center" vertical="center"/>
    </xf>
    <xf numFmtId="0" fontId="64" fillId="34" borderId="43" xfId="0" applyFont="1" applyFill="1" applyBorder="1" applyAlignment="1">
      <alignment horizontal="center" vertical="center"/>
    </xf>
    <xf numFmtId="0" fontId="64" fillId="34" borderId="44" xfId="0" applyFont="1" applyFill="1" applyBorder="1" applyAlignment="1">
      <alignment horizontal="center" vertical="center"/>
    </xf>
    <xf numFmtId="0" fontId="64" fillId="34" borderId="45" xfId="0" applyFont="1" applyFill="1" applyBorder="1" applyAlignment="1">
      <alignment horizontal="center" vertical="center"/>
    </xf>
    <xf numFmtId="0" fontId="33" fillId="11" borderId="41" xfId="0" applyFont="1" applyFill="1" applyBorder="1" applyAlignment="1">
      <alignment horizontal="center" vertical="center" wrapText="1"/>
    </xf>
    <xf numFmtId="0" fontId="33" fillId="11" borderId="33" xfId="0" applyFont="1" applyFill="1" applyBorder="1" applyAlignment="1">
      <alignment horizontal="center" vertical="center" wrapText="1"/>
    </xf>
    <xf numFmtId="0" fontId="33" fillId="11" borderId="42" xfId="0" applyFont="1" applyFill="1" applyBorder="1" applyAlignment="1">
      <alignment horizontal="center" vertical="center" wrapText="1"/>
    </xf>
    <xf numFmtId="0" fontId="33" fillId="11" borderId="140" xfId="0" applyFont="1" applyFill="1" applyBorder="1" applyAlignment="1">
      <alignment horizontal="center" vertical="center" wrapText="1"/>
    </xf>
    <xf numFmtId="0" fontId="33" fillId="11" borderId="37" xfId="0" applyFont="1" applyFill="1" applyBorder="1" applyAlignment="1">
      <alignment horizontal="center" vertical="center" wrapText="1"/>
    </xf>
    <xf numFmtId="0" fontId="33" fillId="11" borderId="141" xfId="0" applyFont="1" applyFill="1" applyBorder="1" applyAlignment="1">
      <alignment horizontal="center" vertical="center" wrapText="1"/>
    </xf>
    <xf numFmtId="0" fontId="64" fillId="32" borderId="142" xfId="0" applyFont="1" applyFill="1" applyBorder="1" applyAlignment="1">
      <alignment horizontal="center" vertical="center"/>
    </xf>
    <xf numFmtId="0" fontId="64" fillId="32" borderId="87" xfId="0" applyFont="1" applyFill="1" applyBorder="1" applyAlignment="1">
      <alignment horizontal="center" vertical="center"/>
    </xf>
    <xf numFmtId="0" fontId="64" fillId="32" borderId="143" xfId="0" applyFont="1" applyFill="1" applyBorder="1" applyAlignment="1">
      <alignment horizontal="center" vertical="center"/>
    </xf>
    <xf numFmtId="0" fontId="64" fillId="32" borderId="43" xfId="0" applyFont="1" applyFill="1" applyBorder="1" applyAlignment="1">
      <alignment horizontal="center" vertical="center"/>
    </xf>
    <xf numFmtId="0" fontId="64" fillId="32" borderId="44" xfId="0" applyFont="1" applyFill="1" applyBorder="1" applyAlignment="1">
      <alignment horizontal="center" vertical="center"/>
    </xf>
    <xf numFmtId="0" fontId="64" fillId="32" borderId="45" xfId="0" applyFont="1" applyFill="1" applyBorder="1" applyAlignment="1">
      <alignment horizontal="center" vertical="center"/>
    </xf>
    <xf numFmtId="0" fontId="36" fillId="31" borderId="41" xfId="0" applyFont="1" applyFill="1" applyBorder="1" applyAlignment="1">
      <alignment horizontal="center" vertical="center" wrapText="1"/>
    </xf>
    <xf numFmtId="0" fontId="36" fillId="31" borderId="33" xfId="0" applyFont="1" applyFill="1" applyBorder="1" applyAlignment="1">
      <alignment horizontal="center" vertical="center" wrapText="1"/>
    </xf>
    <xf numFmtId="0" fontId="36" fillId="31" borderId="42" xfId="0" applyFont="1" applyFill="1" applyBorder="1" applyAlignment="1">
      <alignment horizontal="center" vertical="center" wrapText="1"/>
    </xf>
    <xf numFmtId="0" fontId="36" fillId="31" borderId="140" xfId="0" applyFont="1" applyFill="1" applyBorder="1" applyAlignment="1">
      <alignment horizontal="center" vertical="center" wrapText="1"/>
    </xf>
    <xf numFmtId="0" fontId="36" fillId="31" borderId="37" xfId="0" applyFont="1" applyFill="1" applyBorder="1" applyAlignment="1">
      <alignment horizontal="center" vertical="center" wrapText="1"/>
    </xf>
    <xf numFmtId="0" fontId="36" fillId="31" borderId="141" xfId="0" applyFont="1" applyFill="1" applyBorder="1" applyAlignment="1">
      <alignment horizontal="center" vertical="center" wrapText="1"/>
    </xf>
    <xf numFmtId="0" fontId="45" fillId="0" borderId="79" xfId="16" applyFont="1" applyBorder="1"/>
    <xf numFmtId="0" fontId="45" fillId="0" borderId="80" xfId="16" applyFont="1" applyBorder="1"/>
    <xf numFmtId="0" fontId="45" fillId="0" borderId="81" xfId="16" applyFont="1" applyBorder="1"/>
    <xf numFmtId="0" fontId="43" fillId="21" borderId="0" xfId="16" applyFont="1" applyFill="1" applyAlignment="1">
      <alignment horizontal="left" vertical="center"/>
    </xf>
    <xf numFmtId="0" fontId="42" fillId="0" borderId="0" xfId="16" applyAlignment="1">
      <alignment horizontal="left"/>
    </xf>
    <xf numFmtId="0" fontId="44" fillId="0" borderId="79" xfId="16" applyFont="1" applyBorder="1"/>
    <xf numFmtId="0" fontId="46" fillId="26" borderId="79" xfId="16" applyFont="1" applyFill="1" applyBorder="1"/>
    <xf numFmtId="0" fontId="46" fillId="26" borderId="80" xfId="16" applyFont="1" applyFill="1" applyBorder="1"/>
    <xf numFmtId="0" fontId="46" fillId="26" borderId="81" xfId="16" applyFont="1" applyFill="1" applyBorder="1"/>
    <xf numFmtId="3" fontId="44" fillId="0" borderId="79" xfId="16" applyNumberFormat="1" applyFont="1" applyBorder="1" applyAlignment="1">
      <alignment horizontal="right"/>
    </xf>
    <xf numFmtId="0" fontId="46" fillId="27" borderId="79" xfId="16" applyFont="1" applyFill="1" applyBorder="1" applyAlignment="1">
      <alignment horizontal="left"/>
    </xf>
    <xf numFmtId="0" fontId="45" fillId="20" borderId="80" xfId="16" applyFont="1" applyFill="1" applyBorder="1"/>
    <xf numFmtId="0" fontId="45" fillId="20" borderId="81" xfId="16" applyFont="1" applyFill="1" applyBorder="1"/>
    <xf numFmtId="0" fontId="46" fillId="22" borderId="79" xfId="16" applyFont="1" applyFill="1" applyBorder="1"/>
    <xf numFmtId="0" fontId="46" fillId="23" borderId="79" xfId="16" applyFont="1" applyFill="1" applyBorder="1"/>
    <xf numFmtId="0" fontId="46" fillId="24" borderId="79" xfId="16" applyFont="1" applyFill="1" applyBorder="1"/>
    <xf numFmtId="0" fontId="46" fillId="28" borderId="79" xfId="16" applyFont="1" applyFill="1" applyBorder="1"/>
    <xf numFmtId="0" fontId="45" fillId="29" borderId="80" xfId="16" applyFont="1" applyFill="1" applyBorder="1"/>
    <xf numFmtId="0" fontId="45" fillId="29" borderId="81" xfId="16" applyFont="1" applyFill="1" applyBorder="1"/>
    <xf numFmtId="0" fontId="34" fillId="39" borderId="0" xfId="0" applyFont="1" applyFill="1" applyAlignment="1">
      <alignment horizontal="center" vertical="center"/>
    </xf>
    <xf numFmtId="0" fontId="48" fillId="35" borderId="190" xfId="0" applyFont="1" applyFill="1" applyBorder="1" applyAlignment="1">
      <alignment horizontal="center" vertical="center"/>
    </xf>
    <xf numFmtId="0" fontId="48" fillId="35" borderId="191" xfId="0" applyFont="1" applyFill="1" applyBorder="1" applyAlignment="1">
      <alignment horizontal="center" vertical="center"/>
    </xf>
    <xf numFmtId="0" fontId="50" fillId="34" borderId="114" xfId="0" applyFont="1" applyFill="1" applyBorder="1" applyAlignment="1">
      <alignment horizontal="center" vertical="center"/>
    </xf>
    <xf numFmtId="0" fontId="50" fillId="34" borderId="115" xfId="0" applyFont="1" applyFill="1" applyBorder="1" applyAlignment="1">
      <alignment horizontal="center" vertical="center"/>
    </xf>
    <xf numFmtId="0" fontId="50" fillId="34" borderId="116" xfId="0" applyFont="1" applyFill="1" applyBorder="1" applyAlignment="1">
      <alignment horizontal="center" vertical="center"/>
    </xf>
    <xf numFmtId="43" fontId="50" fillId="34" borderId="114" xfId="3" applyFont="1" applyFill="1" applyBorder="1" applyAlignment="1">
      <alignment horizontal="center" vertical="center"/>
    </xf>
    <xf numFmtId="43" fontId="50" fillId="34" borderId="116" xfId="3" applyFont="1" applyFill="1" applyBorder="1" applyAlignment="1">
      <alignment horizontal="center" vertical="center"/>
    </xf>
    <xf numFmtId="39" fontId="50" fillId="34" borderId="114" xfId="3" applyNumberFormat="1" applyFont="1" applyFill="1" applyBorder="1" applyAlignment="1">
      <alignment horizontal="center" vertical="center"/>
    </xf>
    <xf numFmtId="39" fontId="50" fillId="34" borderId="116" xfId="3" applyNumberFormat="1" applyFont="1" applyFill="1" applyBorder="1" applyAlignment="1">
      <alignment horizontal="center" vertical="center"/>
    </xf>
    <xf numFmtId="0" fontId="36" fillId="34" borderId="208" xfId="0" applyFont="1" applyFill="1" applyBorder="1" applyAlignment="1">
      <alignment horizontal="center"/>
    </xf>
    <xf numFmtId="0" fontId="36" fillId="34" borderId="209" xfId="0" applyFont="1" applyFill="1" applyBorder="1" applyAlignment="1">
      <alignment horizontal="center"/>
    </xf>
    <xf numFmtId="0" fontId="36" fillId="34" borderId="210" xfId="0" applyFont="1" applyFill="1" applyBorder="1" applyAlignment="1">
      <alignment horizontal="center"/>
    </xf>
    <xf numFmtId="0" fontId="5" fillId="32" borderId="0" xfId="0" applyFont="1" applyFill="1" applyAlignment="1">
      <alignment horizontal="center" wrapText="1"/>
    </xf>
    <xf numFmtId="0" fontId="5" fillId="32" borderId="123" xfId="0" applyFont="1" applyFill="1" applyBorder="1" applyAlignment="1">
      <alignment horizontal="center" wrapText="1"/>
    </xf>
    <xf numFmtId="0" fontId="1" fillId="0" borderId="150" xfId="0" applyFont="1" applyBorder="1" applyAlignment="1">
      <alignment horizontal="center"/>
    </xf>
    <xf numFmtId="0" fontId="1" fillId="0" borderId="151" xfId="0" applyFont="1" applyBorder="1" applyAlignment="1">
      <alignment horizontal="center"/>
    </xf>
    <xf numFmtId="0" fontId="33" fillId="40" borderId="0" xfId="0" applyFont="1" applyFill="1" applyAlignment="1">
      <alignment horizontal="center" vertical="center"/>
    </xf>
    <xf numFmtId="0" fontId="36" fillId="11" borderId="0" xfId="0" applyFont="1" applyFill="1" applyAlignment="1">
      <alignment horizontal="center" vertical="center"/>
    </xf>
    <xf numFmtId="0" fontId="66" fillId="54" borderId="152" xfId="0" applyFont="1" applyFill="1" applyBorder="1" applyAlignment="1">
      <alignment horizontal="center" vertical="center"/>
    </xf>
    <xf numFmtId="0" fontId="66" fillId="54" borderId="153" xfId="0" applyFont="1" applyFill="1" applyBorder="1" applyAlignment="1">
      <alignment horizontal="center" vertical="center"/>
    </xf>
    <xf numFmtId="0" fontId="18" fillId="7" borderId="91" xfId="0" quotePrefix="1" applyFont="1" applyFill="1" applyBorder="1" applyAlignment="1">
      <alignment horizontal="center" vertical="center"/>
    </xf>
    <xf numFmtId="0" fontId="62" fillId="44" borderId="1" xfId="0" applyFont="1" applyFill="1" applyBorder="1" applyAlignment="1">
      <alignment horizontal="center" vertical="center"/>
    </xf>
    <xf numFmtId="0" fontId="62" fillId="44" borderId="2" xfId="0" applyFont="1" applyFill="1" applyBorder="1" applyAlignment="1">
      <alignment horizontal="center" vertical="center"/>
    </xf>
    <xf numFmtId="0" fontId="62" fillId="44" borderId="3" xfId="0" applyFont="1" applyFill="1" applyBorder="1" applyAlignment="1">
      <alignment horizontal="center" vertical="center"/>
    </xf>
    <xf numFmtId="0" fontId="88" fillId="62" borderId="0" xfId="0" applyFont="1" applyFill="1" applyAlignment="1">
      <alignment horizontal="center"/>
    </xf>
    <xf numFmtId="0" fontId="36" fillId="62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48" fillId="0" borderId="160" xfId="0" applyFont="1" applyBorder="1" applyAlignment="1">
      <alignment horizontal="center" vertical="center"/>
    </xf>
    <xf numFmtId="0" fontId="48" fillId="0" borderId="130" xfId="0" applyFont="1" applyBorder="1" applyAlignment="1">
      <alignment horizontal="center" vertical="center"/>
    </xf>
    <xf numFmtId="0" fontId="48" fillId="0" borderId="161" xfId="0" applyFont="1" applyBorder="1" applyAlignment="1">
      <alignment horizontal="center" vertical="center"/>
    </xf>
    <xf numFmtId="0" fontId="48" fillId="0" borderId="162" xfId="0" applyFont="1" applyBorder="1" applyAlignment="1">
      <alignment horizontal="center" vertical="center"/>
    </xf>
    <xf numFmtId="0" fontId="48" fillId="0" borderId="163" xfId="0" applyFont="1" applyBorder="1" applyAlignment="1">
      <alignment horizontal="center" vertical="center"/>
    </xf>
    <xf numFmtId="0" fontId="48" fillId="0" borderId="164" xfId="0" applyFont="1" applyBorder="1" applyAlignment="1">
      <alignment horizontal="center" vertical="center"/>
    </xf>
    <xf numFmtId="0" fontId="34" fillId="17" borderId="125" xfId="0" applyFont="1" applyFill="1" applyBorder="1" applyAlignment="1">
      <alignment horizontal="center" vertical="center"/>
    </xf>
    <xf numFmtId="0" fontId="63" fillId="17" borderId="125" xfId="0" applyFont="1" applyFill="1" applyBorder="1" applyAlignment="1">
      <alignment horizontal="center" vertical="center"/>
    </xf>
    <xf numFmtId="0" fontId="6" fillId="0" borderId="157" xfId="0" applyFont="1" applyBorder="1" applyAlignment="1">
      <alignment horizontal="center" vertical="center"/>
    </xf>
    <xf numFmtId="0" fontId="6" fillId="0" borderId="158" xfId="0" applyFont="1" applyBorder="1" applyAlignment="1">
      <alignment horizontal="center" vertical="center"/>
    </xf>
    <xf numFmtId="0" fontId="6" fillId="0" borderId="159" xfId="0" applyFont="1" applyBorder="1" applyAlignment="1">
      <alignment horizontal="center" vertical="center"/>
    </xf>
    <xf numFmtId="0" fontId="34" fillId="48" borderId="133" xfId="0" applyFont="1" applyFill="1" applyBorder="1" applyAlignment="1">
      <alignment horizontal="left"/>
    </xf>
    <xf numFmtId="0" fontId="34" fillId="48" borderId="0" xfId="0" applyFont="1" applyFill="1" applyAlignment="1">
      <alignment horizontal="left"/>
    </xf>
    <xf numFmtId="0" fontId="34" fillId="17" borderId="120" xfId="0" applyFont="1" applyFill="1" applyBorder="1" applyAlignment="1">
      <alignment horizontal="center"/>
    </xf>
    <xf numFmtId="0" fontId="34" fillId="17" borderId="132" xfId="0" applyFont="1" applyFill="1" applyBorder="1" applyAlignment="1">
      <alignment horizontal="center"/>
    </xf>
    <xf numFmtId="0" fontId="34" fillId="17" borderId="131" xfId="0" applyFont="1" applyFill="1" applyBorder="1" applyAlignment="1">
      <alignment horizontal="center"/>
    </xf>
    <xf numFmtId="0" fontId="0" fillId="14" borderId="135" xfId="0" applyFill="1" applyBorder="1" applyAlignment="1">
      <alignment horizontal="center" vertical="center" wrapText="1"/>
    </xf>
    <xf numFmtId="0" fontId="0" fillId="14" borderId="134" xfId="0" applyFill="1" applyBorder="1" applyAlignment="1">
      <alignment horizontal="center" vertical="center" wrapText="1"/>
    </xf>
    <xf numFmtId="0" fontId="0" fillId="14" borderId="136" xfId="0" applyFill="1" applyBorder="1" applyAlignment="1">
      <alignment horizontal="center" vertical="center" wrapText="1"/>
    </xf>
    <xf numFmtId="0" fontId="0" fillId="14" borderId="137" xfId="0" applyFill="1" applyBorder="1" applyAlignment="1">
      <alignment horizontal="center" vertical="center" wrapText="1"/>
    </xf>
    <xf numFmtId="0" fontId="0" fillId="14" borderId="138" xfId="0" applyFill="1" applyBorder="1" applyAlignment="1">
      <alignment horizontal="center" vertical="center" wrapText="1"/>
    </xf>
    <xf numFmtId="0" fontId="0" fillId="14" borderId="139" xfId="0" applyFill="1" applyBorder="1" applyAlignment="1">
      <alignment horizontal="center" vertical="center" wrapText="1"/>
    </xf>
    <xf numFmtId="0" fontId="36" fillId="7" borderId="0" xfId="0" applyFont="1" applyFill="1" applyAlignment="1">
      <alignment horizontal="center"/>
    </xf>
    <xf numFmtId="0" fontId="18" fillId="44" borderId="0" xfId="0" applyFont="1" applyFill="1" applyAlignment="1">
      <alignment horizontal="center"/>
    </xf>
    <xf numFmtId="0" fontId="36" fillId="16" borderId="0" xfId="0" applyFont="1" applyFill="1" applyAlignment="1">
      <alignment horizontal="center" vertical="center"/>
    </xf>
    <xf numFmtId="0" fontId="34" fillId="16" borderId="0" xfId="0" applyFont="1" applyFill="1" applyAlignment="1">
      <alignment horizontal="center" vertical="center"/>
    </xf>
    <xf numFmtId="0" fontId="36" fillId="66" borderId="0" xfId="0" applyFont="1" applyFill="1" applyAlignment="1">
      <alignment horizontal="center"/>
    </xf>
    <xf numFmtId="0" fontId="18" fillId="66" borderId="0" xfId="0" applyFont="1" applyFill="1" applyAlignment="1">
      <alignment horizontal="center"/>
    </xf>
    <xf numFmtId="0" fontId="33" fillId="44" borderId="0" xfId="0" applyFont="1" applyFill="1" applyAlignment="1">
      <alignment horizontal="center" vertical="center"/>
    </xf>
    <xf numFmtId="0" fontId="33" fillId="66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/>
    </xf>
    <xf numFmtId="0" fontId="36" fillId="44" borderId="0" xfId="0" applyFont="1" applyFill="1" applyAlignment="1">
      <alignment horizontal="center"/>
    </xf>
    <xf numFmtId="0" fontId="91" fillId="0" borderId="0" xfId="0" applyFont="1" applyAlignment="1">
      <alignment horizontal="center" vertical="center"/>
    </xf>
    <xf numFmtId="0" fontId="55" fillId="7" borderId="0" xfId="0" applyFont="1" applyFill="1" applyAlignment="1">
      <alignment horizontal="center"/>
    </xf>
    <xf numFmtId="0" fontId="33" fillId="7" borderId="0" xfId="0" applyFont="1" applyFill="1" applyAlignment="1">
      <alignment horizontal="center"/>
    </xf>
    <xf numFmtId="0" fontId="58" fillId="42" borderId="0" xfId="17" applyFont="1" applyFill="1" applyAlignment="1">
      <alignment horizontal="left" vertical="center" wrapText="1"/>
    </xf>
  </cellXfs>
  <cellStyles count="20">
    <cellStyle name="Borda laranja" xfId="11" xr:uid="{00000000-0005-0000-0000-000000000000}"/>
    <cellStyle name="Borda laranja 2" xfId="14" xr:uid="{00000000-0005-0000-0000-000001000000}"/>
    <cellStyle name="Cabeçalho 3 2" xfId="10" xr:uid="{00000000-0005-0000-0000-000002000000}"/>
    <cellStyle name="Célula amarela 2 2" xfId="13" xr:uid="{00000000-0005-0000-0000-000003000000}"/>
    <cellStyle name="Célula cinza 2 2" xfId="12" xr:uid="{00000000-0005-0000-0000-000004000000}"/>
    <cellStyle name="Entrada personalizada" xfId="4" xr:uid="{00000000-0005-0000-0000-000005000000}"/>
    <cellStyle name="Hiperlink" xfId="8" builtinId="8"/>
    <cellStyle name="Hiperlink 2" xfId="15" xr:uid="{00000000-0005-0000-0000-000007000000}"/>
    <cellStyle name="Instruções" xfId="7" xr:uid="{00000000-0005-0000-0000-000008000000}"/>
    <cellStyle name="Moeda" xfId="1" builtinId="4"/>
    <cellStyle name="Não digitar" xfId="5" xr:uid="{00000000-0005-0000-0000-00000A000000}"/>
    <cellStyle name="Normal" xfId="0" builtinId="0"/>
    <cellStyle name="Normal 2" xfId="9" xr:uid="{00000000-0005-0000-0000-00000C000000}"/>
    <cellStyle name="Normal 2 2" xfId="19" xr:uid="{5CC393E9-84B3-4E9A-8A6C-E49214F59A00}"/>
    <cellStyle name="Normal 3" xfId="16" xr:uid="{00000000-0005-0000-0000-00000D000000}"/>
    <cellStyle name="Normal 4" xfId="17" xr:uid="{00000000-0005-0000-0000-00000E000000}"/>
    <cellStyle name="Porcentagem" xfId="2" builtinId="5"/>
    <cellStyle name="Totais da tabela" xfId="6" xr:uid="{00000000-0005-0000-0000-000010000000}"/>
    <cellStyle name="Vírgula" xfId="3" builtinId="3"/>
    <cellStyle name="Vírgula 3" xfId="18" xr:uid="{27FE5D76-B151-44B0-8A1F-B9D18B111B2F}"/>
  </cellStyles>
  <dxfs count="4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C000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numFmt numFmtId="171" formatCode="_-* #,##0_-;\-* #,##0_-;_-* &quot;-&quot;??_-;_-@_-"/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</dxf>
    <dxf>
      <font>
        <b/>
      </font>
      <numFmt numFmtId="19" formatCode="dd/mm/yyyy"/>
      <alignment horizontal="center" vertical="center" textRotation="0" wrapText="0" indent="0" justifyLastLine="0" shrinkToFit="0" readingOrder="0"/>
    </dxf>
    <dxf>
      <border diagonalUp="0" diagonalDown="0">
        <left style="medium">
          <color theme="4" tint="-0.249977111117893"/>
        </left>
        <right style="medium">
          <color theme="4" tint="-0.249977111117893"/>
        </right>
        <top style="medium">
          <color theme="4" tint="-0.249977111117893"/>
        </top>
        <bottom style="medium">
          <color theme="4" tint="-0.249977111117893"/>
        </bottom>
      </border>
    </dxf>
    <dxf>
      <font>
        <b/>
        <family val="2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\ &quot;dias&quot;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border diagonalUp="0" diagonalDown="0">
        <left style="medium">
          <color theme="4" tint="0.39997558519241921"/>
        </left>
        <right style="medium">
          <color theme="4" tint="0.39997558519241921"/>
        </right>
        <top style="medium">
          <color theme="4" tint="0.39997558519241921"/>
        </top>
        <bottom style="medium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</font>
      <alignment horizontal="center" vertical="center" textRotation="0" wrapText="1" indent="0" justifyLastLine="0" shrinkToFit="0" readingOrder="0"/>
    </dxf>
    <dxf>
      <numFmt numFmtId="177" formatCode="[hh]:mm"/>
    </dxf>
    <dxf>
      <numFmt numFmtId="178" formatCode="[$-F400]h:mm:ss\ AM/PM"/>
      <alignment horizontal="center" vertical="center" textRotation="0" wrapText="0" indent="0" justifyLastLine="0" shrinkToFit="0" readingOrder="0"/>
    </dxf>
    <dxf>
      <numFmt numFmtId="178" formatCode="[$-F400]h:mm:ss\ AM/PM"/>
      <alignment horizontal="center" vertical="center" textRotation="0" wrapText="0" indent="0" justifyLastLine="0" shrinkToFit="0" readingOrder="0"/>
    </dxf>
    <dxf>
      <numFmt numFmtId="178" formatCode="[$-F400]h:mm:ss\ AM/PM"/>
      <alignment horizontal="center" vertical="center" textRotation="0" wrapText="0" indent="0" justifyLastLine="0" shrinkToFit="0" readingOrder="0"/>
    </dxf>
    <dxf>
      <numFmt numFmtId="178" formatCode="[$-F400]h:mm:ss\ AM/PM"/>
      <alignment horizontal="center" vertical="center" textRotation="0" wrapText="0" indent="0" justifyLastLine="0" shrinkToFit="0" readingOrder="0"/>
    </dxf>
    <dxf>
      <numFmt numFmtId="178" formatCode="[$-F400]h:mm:ss\ AM/PM"/>
      <alignment horizontal="center" vertical="center" textRotation="0" wrapText="0" indent="0" justifyLastLine="0" shrinkToFit="0" readingOrder="0"/>
    </dxf>
    <dxf>
      <numFmt numFmtId="176" formatCode="ddd\ dd/mmm/yyyy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  <border diagonalUp="0" diagonalDown="0">
        <left style="medium">
          <color rgb="FFFF0000"/>
        </left>
        <right style="medium">
          <color rgb="FFFF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8"/>
          <bgColor theme="8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6" formatCode="#,##0;[Red]\-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6" formatCode="#,##0;[Red]\-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numFmt numFmtId="184" formatCode="&quot;NP&quot;\ 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90" formatCode="dddd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0"/>
        </top>
        <bottom/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4" formatCode="#,##0.00"/>
    </dxf>
    <dxf>
      <numFmt numFmtId="19" formatCode="dd/mm/yyyy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/>
      </border>
    </dxf>
    <dxf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/>
      </border>
    </dxf>
    <dxf>
      <numFmt numFmtId="184" formatCode="&quot;NP&quot;\ 000"/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</border>
    </dxf>
    <dxf>
      <numFmt numFmtId="190" formatCode="dddd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88" formatCode="mmmm"/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89" formatCode="ddd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5" formatCode="ddd\ dd/mm/yyyy\ hh:mm:ss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4" formatCode="ddd\ dd/mm/yyyy\ hh:mm"/>
      <fill>
        <patternFill patternType="none">
          <fgColor indexed="64"/>
          <bgColor indexed="65"/>
        </patternFill>
      </fill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5" formatCode="ddd\ dd/mm/yyyy\ hh:mm:ss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4" formatCode="ddd\ dd/mm/yyyy\ hh:mm"/>
      <fill>
        <patternFill patternType="none">
          <fgColor indexed="64"/>
          <bgColor indexed="65"/>
        </patternFill>
      </fill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77" formatCode="[hh]:mm"/>
    </dxf>
    <dxf>
      <numFmt numFmtId="177" formatCode="[hh]:mm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76" formatCode="ddd\ dd/mmm/yyyy"/>
    </dxf>
    <dxf>
      <alignment horizontal="general" vertical="center" textRotation="0" wrapText="1" indent="0" justifyLastLine="0" shrinkToFit="0" readingOrder="0"/>
    </dxf>
    <dxf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2" formatCode="0.00"/>
    </dxf>
    <dxf>
      <numFmt numFmtId="177" formatCode="[hh]:mm"/>
      <border diagonalUp="0" diagonalDown="0" outline="0">
        <left style="thick">
          <color rgb="FFFF0000"/>
        </left>
        <right/>
        <top/>
        <bottom/>
      </border>
    </dxf>
    <dxf>
      <alignment horizontal="general" vertical="center" textRotation="0" wrapText="1" indent="0" justifyLastLine="0" shrinkToFit="0" readingOrder="0"/>
    </dxf>
    <dxf>
      <numFmt numFmtId="178" formatCode="[$-F400]h:mm:ss\ AM/PM"/>
    </dxf>
    <dxf>
      <numFmt numFmtId="173" formatCode="[h]:mm:ss;@"/>
      <alignment horizontal="center" vertical="center" textRotation="0" wrapText="0" indent="0" justifyLastLine="0" shrinkToFit="0" readingOrder="0"/>
      <border diagonalUp="0" diagonalDown="0">
        <left style="medium">
          <color rgb="FFFF0000"/>
        </left>
        <right style="medium">
          <color rgb="FFFF0000"/>
        </right>
        <top/>
        <bottom/>
        <vertical/>
        <horizontal/>
      </border>
    </dxf>
    <dxf>
      <numFmt numFmtId="27" formatCode="dd/mm/yyyy\ h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19" formatCode="dd/mm/yyyy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34" formatCode="_-&quot;R$&quot;\ * #,##0.00_-;\-&quot;R$&quot;\ * #,##0.00_-;_-&quot;R$&quot;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4" formatCode="_-&quot;R$&quot;\ * #,##0.00_-;\-&quot;R$&quot;\ * #,##0.00_-;_-&quot;R$&quot;\ * &quot;-&quot;??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rgb="FFFF0000"/>
        </left>
        <right style="medium">
          <color rgb="FFFF0000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</dxf>
    <dxf>
      <numFmt numFmtId="35" formatCode="_-* #,##0.00_-;\-* #,##0.00_-;_-* &quot;-&quot;??_-;_-@_-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theme="8" tint="0.39997558519241921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8"/>
          <bgColor theme="8"/>
        </patternFill>
      </fill>
      <border diagonalUp="0" diagonalDown="0" outline="0">
        <left style="thin">
          <color theme="8" tint="0.39997558519241921"/>
        </left>
        <right style="thin">
          <color theme="8" tint="0.39997558519241921"/>
        </right>
        <top/>
        <bottom/>
      </border>
    </dxf>
    <dxf>
      <numFmt numFmtId="0" formatCode="General"/>
    </dxf>
    <dxf>
      <numFmt numFmtId="19" formatCode="dd/mm/yyyy"/>
    </dxf>
    <dxf>
      <numFmt numFmtId="1" formatCode="0"/>
    </dxf>
    <dxf>
      <numFmt numFmtId="19" formatCode="dd/mm/yyyy"/>
    </dxf>
    <dxf>
      <font>
        <b/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3" formatCode="0%"/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B7406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0B7406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8" formatCode="#,##0.00;[Red]\-#,##0.00"/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0"/>
        </top>
        <bottom/>
      </border>
    </dxf>
    <dxf>
      <border outline="0"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8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medium">
          <color rgb="FFC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medium">
          <color rgb="FFC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medium">
          <color rgb="FFC0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medium">
          <color rgb="FFC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medium">
          <color rgb="FFC0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rgb="FFC0000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  <border diagonalUp="0" diagonalDown="0">
        <left style="medium">
          <color rgb="FFFF0000"/>
        </left>
        <right style="medium">
          <color rgb="FFFF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000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-* #,##0.00_-;\-* #,##0.0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4" formatCode="#,##0.00"/>
      <fill>
        <patternFill patternType="solid">
          <fgColor theme="8" tint="0.5999938962981048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6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4" formatCode="#,##0.00"/>
      <fill>
        <patternFill patternType="solid">
          <fgColor theme="8" tint="0.59999389629810485"/>
          <bgColor theme="6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6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/>
          <bgColor rgb="FFFFC000"/>
        </patternFill>
      </fill>
    </dxf>
    <dxf>
      <numFmt numFmtId="3" formatCode="#,##0"/>
      <border diagonalUp="0" diagonalDown="0">
        <left style="medium">
          <color theme="7"/>
        </left>
        <right style="medium">
          <color theme="7"/>
        </right>
        <top/>
        <bottom/>
        <vertical/>
        <horizontal/>
      </border>
    </dxf>
    <dxf>
      <numFmt numFmtId="4" formatCode="#,##0.00"/>
    </dxf>
    <dxf>
      <numFmt numFmtId="4" formatCode="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4" formatCode="#,##0.00"/>
    </dxf>
    <dxf>
      <numFmt numFmtId="4" formatCode="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8"/>
          <bgColor theme="8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left" vertical="center" textRotation="0" wrapText="0" indent="0" justifyLastLine="0" shrinkToFit="0" readingOrder="0"/>
    </dxf>
    <dxf>
      <numFmt numFmtId="34" formatCode="_-&quot;R$&quot;\ * #,##0.00_-;\-&quot;R$&quot;\ * #,##0.00_-;_-&quot;R$&quot;\ * &quot;-&quot;??_-;_-@_-"/>
      <fill>
        <patternFill patternType="solid">
          <fgColor indexed="64"/>
          <bgColor theme="7" tint="0.79998168889431442"/>
        </patternFill>
      </fill>
      <border diagonalUp="0" diagonalDown="0">
        <left style="medium">
          <color theme="7" tint="-0.499984740745262"/>
        </left>
        <right style="medium">
          <color theme="7" tint="-0.499984740745262"/>
        </right>
        <top style="thin">
          <color theme="7" tint="0.39997558519241921"/>
        </top>
        <bottom style="thin">
          <color theme="7" tint="0.39997558519241921"/>
        </bottom>
        <vertical/>
        <horizontal style="thin">
          <color theme="7" tint="0.39997558519241921"/>
        </horizontal>
      </border>
    </dxf>
    <dxf>
      <border outline="0">
        <right style="medium">
          <color theme="7"/>
        </right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3" formatCode="#,##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3399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numFmt numFmtId="2" formatCode="0.00"/>
      <alignment horizontal="center" vertical="center" textRotation="0" wrapText="1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numFmt numFmtId="19" formatCode="dd/mm/yyyy"/>
      <alignment horizontal="center" textRotation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3399FF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top style="thin">
          <color theme="4" tint="0.39997558519241921"/>
        </top>
      </border>
    </dxf>
    <dxf>
      <fill>
        <patternFill patternType="solid">
          <fgColor indexed="64"/>
          <bgColor rgb="FF3399FF"/>
        </patternFill>
      </fill>
    </dxf>
    <dxf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alignment horizontal="center" textRotation="0" indent="0" justifyLastLine="0" shrinkToFit="0" readingOrder="0"/>
    </dxf>
    <dxf>
      <border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3399FF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 style="thin">
          <color theme="5" tint="0.39997558519241921"/>
        </vertical>
        <horizontal style="thin">
          <color theme="5" tint="0.39997558519241921"/>
        </horizontal>
      </border>
    </dxf>
    <dxf>
      <font>
        <b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88" formatCode="mmmm"/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left style="thick">
          <color rgb="FFFF0000"/>
        </left>
        <right style="thick">
          <color rgb="FFFF0000"/>
        </right>
        <top style="thick">
          <color rgb="FFFF0000"/>
        </top>
        <bottom style="thick">
          <color rgb="FFFF0000"/>
        </bottom>
      </border>
    </dxf>
    <dxf>
      <fill>
        <patternFill>
          <bgColor theme="0" tint="-4.9989318521683403E-2"/>
        </patternFill>
      </fill>
    </dxf>
    <dxf>
      <font>
        <b/>
        <i val="0"/>
        <color theme="0"/>
      </font>
      <fill>
        <patternFill>
          <bgColor theme="4"/>
        </patternFill>
      </fill>
      <border>
        <top style="thin">
          <color theme="0" tint="-0.24994659260841701"/>
        </top>
      </border>
    </dxf>
    <dxf>
      <font>
        <color theme="1" tint="0.34998626667073579"/>
      </font>
      <border>
        <left style="thin">
          <color theme="3" tint="0.59996337778862885"/>
        </left>
        <right/>
        <top style="thin">
          <color theme="3" tint="0.59996337778862885"/>
        </top>
        <bottom/>
        <vertical style="thin">
          <color theme="3" tint="0.59996337778862885"/>
        </vertical>
        <horizontal style="dotted">
          <color theme="3" tint="0.59996337778862885"/>
        </horizontal>
      </border>
    </dxf>
    <dxf>
      <fill>
        <patternFill>
          <bgColor theme="7" tint="0.79998168889431442"/>
        </patternFill>
      </fill>
    </dxf>
  </dxfs>
  <tableStyles count="3" defaultTableStyle="TableStyleMedium2" defaultPivotStyle="PivotStyleLight16">
    <tableStyle name="Estilo de Segmentação de Dados 1" pivot="0" table="0" count="1" xr9:uid="{29657604-BE7D-46C1-9DEC-549FD613DDDD}">
      <tableStyleElement type="headerRow" dxfId="430"/>
    </tableStyle>
    <tableStyle name="Expense Report" pivot="0" count="3" xr9:uid="{00000000-0011-0000-FFFF-FFFF00000000}">
      <tableStyleElement type="wholeTable" dxfId="429"/>
      <tableStyleElement type="totalRow" dxfId="428"/>
      <tableStyleElement type="lastColumn" dxfId="427"/>
    </tableStyle>
    <tableStyle name="Yto Nihon Segmentação" pivot="0" table="0" count="1" xr9:uid="{2034ABB6-9C36-498A-82CF-13ED645D1E7B}">
      <tableStyleElement type="wholeTable" dxfId="426"/>
    </tableStyle>
  </tableStyles>
  <colors>
    <mruColors>
      <color rgb="FF0B7406"/>
      <color rgb="FF3399FF"/>
      <color rgb="FF009900"/>
      <color rgb="FF00C459"/>
      <color rgb="FFFF7D7D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Yto Nihon Segmentação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microsoft.com/office/2007/relationships/slicerCache" Target="slicerCaches/slicerCache6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1.xml"/><Relationship Id="rId95" Type="http://schemas.openxmlformats.org/officeDocument/2006/relationships/externalLink" Target="externalLinks/externalLink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microsoft.com/office/2007/relationships/slicerCache" Target="slicerCaches/slicerCache7.xml"/><Relationship Id="rId108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externalLink" Target="externalLinks/externalLink2.xml"/><Relationship Id="rId96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externalLink" Target="externalLinks/externalLink5.xml"/><Relationship Id="rId99" Type="http://schemas.microsoft.com/office/2007/relationships/slicerCache" Target="slicerCaches/slicerCache3.xml"/><Relationship Id="rId101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alcChain" Target="calcChain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microsoft.com/office/2007/relationships/slicerCache" Target="slicerCaches/slicerCache1.xml"/><Relationship Id="rId104" Type="http://schemas.microsoft.com/office/2007/relationships/slicerCache" Target="slicerCaches/slicerCache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microsoft.com/office/2007/relationships/slicerCache" Target="slicerCaches/slicerCache4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4.xml"/><Relationship Id="rId9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'Remover duplicata de uma tabela'!$M$8</c:f>
              <c:strCache>
                <c:ptCount val="1"/>
                <c:pt idx="0">
                  <c:v>1º Trimestre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'Remover duplicata de uma tabela'!$L$9:$L$18</c:f>
              <c:strCache>
                <c:ptCount val="2"/>
                <c:pt idx="0">
                  <c:v>Kléber Nascimento</c:v>
                </c:pt>
                <c:pt idx="1">
                  <c:v>Kléber Nascimento</c:v>
                </c:pt>
              </c:strCache>
            </c:strRef>
          </c:cat>
          <c:val>
            <c:numRef>
              <c:f>'Remover duplicata de uma tabela'!$M$9:$M$18</c:f>
              <c:numCache>
                <c:formatCode>#,##0</c:formatCode>
                <c:ptCount val="2"/>
                <c:pt idx="0">
                  <c:v>11415</c:v>
                </c:pt>
                <c:pt idx="1">
                  <c:v>10387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0-42D6-81D1-E0778A8513D2}"/>
            </c:ext>
          </c:extLst>
        </c:ser>
        <c:ser>
          <c:idx val="1"/>
          <c:order val="1"/>
          <c:tx>
            <c:strRef>
              <c:f>'Remover duplicata de uma tabela'!$N$8</c:f>
              <c:strCache>
                <c:ptCount val="1"/>
                <c:pt idx="0">
                  <c:v>2º Trimestre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'Remover duplicata de uma tabela'!$L$9:$L$18</c:f>
              <c:strCache>
                <c:ptCount val="2"/>
                <c:pt idx="0">
                  <c:v>Kléber Nascimento</c:v>
                </c:pt>
                <c:pt idx="1">
                  <c:v>Kléber Nascimento</c:v>
                </c:pt>
              </c:strCache>
            </c:strRef>
          </c:cat>
          <c:val>
            <c:numRef>
              <c:f>'Remover duplicata de uma tabela'!$N$9:$N$18</c:f>
              <c:numCache>
                <c:formatCode>#,##0</c:formatCode>
                <c:ptCount val="2"/>
                <c:pt idx="0">
                  <c:v>9772</c:v>
                </c:pt>
                <c:pt idx="1">
                  <c:v>11923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0-42D6-81D1-E0778A8513D2}"/>
            </c:ext>
          </c:extLst>
        </c:ser>
        <c:ser>
          <c:idx val="2"/>
          <c:order val="2"/>
          <c:tx>
            <c:strRef>
              <c:f>'Remover duplicata de uma tabela'!$O$8</c:f>
              <c:strCache>
                <c:ptCount val="1"/>
                <c:pt idx="0">
                  <c:v>3º Trimestre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'Remover duplicata de uma tabela'!$L$9:$L$18</c:f>
              <c:strCache>
                <c:ptCount val="2"/>
                <c:pt idx="0">
                  <c:v>Kléber Nascimento</c:v>
                </c:pt>
                <c:pt idx="1">
                  <c:v>Kléber Nascimento</c:v>
                </c:pt>
              </c:strCache>
            </c:strRef>
          </c:cat>
          <c:val>
            <c:numRef>
              <c:f>'Remover duplicata de uma tabela'!$O$9:$O$18</c:f>
              <c:numCache>
                <c:formatCode>#,##0</c:formatCode>
                <c:ptCount val="2"/>
                <c:pt idx="0">
                  <c:v>12479</c:v>
                </c:pt>
                <c:pt idx="1">
                  <c:v>10810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0-42D6-81D1-E0778A8513D2}"/>
            </c:ext>
          </c:extLst>
        </c:ser>
        <c:ser>
          <c:idx val="3"/>
          <c:order val="3"/>
          <c:tx>
            <c:strRef>
              <c:f>'Remover duplicata de uma tabela'!$P$8</c:f>
              <c:strCache>
                <c:ptCount val="1"/>
                <c:pt idx="0">
                  <c:v>4º Trimestre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'Remover duplicata de uma tabela'!$L$9:$L$18</c:f>
              <c:strCache>
                <c:ptCount val="2"/>
                <c:pt idx="0">
                  <c:v>Kléber Nascimento</c:v>
                </c:pt>
                <c:pt idx="1">
                  <c:v>Kléber Nascimento</c:v>
                </c:pt>
              </c:strCache>
            </c:strRef>
          </c:cat>
          <c:val>
            <c:numRef>
              <c:f>'Remover duplicata de uma tabela'!$P$9:$P$18</c:f>
              <c:numCache>
                <c:formatCode>#,##0</c:formatCode>
                <c:ptCount val="2"/>
                <c:pt idx="0">
                  <c:v>10208</c:v>
                </c:pt>
                <c:pt idx="1">
                  <c:v>10611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0-42D6-81D1-E0778A851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4707183"/>
        <c:axId val="1564711503"/>
      </c:barChart>
      <c:catAx>
        <c:axId val="15647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64711503"/>
        <c:crosses val="autoZero"/>
        <c:auto val="1"/>
        <c:lblAlgn val="ctr"/>
        <c:lblOffset val="100"/>
        <c:noMultiLvlLbl val="0"/>
      </c:catAx>
      <c:valAx>
        <c:axId val="156471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647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Análise de Faturamento por Filial e Consultor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'Resolução do Desafio - CAP 02'!$K$20</c:f>
              <c:strCache>
                <c:ptCount val="1"/>
                <c:pt idx="0">
                  <c:v>Faturado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'Resolução do Desafio - CAP 02'!$I$21:$I$38</c:f>
              <c:strCache>
                <c:ptCount val="18"/>
                <c:pt idx="0">
                  <c:v>Eduardo Oliveira</c:v>
                </c:pt>
                <c:pt idx="1">
                  <c:v>Miguel Nunes</c:v>
                </c:pt>
                <c:pt idx="2">
                  <c:v>Maria Soraia</c:v>
                </c:pt>
                <c:pt idx="3">
                  <c:v>Eleusina Leite</c:v>
                </c:pt>
                <c:pt idx="4">
                  <c:v>Ashley Bennington</c:v>
                </c:pt>
                <c:pt idx="5">
                  <c:v>Eduardo Oliveira</c:v>
                </c:pt>
                <c:pt idx="6">
                  <c:v>Afonso Neres</c:v>
                </c:pt>
                <c:pt idx="7">
                  <c:v>Eleusina Leite</c:v>
                </c:pt>
                <c:pt idx="8">
                  <c:v>Eleusina Leite</c:v>
                </c:pt>
                <c:pt idx="9">
                  <c:v>Mariana Dias</c:v>
                </c:pt>
                <c:pt idx="10">
                  <c:v>Dolores Rosa</c:v>
                </c:pt>
                <c:pt idx="11">
                  <c:v>Maria Soraia</c:v>
                </c:pt>
                <c:pt idx="12">
                  <c:v>Ashley Bennington</c:v>
                </c:pt>
                <c:pt idx="13">
                  <c:v>Mariana Dias</c:v>
                </c:pt>
                <c:pt idx="14">
                  <c:v>Eleusina Leite</c:v>
                </c:pt>
                <c:pt idx="15">
                  <c:v>Caetano Marques</c:v>
                </c:pt>
                <c:pt idx="16">
                  <c:v>Ashley Bennington</c:v>
                </c:pt>
                <c:pt idx="17">
                  <c:v>Matheus Franz</c:v>
                </c:pt>
              </c:strCache>
            </c:strRef>
          </c:cat>
          <c:val>
            <c:numRef>
              <c:f>'Resolução do Desafio - CAP 02'!$K$21:$K$38</c:f>
              <c:numCache>
                <c:formatCode>#,##0.00</c:formatCode>
                <c:ptCount val="18"/>
                <c:pt idx="0">
                  <c:v>4058</c:v>
                </c:pt>
                <c:pt idx="1">
                  <c:v>3961</c:v>
                </c:pt>
                <c:pt idx="2">
                  <c:v>1331</c:v>
                </c:pt>
                <c:pt idx="3">
                  <c:v>1253</c:v>
                </c:pt>
                <c:pt idx="4">
                  <c:v>895</c:v>
                </c:pt>
                <c:pt idx="5">
                  <c:v>4395</c:v>
                </c:pt>
                <c:pt idx="6">
                  <c:v>3265</c:v>
                </c:pt>
                <c:pt idx="7">
                  <c:v>3707</c:v>
                </c:pt>
                <c:pt idx="8">
                  <c:v>3858</c:v>
                </c:pt>
                <c:pt idx="9">
                  <c:v>3472</c:v>
                </c:pt>
                <c:pt idx="10">
                  <c:v>2632</c:v>
                </c:pt>
                <c:pt idx="11">
                  <c:v>3272</c:v>
                </c:pt>
                <c:pt idx="12">
                  <c:v>755</c:v>
                </c:pt>
                <c:pt idx="13">
                  <c:v>2377</c:v>
                </c:pt>
                <c:pt idx="14">
                  <c:v>3972</c:v>
                </c:pt>
                <c:pt idx="15">
                  <c:v>3995</c:v>
                </c:pt>
                <c:pt idx="16">
                  <c:v>3473</c:v>
                </c:pt>
                <c:pt idx="17">
                  <c:v>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F62-B2E5-066E8839E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51137952"/>
        <c:axId val="1651151872"/>
      </c:barChart>
      <c:catAx>
        <c:axId val="16511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1151872"/>
        <c:crosses val="autoZero"/>
        <c:auto val="1"/>
        <c:lblAlgn val="ctr"/>
        <c:lblOffset val="100"/>
        <c:noMultiLvlLbl val="0"/>
      </c:catAx>
      <c:valAx>
        <c:axId val="16511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113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>
                <a:solidFill>
                  <a:sysClr val="windowText" lastClr="000000"/>
                </a:solidFill>
              </a:rPr>
              <a:t>Evolução Trimestral dos TOP 10 Funcionários de 2024</a:t>
            </a:r>
          </a:p>
        </c:rich>
      </c:tx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'Resolução do Desafio - CAP  03'!$F$6</c:f>
              <c:strCache>
                <c:ptCount val="1"/>
                <c:pt idx="0">
                  <c:v>1º Trim.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'Resolução do Desafio - CAP  03'!$E$7:$E$16</c:f>
              <c:strCache>
                <c:ptCount val="10"/>
                <c:pt idx="0">
                  <c:v>Eduarda Midori</c:v>
                </c:pt>
                <c:pt idx="1">
                  <c:v>Analice Xavier</c:v>
                </c:pt>
                <c:pt idx="2">
                  <c:v>Maria Oliveira</c:v>
                </c:pt>
                <c:pt idx="3">
                  <c:v>Gislaine Carlos</c:v>
                </c:pt>
                <c:pt idx="4">
                  <c:v>Eduardo Silva</c:v>
                </c:pt>
                <c:pt idx="5">
                  <c:v>José Miguel</c:v>
                </c:pt>
                <c:pt idx="6">
                  <c:v>Willians Cunha</c:v>
                </c:pt>
                <c:pt idx="7">
                  <c:v>Elaine Cristina</c:v>
                </c:pt>
                <c:pt idx="8">
                  <c:v>Margarida Liberatto</c:v>
                </c:pt>
                <c:pt idx="9">
                  <c:v>Facundo Telles</c:v>
                </c:pt>
              </c:strCache>
            </c:strRef>
          </c:cat>
          <c:val>
            <c:numRef>
              <c:f>'Resolução do Desafio - CAP  03'!$F$7:$F$16</c:f>
              <c:numCache>
                <c:formatCode>_(* #,##0.00_);_(* \(#,##0.00\);_(* "-"??_);_(@_)</c:formatCode>
                <c:ptCount val="10"/>
                <c:pt idx="0">
                  <c:v>317005</c:v>
                </c:pt>
                <c:pt idx="1">
                  <c:v>509765</c:v>
                </c:pt>
                <c:pt idx="2">
                  <c:v>407156</c:v>
                </c:pt>
                <c:pt idx="3">
                  <c:v>339304</c:v>
                </c:pt>
                <c:pt idx="4">
                  <c:v>472883</c:v>
                </c:pt>
                <c:pt idx="5">
                  <c:v>333463</c:v>
                </c:pt>
                <c:pt idx="6">
                  <c:v>516263</c:v>
                </c:pt>
                <c:pt idx="7">
                  <c:v>332597</c:v>
                </c:pt>
                <c:pt idx="8">
                  <c:v>148276</c:v>
                </c:pt>
                <c:pt idx="9">
                  <c:v>208548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6-4AB9-AE56-47FD6D85E3CF}"/>
            </c:ext>
          </c:extLst>
        </c:ser>
        <c:ser>
          <c:idx val="1"/>
          <c:order val="1"/>
          <c:tx>
            <c:strRef>
              <c:f>'Resolução do Desafio - CAP  03'!$G$6</c:f>
              <c:strCache>
                <c:ptCount val="1"/>
                <c:pt idx="0">
                  <c:v>2º Trim.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'Resolução do Desafio - CAP  03'!$E$7:$E$16</c:f>
              <c:strCache>
                <c:ptCount val="10"/>
                <c:pt idx="0">
                  <c:v>Eduarda Midori</c:v>
                </c:pt>
                <c:pt idx="1">
                  <c:v>Analice Xavier</c:v>
                </c:pt>
                <c:pt idx="2">
                  <c:v>Maria Oliveira</c:v>
                </c:pt>
                <c:pt idx="3">
                  <c:v>Gislaine Carlos</c:v>
                </c:pt>
                <c:pt idx="4">
                  <c:v>Eduardo Silva</c:v>
                </c:pt>
                <c:pt idx="5">
                  <c:v>José Miguel</c:v>
                </c:pt>
                <c:pt idx="6">
                  <c:v>Willians Cunha</c:v>
                </c:pt>
                <c:pt idx="7">
                  <c:v>Elaine Cristina</c:v>
                </c:pt>
                <c:pt idx="8">
                  <c:v>Margarida Liberatto</c:v>
                </c:pt>
                <c:pt idx="9">
                  <c:v>Facundo Telles</c:v>
                </c:pt>
              </c:strCache>
            </c:strRef>
          </c:cat>
          <c:val>
            <c:numRef>
              <c:f>'Resolução do Desafio - CAP  03'!$G$7:$G$16</c:f>
              <c:numCache>
                <c:formatCode>_(* #,##0.00_);_(* \(#,##0.00\);_(* "-"??_);_(@_)</c:formatCode>
                <c:ptCount val="10"/>
                <c:pt idx="0">
                  <c:v>149227</c:v>
                </c:pt>
                <c:pt idx="1">
                  <c:v>208364</c:v>
                </c:pt>
                <c:pt idx="2">
                  <c:v>164967</c:v>
                </c:pt>
                <c:pt idx="3">
                  <c:v>265046</c:v>
                </c:pt>
                <c:pt idx="4">
                  <c:v>477140</c:v>
                </c:pt>
                <c:pt idx="5">
                  <c:v>530038</c:v>
                </c:pt>
                <c:pt idx="6">
                  <c:v>210356</c:v>
                </c:pt>
                <c:pt idx="7">
                  <c:v>322698</c:v>
                </c:pt>
                <c:pt idx="8">
                  <c:v>371150</c:v>
                </c:pt>
                <c:pt idx="9">
                  <c:v>486251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6-4AB9-AE56-47FD6D85E3CF}"/>
            </c:ext>
          </c:extLst>
        </c:ser>
        <c:ser>
          <c:idx val="2"/>
          <c:order val="2"/>
          <c:tx>
            <c:strRef>
              <c:f>'Resolução do Desafio - CAP  03'!$H$6</c:f>
              <c:strCache>
                <c:ptCount val="1"/>
                <c:pt idx="0">
                  <c:v>3º Trim.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'Resolução do Desafio - CAP  03'!$E$7:$E$16</c:f>
              <c:strCache>
                <c:ptCount val="10"/>
                <c:pt idx="0">
                  <c:v>Eduarda Midori</c:v>
                </c:pt>
                <c:pt idx="1">
                  <c:v>Analice Xavier</c:v>
                </c:pt>
                <c:pt idx="2">
                  <c:v>Maria Oliveira</c:v>
                </c:pt>
                <c:pt idx="3">
                  <c:v>Gislaine Carlos</c:v>
                </c:pt>
                <c:pt idx="4">
                  <c:v>Eduardo Silva</c:v>
                </c:pt>
                <c:pt idx="5">
                  <c:v>José Miguel</c:v>
                </c:pt>
                <c:pt idx="6">
                  <c:v>Willians Cunha</c:v>
                </c:pt>
                <c:pt idx="7">
                  <c:v>Elaine Cristina</c:v>
                </c:pt>
                <c:pt idx="8">
                  <c:v>Margarida Liberatto</c:v>
                </c:pt>
                <c:pt idx="9">
                  <c:v>Facundo Telles</c:v>
                </c:pt>
              </c:strCache>
            </c:strRef>
          </c:cat>
          <c:val>
            <c:numRef>
              <c:f>'Resolução do Desafio - CAP  03'!$H$7:$H$16</c:f>
              <c:numCache>
                <c:formatCode>_(* #,##0.00_);_(* \(#,##0.00\);_(* "-"??_);_(@_)</c:formatCode>
                <c:ptCount val="10"/>
                <c:pt idx="0">
                  <c:v>358871</c:v>
                </c:pt>
                <c:pt idx="1">
                  <c:v>104977</c:v>
                </c:pt>
                <c:pt idx="2">
                  <c:v>250177</c:v>
                </c:pt>
                <c:pt idx="3">
                  <c:v>207275</c:v>
                </c:pt>
                <c:pt idx="4">
                  <c:v>102449</c:v>
                </c:pt>
                <c:pt idx="5">
                  <c:v>430926</c:v>
                </c:pt>
                <c:pt idx="6">
                  <c:v>236015</c:v>
                </c:pt>
                <c:pt idx="7">
                  <c:v>380112</c:v>
                </c:pt>
                <c:pt idx="8">
                  <c:v>129961</c:v>
                </c:pt>
                <c:pt idx="9">
                  <c:v>236721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6-4AB9-AE56-47FD6D85E3CF}"/>
            </c:ext>
          </c:extLst>
        </c:ser>
        <c:ser>
          <c:idx val="3"/>
          <c:order val="3"/>
          <c:tx>
            <c:strRef>
              <c:f>'Resolução do Desafio - CAP  03'!$I$6</c:f>
              <c:strCache>
                <c:ptCount val="1"/>
                <c:pt idx="0">
                  <c:v>4º Trim.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'Resolução do Desafio - CAP  03'!$E$7:$E$16</c:f>
              <c:strCache>
                <c:ptCount val="10"/>
                <c:pt idx="0">
                  <c:v>Eduarda Midori</c:v>
                </c:pt>
                <c:pt idx="1">
                  <c:v>Analice Xavier</c:v>
                </c:pt>
                <c:pt idx="2">
                  <c:v>Maria Oliveira</c:v>
                </c:pt>
                <c:pt idx="3">
                  <c:v>Gislaine Carlos</c:v>
                </c:pt>
                <c:pt idx="4">
                  <c:v>Eduardo Silva</c:v>
                </c:pt>
                <c:pt idx="5">
                  <c:v>José Miguel</c:v>
                </c:pt>
                <c:pt idx="6">
                  <c:v>Willians Cunha</c:v>
                </c:pt>
                <c:pt idx="7">
                  <c:v>Elaine Cristina</c:v>
                </c:pt>
                <c:pt idx="8">
                  <c:v>Margarida Liberatto</c:v>
                </c:pt>
                <c:pt idx="9">
                  <c:v>Facundo Telles</c:v>
                </c:pt>
              </c:strCache>
            </c:strRef>
          </c:cat>
          <c:val>
            <c:numRef>
              <c:f>'Resolução do Desafio - CAP  03'!$I$7:$I$16</c:f>
              <c:numCache>
                <c:formatCode>_(* #,##0.00_);_(* \(#,##0.00\);_(* "-"??_);_(@_)</c:formatCode>
                <c:ptCount val="10"/>
                <c:pt idx="0">
                  <c:v>251186</c:v>
                </c:pt>
                <c:pt idx="1">
                  <c:v>155576</c:v>
                </c:pt>
                <c:pt idx="2">
                  <c:v>296350</c:v>
                </c:pt>
                <c:pt idx="3">
                  <c:v>320951</c:v>
                </c:pt>
                <c:pt idx="4">
                  <c:v>271557</c:v>
                </c:pt>
                <c:pt idx="5">
                  <c:v>328597</c:v>
                </c:pt>
                <c:pt idx="6">
                  <c:v>225470</c:v>
                </c:pt>
                <c:pt idx="7">
                  <c:v>235256</c:v>
                </c:pt>
                <c:pt idx="8">
                  <c:v>318738</c:v>
                </c:pt>
                <c:pt idx="9">
                  <c:v>243025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F6-4AB9-AE56-47FD6D85E3CF}"/>
            </c:ext>
          </c:extLst>
        </c:ser>
        <c:ser>
          <c:idx val="4"/>
          <c:order val="4"/>
          <c:tx>
            <c:strRef>
              <c:f>'Resolução do Desafio - CAP  03'!$J$6</c:f>
              <c:strCache>
                <c:ptCount val="1"/>
                <c:pt idx="0">
                  <c:v>Total Geral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'Resolução do Desafio - CAP  03'!$E$7:$E$16</c:f>
              <c:strCache>
                <c:ptCount val="10"/>
                <c:pt idx="0">
                  <c:v>Eduarda Midori</c:v>
                </c:pt>
                <c:pt idx="1">
                  <c:v>Analice Xavier</c:v>
                </c:pt>
                <c:pt idx="2">
                  <c:v>Maria Oliveira</c:v>
                </c:pt>
                <c:pt idx="3">
                  <c:v>Gislaine Carlos</c:v>
                </c:pt>
                <c:pt idx="4">
                  <c:v>Eduardo Silva</c:v>
                </c:pt>
                <c:pt idx="5">
                  <c:v>José Miguel</c:v>
                </c:pt>
                <c:pt idx="6">
                  <c:v>Willians Cunha</c:v>
                </c:pt>
                <c:pt idx="7">
                  <c:v>Elaine Cristina</c:v>
                </c:pt>
                <c:pt idx="8">
                  <c:v>Margarida Liberatto</c:v>
                </c:pt>
                <c:pt idx="9">
                  <c:v>Facundo Telles</c:v>
                </c:pt>
              </c:strCache>
            </c:strRef>
          </c:cat>
          <c:val>
            <c:numRef>
              <c:f>'Resolução do Desafio - CAP  03'!$J$7:$J$16</c:f>
              <c:numCache>
                <c:formatCode>_(* #,##0.00_);_(* \(#,##0.00\);_(* "-"??_);_(@_)</c:formatCode>
                <c:ptCount val="10"/>
                <c:pt idx="0">
                  <c:v>1076289</c:v>
                </c:pt>
                <c:pt idx="1">
                  <c:v>978682</c:v>
                </c:pt>
                <c:pt idx="2">
                  <c:v>1118650</c:v>
                </c:pt>
                <c:pt idx="3">
                  <c:v>1132576</c:v>
                </c:pt>
                <c:pt idx="4">
                  <c:v>1324029</c:v>
                </c:pt>
                <c:pt idx="5">
                  <c:v>1623024</c:v>
                </c:pt>
                <c:pt idx="6">
                  <c:v>1188104</c:v>
                </c:pt>
                <c:pt idx="7">
                  <c:v>1270663</c:v>
                </c:pt>
                <c:pt idx="8">
                  <c:v>968125</c:v>
                </c:pt>
                <c:pt idx="9">
                  <c:v>1174545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F6-4AB9-AE56-47FD6D85E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795712"/>
        <c:axId val="74179859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'Resolução do Desafio - CAP  03'!$K$6</c15:sqref>
                        </c15:formulaRef>
                      </c:ext>
                    </c:extLst>
                    <c:strCache>
                      <c:ptCount val="1"/>
                      <c:pt idx="0">
                        <c:v>% Obtida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'Resolução do Desafio - CAP  03'!$E$7:$E$16</c15:sqref>
                        </c15:formulaRef>
                      </c:ext>
                    </c:extLst>
                    <c:strCache>
                      <c:ptCount val="10"/>
                      <c:pt idx="0">
                        <c:v>Eduarda Midori</c:v>
                      </c:pt>
                      <c:pt idx="1">
                        <c:v>Analice Xavier</c:v>
                      </c:pt>
                      <c:pt idx="2">
                        <c:v>Maria Oliveira</c:v>
                      </c:pt>
                      <c:pt idx="3">
                        <c:v>Gislaine Carlos</c:v>
                      </c:pt>
                      <c:pt idx="4">
                        <c:v>Eduardo Silva</c:v>
                      </c:pt>
                      <c:pt idx="5">
                        <c:v>José Miguel</c:v>
                      </c:pt>
                      <c:pt idx="6">
                        <c:v>Willians Cunha</c:v>
                      </c:pt>
                      <c:pt idx="7">
                        <c:v>Elaine Cristina</c:v>
                      </c:pt>
                      <c:pt idx="8">
                        <c:v>Margarida Liberatto</c:v>
                      </c:pt>
                      <c:pt idx="9">
                        <c:v>Facundo Telles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'Resolução do Desafio - CAP  03'!$K$7:$K$16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0"/>
                      <c:pt idx="0">
                        <c:v>0.65229636363636367</c:v>
                      </c:pt>
                      <c:pt idx="1">
                        <c:v>0.59314060606060603</c:v>
                      </c:pt>
                      <c:pt idx="2">
                        <c:v>0.677969696969697</c:v>
                      </c:pt>
                      <c:pt idx="3">
                        <c:v>0.686409696969697</c:v>
                      </c:pt>
                      <c:pt idx="4">
                        <c:v>0.80244181818181815</c:v>
                      </c:pt>
                      <c:pt idx="5">
                        <c:v>0.98365090909090913</c:v>
                      </c:pt>
                      <c:pt idx="6">
                        <c:v>0.72006303030303032</c:v>
                      </c:pt>
                      <c:pt idx="7">
                        <c:v>0.77009878787878783</c:v>
                      </c:pt>
                      <c:pt idx="8">
                        <c:v>0.58674242424242429</c:v>
                      </c:pt>
                      <c:pt idx="9">
                        <c:v>0.71184545454545456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F6-4AB9-AE56-47FD6D85E3CF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'Resolução do Desafio - CAP  03'!$L$6</c:f>
              <c:strCache>
                <c:ptCount val="1"/>
                <c:pt idx="0">
                  <c:v>Evolução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'Resolução do Desafio - CAP  03'!$E$7:$E$16</c:f>
              <c:strCache>
                <c:ptCount val="10"/>
                <c:pt idx="0">
                  <c:v>Eduarda Midori</c:v>
                </c:pt>
                <c:pt idx="1">
                  <c:v>Analice Xavier</c:v>
                </c:pt>
                <c:pt idx="2">
                  <c:v>Maria Oliveira</c:v>
                </c:pt>
                <c:pt idx="3">
                  <c:v>Gislaine Carlos</c:v>
                </c:pt>
                <c:pt idx="4">
                  <c:v>Eduardo Silva</c:v>
                </c:pt>
                <c:pt idx="5">
                  <c:v>José Miguel</c:v>
                </c:pt>
                <c:pt idx="6">
                  <c:v>Willians Cunha</c:v>
                </c:pt>
                <c:pt idx="7">
                  <c:v>Elaine Cristina</c:v>
                </c:pt>
                <c:pt idx="8">
                  <c:v>Margarida Liberatto</c:v>
                </c:pt>
                <c:pt idx="9">
                  <c:v>Facundo Telles</c:v>
                </c:pt>
              </c:strCache>
            </c:strRef>
          </c:cat>
          <c:val>
            <c:numRef>
              <c:f>'Resolução do Desafio - CAP  03'!$L$7:$L$16</c:f>
              <c:numCache>
                <c:formatCode>_(* #,##0.00_);_(* \(#,##0.00\);_(* "-"??_);_(@_)</c:formatCode>
                <c:ptCount val="10"/>
                <c:pt idx="0">
                  <c:v>109508</c:v>
                </c:pt>
                <c:pt idx="1">
                  <c:v>-589455</c:v>
                </c:pt>
                <c:pt idx="2">
                  <c:v>-97070</c:v>
                </c:pt>
                <c:pt idx="3">
                  <c:v>330205</c:v>
                </c:pt>
                <c:pt idx="4">
                  <c:v>88642</c:v>
                </c:pt>
                <c:pt idx="5">
                  <c:v>857803</c:v>
                </c:pt>
                <c:pt idx="6">
                  <c:v>-140926</c:v>
                </c:pt>
                <c:pt idx="7">
                  <c:v>-82475</c:v>
                </c:pt>
                <c:pt idx="8">
                  <c:v>-50418</c:v>
                </c:pt>
                <c:pt idx="9">
                  <c:v>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F6-4AB9-AE56-47FD6D85E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841968"/>
        <c:axId val="671842448"/>
      </c:lineChart>
      <c:catAx>
        <c:axId val="74179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1798592"/>
        <c:crosses val="autoZero"/>
        <c:auto val="1"/>
        <c:lblAlgn val="ctr"/>
        <c:lblOffset val="100"/>
        <c:noMultiLvlLbl val="0"/>
      </c:catAx>
      <c:valAx>
        <c:axId val="74179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1795712"/>
        <c:crosses val="autoZero"/>
        <c:crossBetween val="between"/>
      </c:valAx>
      <c:valAx>
        <c:axId val="671842448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1841968"/>
        <c:crosses val="max"/>
        <c:crossBetween val="between"/>
      </c:valAx>
      <c:catAx>
        <c:axId val="671841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18424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'Média Salarial'!$B$2</c:f>
          <c:strCache>
            <c:ptCount val="1"/>
            <c:pt idx="0">
              <c:v>Média Salarial 2017 - 2020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'Média Salarial'!$I$3</c:f>
              <c:strCache>
                <c:ptCount val="1"/>
                <c:pt idx="0">
                  <c:v>Média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'Média Salarial'!$C$4:$C$10</c:f>
              <c:strCache>
                <c:ptCount val="7"/>
                <c:pt idx="0">
                  <c:v>Arthur</c:v>
                </c:pt>
                <c:pt idx="1">
                  <c:v>Carmen</c:v>
                </c:pt>
                <c:pt idx="2">
                  <c:v>Davi</c:v>
                </c:pt>
                <c:pt idx="3">
                  <c:v>Eduardo</c:v>
                </c:pt>
                <c:pt idx="4">
                  <c:v>Danilo</c:v>
                </c:pt>
                <c:pt idx="5">
                  <c:v>Tallia</c:v>
                </c:pt>
                <c:pt idx="6">
                  <c:v>Victor</c:v>
                </c:pt>
              </c:strCache>
            </c:strRef>
          </c:cat>
          <c:val>
            <c:numRef>
              <c:f>'Média Salarial'!$I$4:$I$10</c:f>
              <c:numCache>
                <c:formatCode>_(* #,##0.00_);_(* \(#,##0.00\);_(* "-"??_);_(@_)</c:formatCode>
                <c:ptCount val="7"/>
                <c:pt idx="0">
                  <c:v>3937.25</c:v>
                </c:pt>
                <c:pt idx="1">
                  <c:v>9793.5</c:v>
                </c:pt>
                <c:pt idx="2">
                  <c:v>8226.5</c:v>
                </c:pt>
                <c:pt idx="3">
                  <c:v>4137.75</c:v>
                </c:pt>
                <c:pt idx="4">
                  <c:v>9364</c:v>
                </c:pt>
                <c:pt idx="5">
                  <c:v>7616.25</c:v>
                </c:pt>
                <c:pt idx="6">
                  <c:v>6077.75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10-4E94-BF35-569559E90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8496"/>
        <c:axId val="709225544"/>
      </c:areaChart>
      <c:barChart>
        <c:barDir val="col"/>
        <c:grouping val="clustered"/>
        <c:varyColors val="0"/>
        <c:ser>
          <c:idx val="0"/>
          <c:order val="0"/>
          <c:tx>
            <c:strRef>
              <c:f>'Média Salarial'!$E$3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'Média Salarial'!$C$4:$C$10</c:f>
              <c:strCache>
                <c:ptCount val="7"/>
                <c:pt idx="0">
                  <c:v>Arthur</c:v>
                </c:pt>
                <c:pt idx="1">
                  <c:v>Carmen</c:v>
                </c:pt>
                <c:pt idx="2">
                  <c:v>Davi</c:v>
                </c:pt>
                <c:pt idx="3">
                  <c:v>Eduardo</c:v>
                </c:pt>
                <c:pt idx="4">
                  <c:v>Danilo</c:v>
                </c:pt>
                <c:pt idx="5">
                  <c:v>Tallia</c:v>
                </c:pt>
                <c:pt idx="6">
                  <c:v>Victor</c:v>
                </c:pt>
              </c:strCache>
            </c:strRef>
          </c:cat>
          <c:val>
            <c:numRef>
              <c:f>'Média Salarial'!$E$4:$E$10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9363</c:v>
                </c:pt>
                <c:pt idx="2">
                  <c:v>7763</c:v>
                </c:pt>
                <c:pt idx="3">
                  <c:v>3716</c:v>
                </c:pt>
                <c:pt idx="4">
                  <c:v>8945</c:v>
                </c:pt>
                <c:pt idx="5">
                  <c:v>7134</c:v>
                </c:pt>
                <c:pt idx="6">
                  <c:v>5609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0-4E94-BF35-569559E90D10}"/>
            </c:ext>
          </c:extLst>
        </c:ser>
        <c:ser>
          <c:idx val="1"/>
          <c:order val="1"/>
          <c:tx>
            <c:strRef>
              <c:f>'Média Salarial'!$F$3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'Média Salarial'!$C$4:$C$10</c:f>
              <c:strCache>
                <c:ptCount val="7"/>
                <c:pt idx="0">
                  <c:v>Arthur</c:v>
                </c:pt>
                <c:pt idx="1">
                  <c:v>Carmen</c:v>
                </c:pt>
                <c:pt idx="2">
                  <c:v>Davi</c:v>
                </c:pt>
                <c:pt idx="3">
                  <c:v>Eduardo</c:v>
                </c:pt>
                <c:pt idx="4">
                  <c:v>Danilo</c:v>
                </c:pt>
                <c:pt idx="5">
                  <c:v>Tallia</c:v>
                </c:pt>
                <c:pt idx="6">
                  <c:v>Victor</c:v>
                </c:pt>
              </c:strCache>
            </c:strRef>
          </c:cat>
          <c:val>
            <c:numRef>
              <c:f>'Média Salarial'!$F$4:$F$10</c:f>
              <c:numCache>
                <c:formatCode>_(* #,##0.00_);_(* \(#,##0.00\);_(* "-"??_);_(@_)</c:formatCode>
                <c:ptCount val="7"/>
                <c:pt idx="0">
                  <c:v>4969</c:v>
                </c:pt>
                <c:pt idx="1">
                  <c:v>9684</c:v>
                </c:pt>
                <c:pt idx="2">
                  <c:v>8084</c:v>
                </c:pt>
                <c:pt idx="3">
                  <c:v>4037</c:v>
                </c:pt>
                <c:pt idx="4">
                  <c:v>9266</c:v>
                </c:pt>
                <c:pt idx="5">
                  <c:v>7455</c:v>
                </c:pt>
                <c:pt idx="6">
                  <c:v>5930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0-4E94-BF35-569559E90D10}"/>
            </c:ext>
          </c:extLst>
        </c:ser>
        <c:ser>
          <c:idx val="2"/>
          <c:order val="2"/>
          <c:tx>
            <c:strRef>
              <c:f>'Média Salarial'!$G$3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'Média Salarial'!$C$4:$C$10</c:f>
              <c:strCache>
                <c:ptCount val="7"/>
                <c:pt idx="0">
                  <c:v>Arthur</c:v>
                </c:pt>
                <c:pt idx="1">
                  <c:v>Carmen</c:v>
                </c:pt>
                <c:pt idx="2">
                  <c:v>Davi</c:v>
                </c:pt>
                <c:pt idx="3">
                  <c:v>Eduardo</c:v>
                </c:pt>
                <c:pt idx="4">
                  <c:v>Danilo</c:v>
                </c:pt>
                <c:pt idx="5">
                  <c:v>Tallia</c:v>
                </c:pt>
                <c:pt idx="6">
                  <c:v>Victor</c:v>
                </c:pt>
              </c:strCache>
            </c:strRef>
          </c:cat>
          <c:val>
            <c:numRef>
              <c:f>'Média Salarial'!$G$4:$G$10</c:f>
              <c:numCache>
                <c:formatCode>_(* #,##0.00_);_(* \(#,##0.00\);_(* "-"??_);_(@_)</c:formatCode>
                <c:ptCount val="7"/>
                <c:pt idx="0">
                  <c:v>5290</c:v>
                </c:pt>
                <c:pt idx="1">
                  <c:v>10005</c:v>
                </c:pt>
                <c:pt idx="2">
                  <c:v>8405</c:v>
                </c:pt>
                <c:pt idx="3">
                  <c:v>4358</c:v>
                </c:pt>
                <c:pt idx="4">
                  <c:v>9587</c:v>
                </c:pt>
                <c:pt idx="5">
                  <c:v>7776</c:v>
                </c:pt>
                <c:pt idx="6">
                  <c:v>6251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10-4E94-BF35-569559E90D10}"/>
            </c:ext>
          </c:extLst>
        </c:ser>
        <c:ser>
          <c:idx val="4"/>
          <c:order val="4"/>
          <c:tx>
            <c:strRef>
              <c:f>'Média Salarial'!$H$3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'Média Salarial'!$H$4:$H$10</c:f>
              <c:numCache>
                <c:formatCode>_(* #,##0.00_);_(* \(#,##0.00\);_(* "-"??_);_(@_)</c:formatCode>
                <c:ptCount val="7"/>
                <c:pt idx="0">
                  <c:v>5490</c:v>
                </c:pt>
                <c:pt idx="1">
                  <c:v>10122</c:v>
                </c:pt>
                <c:pt idx="2">
                  <c:v>8654</c:v>
                </c:pt>
                <c:pt idx="3">
                  <c:v>4440</c:v>
                </c:pt>
                <c:pt idx="4">
                  <c:v>9658</c:v>
                </c:pt>
                <c:pt idx="5">
                  <c:v>8100</c:v>
                </c:pt>
                <c:pt idx="6">
                  <c:v>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0-44F9-B5C9-1A75672CA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709228496"/>
        <c:axId val="709225544"/>
      </c:barChart>
      <c:catAx>
        <c:axId val="70922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225544"/>
        <c:crosses val="autoZero"/>
        <c:auto val="1"/>
        <c:lblAlgn val="ctr"/>
        <c:lblOffset val="100"/>
        <c:noMultiLvlLbl val="0"/>
      </c:catAx>
      <c:valAx>
        <c:axId val="70922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2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Aniversários por Mês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'PROJETO DESAFIO MES'!$E$6</c:f>
              <c:strCache>
                <c:ptCount val="1"/>
                <c:pt idx="0">
                  <c:v>Mês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'PROJETO DESAFIO MES'!$C$7:$D$14</c15:sqref>
                  </c15:fullRef>
                  <c15:levelRef>
                    <c15:sqref>'PROJETO DESAFIO MES'!$C$7:$C$14</c15:sqref>
                  </c15:levelRef>
                </c:ext>
              </c:extLst>
              <c:f>'PROJETO DESAFIO MES'!$C$7:$C$14</c:f>
              <c:strCache>
                <c:ptCount val="3"/>
                <c:pt idx="0">
                  <c:v>Arthur Guimarães</c:v>
                </c:pt>
                <c:pt idx="1">
                  <c:v>Carmen Oliveira</c:v>
                </c:pt>
                <c:pt idx="2">
                  <c:v>Victor Shunsuke</c:v>
                </c:pt>
              </c:strCache>
            </c:strRef>
          </c:cat>
          <c:val>
            <c:numRef>
              <c:f>'PROJETO DESAFIO MES'!$E$7:$E$14</c:f>
              <c:numCache>
                <c:formatCode>General</c:formatCode>
                <c:ptCount val="3"/>
                <c:pt idx="0">
                  <c:v>1</c:v>
                </c:pt>
                <c:pt idx="1">
                  <c:v>4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C-4FE3-905C-83C6AF2940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90731055"/>
        <c:axId val="890726255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'PROJETO DESAFIO MES'!$F$6</c15:sqref>
                        </c15:formulaRef>
                      </c:ext>
                    </c:extLst>
                    <c:strCache>
                      <c:ptCount val="1"/>
                      <c:pt idx="0">
                        <c:v>Mês por Extenso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'PROJETO DESAFIO MES'!$C$7:$D$14</c15:sqref>
                        </c15:fullRef>
                        <c15:levelRef>
                          <c15:sqref>'PROJETO DESAFIO MES'!$C$7:$C$14</c15:sqref>
                        </c15:levelRef>
                        <c15:formulaRef>
                          <c15:sqref>'PROJETO DESAFIO MES'!$C$7:$C$14</c15:sqref>
                        </c15:formulaRef>
                      </c:ext>
                    </c:extLst>
                    <c:strCache>
                      <c:ptCount val="3"/>
                      <c:pt idx="0">
                        <c:v>Arthur Guimarães</c:v>
                      </c:pt>
                      <c:pt idx="1">
                        <c:v>Carmen Oliveira</c:v>
                      </c:pt>
                      <c:pt idx="2">
                        <c:v>Victor Shunsuke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'PROJETO DESAFIO MES'!$F$7:$F$14</c15:sqref>
                        </c15:formulaRef>
                      </c:ext>
                    </c:extLst>
                    <c:numCache>
                      <c:formatCode>mmmm</c:formatCode>
                      <c:ptCount val="3"/>
                      <c:pt idx="0">
                        <c:v>41645</c:v>
                      </c:pt>
                      <c:pt idx="1">
                        <c:v>22017</c:v>
                      </c:pt>
                      <c:pt idx="2">
                        <c:v>39226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85C-4FE3-905C-83C6AF294009}"/>
                  </c:ext>
                </c:extLst>
              </c15:ser>
            </c15:filteredBarSeries>
          </c:ext>
        </c:extLst>
      </c:barChart>
      <c:catAx>
        <c:axId val="89073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0726255"/>
        <c:crosses val="autoZero"/>
        <c:auto val="1"/>
        <c:lblAlgn val="ctr"/>
        <c:lblOffset val="100"/>
        <c:noMultiLvlLbl val="0"/>
      </c:catAx>
      <c:valAx>
        <c:axId val="89072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073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bg1"/>
                </a:solidFill>
              </a:rPr>
              <a:t>Distribuição de Despesas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'PROJETO DESAFIO MES'!$K$6</c:f>
              <c:strCache>
                <c:ptCount val="1"/>
                <c:pt idx="0">
                  <c:v>Valor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'PROJETO DESAFIO MES'!$I$7:$J$13</c15:sqref>
                  </c15:fullRef>
                  <c15:levelRef>
                    <c15:sqref>'PROJETO DESAFIO MES'!$I$7:$I$13</c15:sqref>
                  </c15:levelRef>
                </c:ext>
              </c:extLst>
              <c:f>'PROJETO DESAFIO MES'!$I$7:$I$13</c:f>
              <c:strCache>
                <c:ptCount val="3"/>
                <c:pt idx="0">
                  <c:v>Água</c:v>
                </c:pt>
                <c:pt idx="1">
                  <c:v>Aluguel Escritório</c:v>
                </c:pt>
                <c:pt idx="2">
                  <c:v>Telefone</c:v>
                </c:pt>
              </c:strCache>
            </c:strRef>
          </c:cat>
          <c:val>
            <c:numRef>
              <c:f>'PROJETO DESAFIO MES'!$K$7:$K$13</c:f>
              <c:numCache>
                <c:formatCode>_("R$"* #,##0.00_);_("R$"* \(#,##0.00\);_("R$"* "-"??_);_(@_)</c:formatCode>
                <c:ptCount val="3"/>
                <c:pt idx="0">
                  <c:v>78.430000000000007</c:v>
                </c:pt>
                <c:pt idx="1">
                  <c:v>800</c:v>
                </c:pt>
                <c:pt idx="2">
                  <c:v>128.47999999999999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C-4BE9-BE4A-2AFD9D150F75}"/>
            </c:ext>
          </c:extLst>
        </c:ser>
        <c:ser>
          <c:idx val="1"/>
          <c:order val="1"/>
          <c:tx>
            <c:strRef>
              <c:f>'PROJETO DESAFIO MES'!$L$6</c:f>
              <c:strCache>
                <c:ptCount val="1"/>
                <c:pt idx="0">
                  <c:v>Dia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'PROJETO DESAFIO MES'!$I$7:$J$13</c15:sqref>
                  </c15:fullRef>
                  <c15:levelRef>
                    <c15:sqref>'PROJETO DESAFIO MES'!$I$7:$I$13</c15:sqref>
                  </c15:levelRef>
                </c:ext>
              </c:extLst>
              <c:f>'PROJETO DESAFIO MES'!$I$7:$I$13</c:f>
              <c:strCache>
                <c:ptCount val="3"/>
                <c:pt idx="0">
                  <c:v>Água</c:v>
                </c:pt>
                <c:pt idx="1">
                  <c:v>Aluguel Escritório</c:v>
                </c:pt>
                <c:pt idx="2">
                  <c:v>Telefone</c:v>
                </c:pt>
              </c:strCache>
            </c:strRef>
          </c:cat>
          <c:val>
            <c:numRef>
              <c:f>'PROJETO DESAFIO MES'!$L$7:$L$13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C-4BE9-BE4A-2AFD9D15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8140048"/>
        <c:axId val="20813716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'PROJETO DESAFIO MES'!$M$6</c15:sqref>
                        </c15:formulaRef>
                      </c:ext>
                    </c:extLst>
                    <c:strCache>
                      <c:ptCount val="1"/>
                      <c:pt idx="0">
                        <c:v>Informação por extenso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'PROJETO DESAFIO MES'!$I$7:$J$13</c15:sqref>
                        </c15:fullRef>
                        <c15:levelRef>
                          <c15:sqref>'PROJETO DESAFIO MES'!$I$7:$I$13</c15:sqref>
                        </c15:levelRef>
                        <c15:formulaRef>
                          <c15:sqref>'PROJETO DESAFIO MES'!$I$7:$I$13</c15:sqref>
                        </c15:formulaRef>
                      </c:ext>
                    </c:extLst>
                    <c:strCache>
                      <c:ptCount val="3"/>
                      <c:pt idx="0">
                        <c:v>Água</c:v>
                      </c:pt>
                      <c:pt idx="1">
                        <c:v>Aluguel Escritório</c:v>
                      </c:pt>
                      <c:pt idx="2">
                        <c:v>Telefone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'PROJETO DESAFIO MES'!$M$7:$M$13</c15:sqref>
                        </c15:formulaRef>
                      </c:ext>
                    </c:extLst>
                    <c:numCache>
                      <c:formatCode>dddd</c:formatCode>
                      <c:ptCount val="3"/>
                      <c:pt idx="0">
                        <c:v>45601</c:v>
                      </c:pt>
                      <c:pt idx="1">
                        <c:v>45606</c:v>
                      </c:pt>
                      <c:pt idx="2">
                        <c:v>45601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F2C-4BE9-BE4A-2AFD9D150F75}"/>
                  </c:ext>
                </c:extLst>
              </c15:ser>
            </c15:filteredBarSeries>
          </c:ext>
        </c:extLst>
      </c:barChart>
      <c:catAx>
        <c:axId val="2081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137168"/>
        <c:crosses val="autoZero"/>
        <c:auto val="1"/>
        <c:lblAlgn val="ctr"/>
        <c:lblOffset val="100"/>
        <c:noMultiLvlLbl val="0"/>
      </c:catAx>
      <c:valAx>
        <c:axId val="2081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14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Pedidos por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891-447D-8DB6-D4F9F4D3AEEF}"/>
              </c:ext>
            </c:extLst>
          </c:dPt>
          <c:cat>
            <c:strRef>
              <c:f>'PROJETO DESAFIO MES'!$Q$7:$Q$18</c:f>
              <c:strCache>
                <c:ptCount val="4"/>
                <c:pt idx="0">
                  <c:v>Gravatas</c:v>
                </c:pt>
                <c:pt idx="1">
                  <c:v>Gravatas</c:v>
                </c:pt>
                <c:pt idx="2">
                  <c:v>Tênis</c:v>
                </c:pt>
                <c:pt idx="3">
                  <c:v>Camisas</c:v>
                </c:pt>
              </c:strCache>
            </c:strRef>
          </c:cat>
          <c:val>
            <c:numRef>
              <c:f>'PROJETO DESAFIO MES'!$S$7:$S$18</c:f>
              <c:numCache>
                <c:formatCode>General</c:formatCode>
                <c:ptCount val="4"/>
                <c:pt idx="0">
                  <c:v>2024</c:v>
                </c:pt>
                <c:pt idx="1">
                  <c:v>2024</c:v>
                </c:pt>
                <c:pt idx="2">
                  <c:v>2024</c:v>
                </c:pt>
                <c:pt idx="3">
                  <c:v>2024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8-4054-8C14-E7E03BF4752B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891-447D-8DB6-D4F9F4D3AEEF}"/>
              </c:ext>
            </c:extLst>
          </c:dPt>
          <c:cat>
            <c:strRef>
              <c:f>'PROJETO DESAFIO MES'!$Q$7:$Q$18</c:f>
              <c:strCache>
                <c:ptCount val="4"/>
                <c:pt idx="0">
                  <c:v>Gravatas</c:v>
                </c:pt>
                <c:pt idx="1">
                  <c:v>Gravatas</c:v>
                </c:pt>
                <c:pt idx="2">
                  <c:v>Tênis</c:v>
                </c:pt>
                <c:pt idx="3">
                  <c:v>Camisas</c:v>
                </c:pt>
              </c:strCache>
            </c:strRef>
          </c:cat>
          <c:val>
            <c:numRef>
              <c:f>'PROJETO DESAFIO MES'!$U$7:$U$18</c:f>
              <c:numCache>
                <c:formatCode>#,##0.00</c:formatCode>
                <c:ptCount val="4"/>
                <c:pt idx="0">
                  <c:v>588</c:v>
                </c:pt>
                <c:pt idx="1">
                  <c:v>700</c:v>
                </c:pt>
                <c:pt idx="2">
                  <c:v>2000</c:v>
                </c:pt>
                <c:pt idx="3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8-4054-8C14-E7E03BF47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2881776"/>
        <c:axId val="182902416"/>
      </c:barChart>
      <c:catAx>
        <c:axId val="1828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902416"/>
        <c:crosses val="autoZero"/>
        <c:auto val="1"/>
        <c:lblAlgn val="ctr"/>
        <c:lblOffset val="100"/>
        <c:noMultiLvlLbl val="0"/>
      </c:catAx>
      <c:valAx>
        <c:axId val="1829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8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solidFill>
                  <a:schemeClr val="bg1"/>
                </a:solidFill>
              </a:rPr>
              <a:t>Comparação de Salários Atuais e Novos Salários</a:t>
            </a:r>
            <a:endParaRPr lang="pt-BR" b="1">
              <a:solidFill>
                <a:schemeClr val="bg1"/>
              </a:solidFill>
            </a:endParaRPr>
          </a:p>
        </c:rich>
      </c:tx>
      <c:overlay val="0"/>
      <c:spPr>
        <a:solidFill>
          <a:schemeClr val="accent1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'Função Se Desafio II'!$G$8</c:f>
              <c:strCache>
                <c:ptCount val="1"/>
                <c:pt idx="0">
                  <c:v>Salário atual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('Função Se Desafio II'!$D$9:$D$20,'Função Se Desafio II'!$D$9:$D$20)</c:f>
              <c:strCache>
                <c:ptCount val="10"/>
                <c:pt idx="0">
                  <c:v>Arthur Guimarães</c:v>
                </c:pt>
                <c:pt idx="1">
                  <c:v>Sérgio Reis</c:v>
                </c:pt>
                <c:pt idx="2">
                  <c:v>Victor Yto</c:v>
                </c:pt>
                <c:pt idx="3">
                  <c:v>Carmen Oliveira</c:v>
                </c:pt>
                <c:pt idx="4">
                  <c:v>Juarez Marquez</c:v>
                </c:pt>
                <c:pt idx="5">
                  <c:v>Arthur Guimarães</c:v>
                </c:pt>
                <c:pt idx="6">
                  <c:v>Sérgio Reis</c:v>
                </c:pt>
                <c:pt idx="7">
                  <c:v>Victor Yto</c:v>
                </c:pt>
                <c:pt idx="8">
                  <c:v>Carmen Oliveira</c:v>
                </c:pt>
                <c:pt idx="9">
                  <c:v>Juarez Marquez</c:v>
                </c:pt>
              </c:strCache>
            </c:strRef>
          </c:cat>
          <c:val>
            <c:numRef>
              <c:f>('Função Se Desafio II'!$G$9:$G$20,'Função Se Desafio II'!$G$9:$G$20)</c:f>
              <c:numCache>
                <c:formatCode>#,##0.00</c:formatCode>
                <c:ptCount val="10"/>
                <c:pt idx="0">
                  <c:v>12391</c:v>
                </c:pt>
                <c:pt idx="1">
                  <c:v>11877</c:v>
                </c:pt>
                <c:pt idx="2">
                  <c:v>7531</c:v>
                </c:pt>
                <c:pt idx="3">
                  <c:v>12452</c:v>
                </c:pt>
                <c:pt idx="4">
                  <c:v>11866</c:v>
                </c:pt>
                <c:pt idx="5">
                  <c:v>12391</c:v>
                </c:pt>
                <c:pt idx="6">
                  <c:v>11877</c:v>
                </c:pt>
                <c:pt idx="7">
                  <c:v>7531</c:v>
                </c:pt>
                <c:pt idx="8">
                  <c:v>12452</c:v>
                </c:pt>
                <c:pt idx="9">
                  <c:v>11866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C-49F0-B05F-8F6BF0789F88}"/>
            </c:ext>
          </c:extLst>
        </c:ser>
        <c:ser>
          <c:idx val="1"/>
          <c:order val="1"/>
          <c:tx>
            <c:strRef>
              <c:f>'Função Se Desafio II'!$I$8</c:f>
              <c:strCache>
                <c:ptCount val="1"/>
                <c:pt idx="0">
                  <c:v>Novo Salário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('Função Se Desafio II'!$D$9:$D$20,'Função Se Desafio II'!$D$9:$D$20)</c:f>
              <c:strCache>
                <c:ptCount val="10"/>
                <c:pt idx="0">
                  <c:v>Arthur Guimarães</c:v>
                </c:pt>
                <c:pt idx="1">
                  <c:v>Sérgio Reis</c:v>
                </c:pt>
                <c:pt idx="2">
                  <c:v>Victor Yto</c:v>
                </c:pt>
                <c:pt idx="3">
                  <c:v>Carmen Oliveira</c:v>
                </c:pt>
                <c:pt idx="4">
                  <c:v>Juarez Marquez</c:v>
                </c:pt>
                <c:pt idx="5">
                  <c:v>Arthur Guimarães</c:v>
                </c:pt>
                <c:pt idx="6">
                  <c:v>Sérgio Reis</c:v>
                </c:pt>
                <c:pt idx="7">
                  <c:v>Victor Yto</c:v>
                </c:pt>
                <c:pt idx="8">
                  <c:v>Carmen Oliveira</c:v>
                </c:pt>
                <c:pt idx="9">
                  <c:v>Juarez Marquez</c:v>
                </c:pt>
              </c:strCache>
            </c:strRef>
          </c:cat>
          <c:val>
            <c:numRef>
              <c:f>('Função Se Desafio II'!$I$9:$I$20,'Função Se Desafio II'!$I$9:$I$20)</c:f>
              <c:numCache>
                <c:formatCode>#,##0.00</c:formatCode>
                <c:ptCount val="10"/>
                <c:pt idx="0">
                  <c:v>14249.65</c:v>
                </c:pt>
                <c:pt idx="1">
                  <c:v>13658.55</c:v>
                </c:pt>
                <c:pt idx="2">
                  <c:v>8660.65</c:v>
                </c:pt>
                <c:pt idx="3">
                  <c:v>14319.8</c:v>
                </c:pt>
                <c:pt idx="4">
                  <c:v>13645.9</c:v>
                </c:pt>
                <c:pt idx="5">
                  <c:v>14249.65</c:v>
                </c:pt>
                <c:pt idx="6">
                  <c:v>13658.55</c:v>
                </c:pt>
                <c:pt idx="7">
                  <c:v>8660.65</c:v>
                </c:pt>
                <c:pt idx="8">
                  <c:v>14319.8</c:v>
                </c:pt>
                <c:pt idx="9">
                  <c:v>13645.9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C-49F0-B05F-8F6BF0789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7497296"/>
        <c:axId val="407507856"/>
      </c:barChart>
      <c:catAx>
        <c:axId val="4074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7507856"/>
        <c:crosses val="autoZero"/>
        <c:auto val="1"/>
        <c:lblAlgn val="ctr"/>
        <c:lblOffset val="100"/>
        <c:noMultiLvlLbl val="0"/>
      </c:catAx>
      <c:valAx>
        <c:axId val="4075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749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Grafico Teste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I Pt1'!$E$9:$F$9</c:f>
              <c:strCache>
                <c:ptCount val="2"/>
                <c:pt idx="0">
                  <c:v>Basquete</c:v>
                </c:pt>
                <c:pt idx="1">
                  <c:v>Arthur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Pt1'!$G$9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2-4629-AF4D-72DD02B1BE03}"/>
            </c:ext>
          </c:extLst>
        </c:ser>
        <c:ser>
          <c:idx val="1"/>
          <c:order val="1"/>
          <c:tx>
            <c:strRef>
              <c:f>'Gráfico I Pt1'!$E$10:$F$10</c:f>
              <c:strCache>
                <c:ptCount val="2"/>
                <c:pt idx="0">
                  <c:v>Futebol</c:v>
                </c:pt>
                <c:pt idx="1">
                  <c:v>Davi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Pt1'!$G$10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2-4629-AF4D-72DD02B1BE03}"/>
            </c:ext>
          </c:extLst>
        </c:ser>
        <c:ser>
          <c:idx val="2"/>
          <c:order val="2"/>
          <c:tx>
            <c:strRef>
              <c:f>'Gráfico I Pt1'!$E$11:$F$11</c:f>
              <c:strCache>
                <c:ptCount val="2"/>
                <c:pt idx="0">
                  <c:v>Judo</c:v>
                </c:pt>
                <c:pt idx="1">
                  <c:v>Tallia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Pt1'!$G$11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2-4629-AF4D-72DD02B1BE03}"/>
            </c:ext>
          </c:extLst>
        </c:ser>
        <c:ser>
          <c:idx val="3"/>
          <c:order val="3"/>
          <c:tx>
            <c:strRef>
              <c:f>'Gráfico I Pt1'!$E$12:$F$12</c:f>
              <c:strCache>
                <c:ptCount val="2"/>
                <c:pt idx="0">
                  <c:v>Karate</c:v>
                </c:pt>
                <c:pt idx="1">
                  <c:v>Eduardo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Pt1'!$G$12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12-4629-AF4D-72DD02B1BE03}"/>
            </c:ext>
          </c:extLst>
        </c:ser>
        <c:ser>
          <c:idx val="4"/>
          <c:order val="4"/>
          <c:tx>
            <c:strRef>
              <c:f>'Gráfico I Pt1'!$E$13:$F$13</c:f>
              <c:strCache>
                <c:ptCount val="2"/>
                <c:pt idx="0">
                  <c:v>Kung Fu</c:v>
                </c:pt>
                <c:pt idx="1">
                  <c:v>Danilo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Pt1'!$G$13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12-4629-AF4D-72DD02B1BE03}"/>
            </c:ext>
          </c:extLst>
        </c:ser>
        <c:ser>
          <c:idx val="5"/>
          <c:order val="5"/>
          <c:tx>
            <c:strRef>
              <c:f>'Gráfico I Pt1'!$E$14:$F$14</c:f>
              <c:strCache>
                <c:ptCount val="2"/>
                <c:pt idx="0">
                  <c:v>Tenis</c:v>
                </c:pt>
                <c:pt idx="1">
                  <c:v>Carmen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Pt1'!$G$14</c:f>
              <c:numCache>
                <c:formatCode>General</c:formatCode>
                <c:ptCount val="1"/>
                <c:pt idx="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12-4629-AF4D-72DD02B1BE03}"/>
            </c:ext>
          </c:extLst>
        </c:ser>
        <c:ser>
          <c:idx val="6"/>
          <c:order val="6"/>
          <c:tx>
            <c:strRef>
              <c:f>'Gráfico I Pt1'!$E$15:$F$15</c:f>
              <c:strCache>
                <c:ptCount val="2"/>
                <c:pt idx="0">
                  <c:v>Volei</c:v>
                </c:pt>
                <c:pt idx="1">
                  <c:v>Luzinete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Pt1'!$G$15</c:f>
              <c:numCache>
                <c:formatCode>General</c:formatCode>
                <c:ptCount val="1"/>
                <c:pt idx="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12-4629-AF4D-72DD02B1BE03}"/>
            </c:ext>
          </c:extLst>
        </c:ser>
        <c:ser>
          <c:idx val="7"/>
          <c:order val="7"/>
          <c:tx>
            <c:strRef>
              <c:f>'Gráfico I Pt1'!$E$16:$F$16</c:f>
              <c:strCache>
                <c:ptCount val="2"/>
                <c:pt idx="0">
                  <c:v>Xadrez</c:v>
                </c:pt>
                <c:pt idx="1">
                  <c:v>Victor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 I Pt1'!$G$8</c:f>
              <c:strCache>
                <c:ptCount val="1"/>
                <c:pt idx="0">
                  <c:v>Idade</c:v>
                </c:pt>
              </c:strCache>
            </c:strRef>
          </c:cat>
          <c:val>
            <c:numRef>
              <c:f>'Gráfico I Pt1'!$G$16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12-4629-AF4D-72DD02B1BE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917328"/>
        <c:axId val="195919728"/>
      </c:barChart>
      <c:catAx>
        <c:axId val="19591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919728"/>
        <c:crosses val="autoZero"/>
        <c:auto val="1"/>
        <c:lblAlgn val="ctr"/>
        <c:lblOffset val="100"/>
        <c:noMultiLvlLbl val="0"/>
      </c:catAx>
      <c:valAx>
        <c:axId val="1959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9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'Gráfico I Pt2'!$F$6</c:f>
              <c:strCache>
                <c:ptCount val="1"/>
                <c:pt idx="0">
                  <c:v>Idade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 I Pt2'!$E$7:$E$14</c:f>
              <c:strCache>
                <c:ptCount val="8"/>
                <c:pt idx="0">
                  <c:v>Davi</c:v>
                </c:pt>
                <c:pt idx="1">
                  <c:v>Arthur</c:v>
                </c:pt>
                <c:pt idx="2">
                  <c:v>Victor</c:v>
                </c:pt>
                <c:pt idx="3">
                  <c:v>Tallia</c:v>
                </c:pt>
                <c:pt idx="4">
                  <c:v>Eduardo</c:v>
                </c:pt>
                <c:pt idx="5">
                  <c:v>Danilo</c:v>
                </c:pt>
                <c:pt idx="6">
                  <c:v>Carmen</c:v>
                </c:pt>
                <c:pt idx="7">
                  <c:v>Clarice</c:v>
                </c:pt>
              </c:strCache>
            </c:strRef>
          </c:cat>
          <c:val>
            <c:numRef>
              <c:f>'Gráfico I Pt2'!$F$7:$F$14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11</c:v>
                </c:pt>
                <c:pt idx="3">
                  <c:v>24</c:v>
                </c:pt>
                <c:pt idx="4">
                  <c:v>36</c:v>
                </c:pt>
                <c:pt idx="5">
                  <c:v>38</c:v>
                </c:pt>
                <c:pt idx="6">
                  <c:v>58</c:v>
                </c:pt>
                <c:pt idx="7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E-425E-AFC2-0B2D04896C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shape val="box"/>
        <c:axId val="77630143"/>
        <c:axId val="77628703"/>
        <c:axId val="0"/>
      </c:bar3DChart>
      <c:catAx>
        <c:axId val="7763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7628703"/>
        <c:crosses val="autoZero"/>
        <c:auto val="1"/>
        <c:lblAlgn val="ctr"/>
        <c:lblOffset val="100"/>
        <c:noMultiLvlLbl val="0"/>
      </c:catAx>
      <c:valAx>
        <c:axId val="7762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76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400" b="0" i="0" u="none" strike="noStrike" cap="none" baseline="0"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</a:rPr>
              <a:t>Evolução de Vendas por Representante em 2026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Linha, Coluna e Combinação'!$C$25</c:f>
              <c:strCache>
                <c:ptCount val="1"/>
                <c:pt idx="0">
                  <c:v>Ana Elisa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'Graf Linha, Coluna e Combinação'!$B$26:$B$46</c:f>
              <c:numCache>
                <c:formatCode>mmm\-yy</c:formatCode>
                <c:ptCount val="21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Combinação'!$C$26:$C$46</c:f>
              <c:numCache>
                <c:formatCode>#,##0.00</c:formatCode>
                <c:ptCount val="21"/>
                <c:pt idx="0">
                  <c:v>21950.600020771355</c:v>
                </c:pt>
                <c:pt idx="1">
                  <c:v>15090.931140059942</c:v>
                </c:pt>
                <c:pt idx="2">
                  <c:v>23933.218069162391</c:v>
                </c:pt>
                <c:pt idx="3">
                  <c:v>24586.148322304991</c:v>
                </c:pt>
                <c:pt idx="4">
                  <c:v>17490.787122835245</c:v>
                </c:pt>
                <c:pt idx="5">
                  <c:v>21380.543278789337</c:v>
                </c:pt>
                <c:pt idx="6">
                  <c:v>15166.912768991864</c:v>
                </c:pt>
                <c:pt idx="7">
                  <c:v>17713.220341816817</c:v>
                </c:pt>
                <c:pt idx="8">
                  <c:v>21310.173005013377</c:v>
                </c:pt>
                <c:pt idx="9">
                  <c:v>13949.452459322139</c:v>
                </c:pt>
                <c:pt idx="10">
                  <c:v>12781.150637966806</c:v>
                </c:pt>
                <c:pt idx="11">
                  <c:v>17524.296671952463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3-4185-90B0-AA950AB8CEB6}"/>
            </c:ext>
          </c:extLst>
        </c:ser>
        <c:ser>
          <c:idx val="1"/>
          <c:order val="1"/>
          <c:tx>
            <c:strRef>
              <c:f>'Graf Linha, Coluna e Combinação'!$D$25</c:f>
              <c:strCache>
                <c:ptCount val="1"/>
                <c:pt idx="0">
                  <c:v>Marcia Sotero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'Graf Linha, Coluna e Combinação'!$B$26:$B$46</c:f>
              <c:numCache>
                <c:formatCode>mmm\-yy</c:formatCode>
                <c:ptCount val="21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Combinação'!$D$26:$D$46</c:f>
              <c:numCache>
                <c:formatCode>#,##0.00</c:formatCode>
                <c:ptCount val="21"/>
                <c:pt idx="0">
                  <c:v>18747.752807599099</c:v>
                </c:pt>
                <c:pt idx="1">
                  <c:v>22625.015985938247</c:v>
                </c:pt>
                <c:pt idx="2">
                  <c:v>17224.365427155612</c:v>
                </c:pt>
                <c:pt idx="3">
                  <c:v>29878</c:v>
                </c:pt>
                <c:pt idx="4">
                  <c:v>15252.87484804811</c:v>
                </c:pt>
                <c:pt idx="5">
                  <c:v>16461.62610568303</c:v>
                </c:pt>
                <c:pt idx="6">
                  <c:v>13153.02358374745</c:v>
                </c:pt>
                <c:pt idx="7">
                  <c:v>16371.387083276753</c:v>
                </c:pt>
                <c:pt idx="8">
                  <c:v>13794.533797561142</c:v>
                </c:pt>
                <c:pt idx="9">
                  <c:v>22552.123383610277</c:v>
                </c:pt>
                <c:pt idx="10">
                  <c:v>12000</c:v>
                </c:pt>
                <c:pt idx="11">
                  <c:v>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3-4185-90B0-AA950AB8CEB6}"/>
            </c:ext>
          </c:extLst>
        </c:ser>
        <c:ser>
          <c:idx val="2"/>
          <c:order val="2"/>
          <c:tx>
            <c:strRef>
              <c:f>'Graf Linha, Coluna e Combinação'!$E$25</c:f>
              <c:strCache>
                <c:ptCount val="1"/>
                <c:pt idx="0">
                  <c:v>Patrícia Guimarães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'Graf Linha, Coluna e Combinação'!$B$26:$B$46</c:f>
              <c:numCache>
                <c:formatCode>mmm\-yy</c:formatCode>
                <c:ptCount val="21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Combinação'!$E$26:$E$46</c:f>
              <c:numCache>
                <c:formatCode>#,##0.00</c:formatCode>
                <c:ptCount val="21"/>
                <c:pt idx="0">
                  <c:v>14142.236563849639</c:v>
                </c:pt>
                <c:pt idx="1">
                  <c:v>19544.877602590193</c:v>
                </c:pt>
                <c:pt idx="2">
                  <c:v>17299.093593476071</c:v>
                </c:pt>
                <c:pt idx="3">
                  <c:v>23442.127883809717</c:v>
                </c:pt>
                <c:pt idx="4">
                  <c:v>24832.091736456161</c:v>
                </c:pt>
                <c:pt idx="5">
                  <c:v>20910.167603428796</c:v>
                </c:pt>
                <c:pt idx="6">
                  <c:v>16043.408659886287</c:v>
                </c:pt>
                <c:pt idx="7">
                  <c:v>19668.490828452304</c:v>
                </c:pt>
                <c:pt idx="8">
                  <c:v>14563.252094099766</c:v>
                </c:pt>
                <c:pt idx="9">
                  <c:v>24180.025983293788</c:v>
                </c:pt>
                <c:pt idx="10">
                  <c:v>16432.242933599318</c:v>
                </c:pt>
                <c:pt idx="11">
                  <c:v>20105.589774621661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C3-4185-90B0-AA950AB8C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345232"/>
        <c:axId val="935340912"/>
      </c:barChart>
      <c:dateAx>
        <c:axId val="935345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40912"/>
        <c:crosses val="autoZero"/>
        <c:auto val="1"/>
        <c:lblOffset val="100"/>
        <c:baseTimeUnit val="months"/>
      </c:dateAx>
      <c:valAx>
        <c:axId val="935340912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4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400" b="0" i="0" u="none" strike="noStrike" cap="none" baseline="0"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</a:rPr>
              <a:t>Tendências de Vendas Mensais 2026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917693245989178"/>
          <c:y val="7.3993565273795622E-2"/>
          <c:w val="0.8530816743297972"/>
          <c:h val="0.77683915610255461"/>
        </c:manualLayout>
      </c:layout>
      <c:lineChart>
        <c:grouping val="standard"/>
        <c:varyColors val="0"/>
        <c:ser>
          <c:idx val="0"/>
          <c:order val="0"/>
          <c:tx>
            <c:strRef>
              <c:f>'Graf Linha, Coluna e Combinação'!$C$25</c:f>
              <c:strCache>
                <c:ptCount val="1"/>
                <c:pt idx="0">
                  <c:v>Ana Elisa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'Graf Linha, Coluna e Combinação'!$B$26:$B$46</c:f>
              <c:numCache>
                <c:formatCode>mmm\-yy</c:formatCode>
                <c:ptCount val="21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Combinação'!$C$26:$C$46</c:f>
              <c:numCache>
                <c:formatCode>#,##0.00</c:formatCode>
                <c:ptCount val="21"/>
                <c:pt idx="0">
                  <c:v>21950.600020771355</c:v>
                </c:pt>
                <c:pt idx="1">
                  <c:v>15090.931140059942</c:v>
                </c:pt>
                <c:pt idx="2">
                  <c:v>23933.218069162391</c:v>
                </c:pt>
                <c:pt idx="3">
                  <c:v>24586.148322304991</c:v>
                </c:pt>
                <c:pt idx="4">
                  <c:v>17490.787122835245</c:v>
                </c:pt>
                <c:pt idx="5">
                  <c:v>21380.543278789337</c:v>
                </c:pt>
                <c:pt idx="6">
                  <c:v>15166.912768991864</c:v>
                </c:pt>
                <c:pt idx="7">
                  <c:v>17713.220341816817</c:v>
                </c:pt>
                <c:pt idx="8">
                  <c:v>21310.173005013377</c:v>
                </c:pt>
                <c:pt idx="9">
                  <c:v>13949.452459322139</c:v>
                </c:pt>
                <c:pt idx="10">
                  <c:v>12781.150637966806</c:v>
                </c:pt>
                <c:pt idx="11">
                  <c:v>17524.296671952463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3-4185-90B0-AA950AB8CEB6}"/>
            </c:ext>
          </c:extLst>
        </c:ser>
        <c:ser>
          <c:idx val="1"/>
          <c:order val="1"/>
          <c:tx>
            <c:strRef>
              <c:f>'Graf Linha, Coluna e Combinação'!$D$25</c:f>
              <c:strCache>
                <c:ptCount val="1"/>
                <c:pt idx="0">
                  <c:v>Marcia Sotero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'Graf Linha, Coluna e Combinação'!$B$26:$B$46</c:f>
              <c:numCache>
                <c:formatCode>mmm\-yy</c:formatCode>
                <c:ptCount val="21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Combinação'!$D$26:$D$46</c:f>
              <c:numCache>
                <c:formatCode>#,##0.00</c:formatCode>
                <c:ptCount val="21"/>
                <c:pt idx="0">
                  <c:v>18747.752807599099</c:v>
                </c:pt>
                <c:pt idx="1">
                  <c:v>22625.015985938247</c:v>
                </c:pt>
                <c:pt idx="2">
                  <c:v>17224.365427155612</c:v>
                </c:pt>
                <c:pt idx="3">
                  <c:v>29878</c:v>
                </c:pt>
                <c:pt idx="4">
                  <c:v>15252.87484804811</c:v>
                </c:pt>
                <c:pt idx="5">
                  <c:v>16461.62610568303</c:v>
                </c:pt>
                <c:pt idx="6">
                  <c:v>13153.02358374745</c:v>
                </c:pt>
                <c:pt idx="7">
                  <c:v>16371.387083276753</c:v>
                </c:pt>
                <c:pt idx="8">
                  <c:v>13794.533797561142</c:v>
                </c:pt>
                <c:pt idx="9">
                  <c:v>22552.123383610277</c:v>
                </c:pt>
                <c:pt idx="10">
                  <c:v>12000</c:v>
                </c:pt>
                <c:pt idx="11">
                  <c:v>9485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9C3-4185-90B0-AA950AB8CEB6}"/>
            </c:ext>
          </c:extLst>
        </c:ser>
        <c:ser>
          <c:idx val="2"/>
          <c:order val="2"/>
          <c:tx>
            <c:strRef>
              <c:f>'Graf Linha, Coluna e Combinação'!$E$25</c:f>
              <c:strCache>
                <c:ptCount val="1"/>
                <c:pt idx="0">
                  <c:v>Patrícia Guimarães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'Graf Linha, Coluna e Combinação'!$B$26:$B$46</c:f>
              <c:numCache>
                <c:formatCode>mmm\-yy</c:formatCode>
                <c:ptCount val="21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Combinação'!$E$26:$E$46</c:f>
              <c:numCache>
                <c:formatCode>#,##0.00</c:formatCode>
                <c:ptCount val="21"/>
                <c:pt idx="0">
                  <c:v>14142.236563849639</c:v>
                </c:pt>
                <c:pt idx="1">
                  <c:v>19544.877602590193</c:v>
                </c:pt>
                <c:pt idx="2">
                  <c:v>17299.093593476071</c:v>
                </c:pt>
                <c:pt idx="3">
                  <c:v>23442.127883809717</c:v>
                </c:pt>
                <c:pt idx="4">
                  <c:v>24832.091736456161</c:v>
                </c:pt>
                <c:pt idx="5">
                  <c:v>20910.167603428796</c:v>
                </c:pt>
                <c:pt idx="6">
                  <c:v>16043.408659886287</c:v>
                </c:pt>
                <c:pt idx="7">
                  <c:v>19668.490828452304</c:v>
                </c:pt>
                <c:pt idx="8">
                  <c:v>14563.252094099766</c:v>
                </c:pt>
                <c:pt idx="9">
                  <c:v>24180.025983293788</c:v>
                </c:pt>
                <c:pt idx="10">
                  <c:v>16432.242933599318</c:v>
                </c:pt>
                <c:pt idx="11">
                  <c:v>20105.589774621661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9C3-4185-90B0-AA950AB8C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45232"/>
        <c:axId val="935340912"/>
      </c:lineChart>
      <c:dateAx>
        <c:axId val="935345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40912"/>
        <c:crosses val="autoZero"/>
        <c:auto val="1"/>
        <c:lblOffset val="100"/>
        <c:baseTimeUnit val="months"/>
      </c:dateAx>
      <c:valAx>
        <c:axId val="935340912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4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49340242489628E-2"/>
          <c:y val="0.137137893164158"/>
          <c:w val="0.93107842993744672"/>
          <c:h val="0.75087803618771243"/>
        </c:manualLayout>
      </c:layout>
      <c:areaChart>
        <c:grouping val="standard"/>
        <c:varyColors val="0"/>
        <c:ser>
          <c:idx val="3"/>
          <c:order val="3"/>
          <c:tx>
            <c:strRef>
              <c:f>'Graf Linha, Coluna e Combinação'!$F$25</c:f>
              <c:strCache>
                <c:ptCount val="1"/>
                <c:pt idx="0">
                  <c:v>Média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'Graf Linha, Coluna e Combinação'!$B$26:$B$37</c:f>
              <c:numCache>
                <c:formatCode>mmm\-yy</c:formatCode>
                <c:ptCount val="12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Combinação'!$F$26:$F$37</c:f>
              <c:numCache>
                <c:formatCode>#,##0.00</c:formatCode>
                <c:ptCount val="12"/>
                <c:pt idx="0">
                  <c:v>18280.196464073364</c:v>
                </c:pt>
                <c:pt idx="1">
                  <c:v>19086.941576196128</c:v>
                </c:pt>
                <c:pt idx="2">
                  <c:v>19485.559029931359</c:v>
                </c:pt>
                <c:pt idx="3">
                  <c:v>25968.758735371568</c:v>
                </c:pt>
                <c:pt idx="4">
                  <c:v>19191.917902446505</c:v>
                </c:pt>
                <c:pt idx="5">
                  <c:v>19584.112329300388</c:v>
                </c:pt>
                <c:pt idx="6">
                  <c:v>14787.7816708752</c:v>
                </c:pt>
                <c:pt idx="7">
                  <c:v>17917.699417848624</c:v>
                </c:pt>
                <c:pt idx="8">
                  <c:v>16555.986298891428</c:v>
                </c:pt>
                <c:pt idx="9">
                  <c:v>20227.20060874207</c:v>
                </c:pt>
                <c:pt idx="10">
                  <c:v>13737.797857188707</c:v>
                </c:pt>
                <c:pt idx="11">
                  <c:v>15704.96214885804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FB-422F-9380-DC0AEE271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29696"/>
        <c:axId val="238835936"/>
      </c:areaChart>
      <c:barChart>
        <c:barDir val="col"/>
        <c:grouping val="clustered"/>
        <c:varyColors val="0"/>
        <c:ser>
          <c:idx val="0"/>
          <c:order val="0"/>
          <c:tx>
            <c:strRef>
              <c:f>'Graf Linha, Coluna e Combinação'!$C$25</c:f>
              <c:strCache>
                <c:ptCount val="1"/>
                <c:pt idx="0">
                  <c:v>Ana Elisa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'Graf Linha, Coluna e Combinação'!$B$26:$B$37</c:f>
              <c:numCache>
                <c:formatCode>mmm\-yy</c:formatCode>
                <c:ptCount val="12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Combinação'!$C$26:$C$37</c:f>
              <c:numCache>
                <c:formatCode>#,##0.00</c:formatCode>
                <c:ptCount val="12"/>
                <c:pt idx="0">
                  <c:v>21950.600020771355</c:v>
                </c:pt>
                <c:pt idx="1">
                  <c:v>15090.931140059942</c:v>
                </c:pt>
                <c:pt idx="2">
                  <c:v>23933.218069162391</c:v>
                </c:pt>
                <c:pt idx="3">
                  <c:v>24586.148322304991</c:v>
                </c:pt>
                <c:pt idx="4">
                  <c:v>17490.787122835245</c:v>
                </c:pt>
                <c:pt idx="5">
                  <c:v>21380.543278789337</c:v>
                </c:pt>
                <c:pt idx="6">
                  <c:v>15166.912768991864</c:v>
                </c:pt>
                <c:pt idx="7">
                  <c:v>17713.220341816817</c:v>
                </c:pt>
                <c:pt idx="8">
                  <c:v>21310.173005013377</c:v>
                </c:pt>
                <c:pt idx="9">
                  <c:v>13949.452459322139</c:v>
                </c:pt>
                <c:pt idx="10">
                  <c:v>12781.150637966806</c:v>
                </c:pt>
                <c:pt idx="11">
                  <c:v>17524.296671952463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B-422F-9380-DC0AEE271197}"/>
            </c:ext>
          </c:extLst>
        </c:ser>
        <c:ser>
          <c:idx val="1"/>
          <c:order val="1"/>
          <c:tx>
            <c:strRef>
              <c:f>'Graf Linha, Coluna e Combinação'!$D$25</c:f>
              <c:strCache>
                <c:ptCount val="1"/>
                <c:pt idx="0">
                  <c:v>Marcia Sotero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'Graf Linha, Coluna e Combinação'!$B$26:$B$37</c:f>
              <c:numCache>
                <c:formatCode>mmm\-yy</c:formatCode>
                <c:ptCount val="12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Combinação'!$D$26:$D$37</c:f>
              <c:numCache>
                <c:formatCode>#,##0.00</c:formatCode>
                <c:ptCount val="12"/>
                <c:pt idx="0">
                  <c:v>18747.752807599099</c:v>
                </c:pt>
                <c:pt idx="1">
                  <c:v>22625.015985938247</c:v>
                </c:pt>
                <c:pt idx="2">
                  <c:v>17224.365427155612</c:v>
                </c:pt>
                <c:pt idx="3">
                  <c:v>29878</c:v>
                </c:pt>
                <c:pt idx="4">
                  <c:v>15252.87484804811</c:v>
                </c:pt>
                <c:pt idx="5">
                  <c:v>16461.62610568303</c:v>
                </c:pt>
                <c:pt idx="6">
                  <c:v>13153.02358374745</c:v>
                </c:pt>
                <c:pt idx="7">
                  <c:v>16371.387083276753</c:v>
                </c:pt>
                <c:pt idx="8">
                  <c:v>13794.533797561142</c:v>
                </c:pt>
                <c:pt idx="9">
                  <c:v>22552.123383610277</c:v>
                </c:pt>
                <c:pt idx="10">
                  <c:v>12000</c:v>
                </c:pt>
                <c:pt idx="11">
                  <c:v>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B-422F-9380-DC0AEE271197}"/>
            </c:ext>
          </c:extLst>
        </c:ser>
        <c:ser>
          <c:idx val="2"/>
          <c:order val="2"/>
          <c:tx>
            <c:strRef>
              <c:f>'Graf Linha, Coluna e Combinação'!$E$25</c:f>
              <c:strCache>
                <c:ptCount val="1"/>
                <c:pt idx="0">
                  <c:v>Patrícia Guimarães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'Graf Linha, Coluna e Combinação'!$B$26:$B$37</c:f>
              <c:numCache>
                <c:formatCode>mmm\-yy</c:formatCode>
                <c:ptCount val="12"/>
                <c:pt idx="0">
                  <c:v>46023</c:v>
                </c:pt>
                <c:pt idx="1">
                  <c:v>46054</c:v>
                </c:pt>
                <c:pt idx="2">
                  <c:v>46082</c:v>
                </c:pt>
                <c:pt idx="3">
                  <c:v>46113</c:v>
                </c:pt>
                <c:pt idx="4">
                  <c:v>46143</c:v>
                </c:pt>
                <c:pt idx="5">
                  <c:v>46174</c:v>
                </c:pt>
                <c:pt idx="6">
                  <c:v>46204</c:v>
                </c:pt>
                <c:pt idx="7">
                  <c:v>46235</c:v>
                </c:pt>
                <c:pt idx="8">
                  <c:v>46266</c:v>
                </c:pt>
                <c:pt idx="9">
                  <c:v>46296</c:v>
                </c:pt>
                <c:pt idx="10">
                  <c:v>46327</c:v>
                </c:pt>
                <c:pt idx="11">
                  <c:v>46357</c:v>
                </c:pt>
              </c:numCache>
            </c:numRef>
          </c:cat>
          <c:val>
            <c:numRef>
              <c:f>'Graf Linha, Coluna e Combinação'!$E$26:$E$37</c:f>
              <c:numCache>
                <c:formatCode>#,##0.00</c:formatCode>
                <c:ptCount val="12"/>
                <c:pt idx="0">
                  <c:v>14142.236563849639</c:v>
                </c:pt>
                <c:pt idx="1">
                  <c:v>19544.877602590193</c:v>
                </c:pt>
                <c:pt idx="2">
                  <c:v>17299.093593476071</c:v>
                </c:pt>
                <c:pt idx="3">
                  <c:v>23442.127883809717</c:v>
                </c:pt>
                <c:pt idx="4">
                  <c:v>24832.091736456161</c:v>
                </c:pt>
                <c:pt idx="5">
                  <c:v>20910.167603428796</c:v>
                </c:pt>
                <c:pt idx="6">
                  <c:v>16043.408659886287</c:v>
                </c:pt>
                <c:pt idx="7">
                  <c:v>19668.490828452304</c:v>
                </c:pt>
                <c:pt idx="8">
                  <c:v>14563.252094099766</c:v>
                </c:pt>
                <c:pt idx="9">
                  <c:v>24180.025983293788</c:v>
                </c:pt>
                <c:pt idx="10">
                  <c:v>16432.242933599318</c:v>
                </c:pt>
                <c:pt idx="11">
                  <c:v>20105.589774621661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FB-422F-9380-DC0AEE271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8829696"/>
        <c:axId val="238835936"/>
      </c:barChart>
      <c:dateAx>
        <c:axId val="2388296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8835936"/>
        <c:crosses val="autoZero"/>
        <c:auto val="1"/>
        <c:lblOffset val="100"/>
        <c:baseTimeUnit val="months"/>
      </c:dateAx>
      <c:valAx>
        <c:axId val="238835936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88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946452796397395"/>
          <c:y val="5.23534255268207E-2"/>
          <c:w val="0.32760604983972463"/>
          <c:h val="0.10300099211360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Faturamento Mensal por Filial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'Desafio Gráficos'!$B$6</c:f>
              <c:strCache>
                <c:ptCount val="1"/>
                <c:pt idx="0">
                  <c:v>Filial Alagoas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'Desafio Gráficos'!$A$7:$A$18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'Desafio Gráficos'!$B$7:$B$18</c:f>
              <c:numCache>
                <c:formatCode>#,##0.00</c:formatCode>
                <c:ptCount val="12"/>
                <c:pt idx="0">
                  <c:v>50235</c:v>
                </c:pt>
                <c:pt idx="1">
                  <c:v>59441</c:v>
                </c:pt>
                <c:pt idx="2">
                  <c:v>64227</c:v>
                </c:pt>
                <c:pt idx="3">
                  <c:v>62122</c:v>
                </c:pt>
                <c:pt idx="4">
                  <c:v>14204</c:v>
                </c:pt>
                <c:pt idx="5">
                  <c:v>86018</c:v>
                </c:pt>
                <c:pt idx="6">
                  <c:v>27045</c:v>
                </c:pt>
                <c:pt idx="7">
                  <c:v>47667</c:v>
                </c:pt>
                <c:pt idx="8">
                  <c:v>57947</c:v>
                </c:pt>
                <c:pt idx="9">
                  <c:v>34818</c:v>
                </c:pt>
                <c:pt idx="10">
                  <c:v>28248</c:v>
                </c:pt>
                <c:pt idx="11">
                  <c:v>50985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A-44C3-8BBC-1C572D7CBFC1}"/>
            </c:ext>
          </c:extLst>
        </c:ser>
        <c:ser>
          <c:idx val="1"/>
          <c:order val="1"/>
          <c:tx>
            <c:strRef>
              <c:f>'Desafio Gráficos'!$C$6</c:f>
              <c:strCache>
                <c:ptCount val="1"/>
                <c:pt idx="0">
                  <c:v>Filial Barueri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'Desafio Gráficos'!$A$7:$A$18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'Desafio Gráficos'!$C$7:$C$18</c:f>
              <c:numCache>
                <c:formatCode>#,##0.00</c:formatCode>
                <c:ptCount val="12"/>
                <c:pt idx="0">
                  <c:v>38508</c:v>
                </c:pt>
                <c:pt idx="1">
                  <c:v>83182</c:v>
                </c:pt>
                <c:pt idx="2">
                  <c:v>37677</c:v>
                </c:pt>
                <c:pt idx="3">
                  <c:v>82332</c:v>
                </c:pt>
                <c:pt idx="4">
                  <c:v>88741</c:v>
                </c:pt>
                <c:pt idx="5">
                  <c:v>49189</c:v>
                </c:pt>
                <c:pt idx="6">
                  <c:v>84468</c:v>
                </c:pt>
                <c:pt idx="7">
                  <c:v>23219</c:v>
                </c:pt>
                <c:pt idx="8">
                  <c:v>46102</c:v>
                </c:pt>
                <c:pt idx="9">
                  <c:v>34797</c:v>
                </c:pt>
                <c:pt idx="10">
                  <c:v>43119</c:v>
                </c:pt>
                <c:pt idx="11">
                  <c:v>72682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A-44C3-8BBC-1C572D7CBFC1}"/>
            </c:ext>
          </c:extLst>
        </c:ser>
        <c:ser>
          <c:idx val="2"/>
          <c:order val="2"/>
          <c:tx>
            <c:strRef>
              <c:f>'Desafio Gráficos'!$D$6</c:f>
              <c:strCache>
                <c:ptCount val="1"/>
                <c:pt idx="0">
                  <c:v>Filial Campinas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'Desafio Gráficos'!$A$7:$A$18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'Desafio Gráficos'!$D$7:$D$18</c:f>
              <c:numCache>
                <c:formatCode>#,##0.00</c:formatCode>
                <c:ptCount val="12"/>
                <c:pt idx="0">
                  <c:v>84754</c:v>
                </c:pt>
                <c:pt idx="1">
                  <c:v>49361</c:v>
                </c:pt>
                <c:pt idx="2">
                  <c:v>67107</c:v>
                </c:pt>
                <c:pt idx="3">
                  <c:v>13853</c:v>
                </c:pt>
                <c:pt idx="4">
                  <c:v>18919</c:v>
                </c:pt>
                <c:pt idx="5">
                  <c:v>58774</c:v>
                </c:pt>
                <c:pt idx="6">
                  <c:v>79476</c:v>
                </c:pt>
                <c:pt idx="7">
                  <c:v>22849</c:v>
                </c:pt>
                <c:pt idx="8">
                  <c:v>42053</c:v>
                </c:pt>
                <c:pt idx="9">
                  <c:v>34189</c:v>
                </c:pt>
                <c:pt idx="10">
                  <c:v>52561</c:v>
                </c:pt>
                <c:pt idx="11">
                  <c:v>28414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A-44C3-8BBC-1C572D7CBFC1}"/>
            </c:ext>
          </c:extLst>
        </c:ser>
        <c:ser>
          <c:idx val="3"/>
          <c:order val="3"/>
          <c:tx>
            <c:strRef>
              <c:f>'Desafio Gráficos'!$E$6</c:f>
              <c:strCache>
                <c:ptCount val="1"/>
                <c:pt idx="0">
                  <c:v>Filial Niterói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'Desafio Gráficos'!$A$7:$A$18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'Desafio Gráficos'!$E$7:$E$18</c:f>
              <c:numCache>
                <c:formatCode>#,##0.00</c:formatCode>
                <c:ptCount val="12"/>
                <c:pt idx="0">
                  <c:v>28933</c:v>
                </c:pt>
                <c:pt idx="1">
                  <c:v>37315</c:v>
                </c:pt>
                <c:pt idx="2">
                  <c:v>68560</c:v>
                </c:pt>
                <c:pt idx="3">
                  <c:v>64633</c:v>
                </c:pt>
                <c:pt idx="4">
                  <c:v>31775</c:v>
                </c:pt>
                <c:pt idx="5">
                  <c:v>81395</c:v>
                </c:pt>
                <c:pt idx="6">
                  <c:v>63408</c:v>
                </c:pt>
                <c:pt idx="7">
                  <c:v>26972</c:v>
                </c:pt>
                <c:pt idx="8">
                  <c:v>65052</c:v>
                </c:pt>
                <c:pt idx="9">
                  <c:v>83542</c:v>
                </c:pt>
                <c:pt idx="10">
                  <c:v>88351</c:v>
                </c:pt>
                <c:pt idx="11">
                  <c:v>15884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A-44C3-8BBC-1C572D7CBFC1}"/>
            </c:ext>
          </c:extLst>
        </c:ser>
        <c:ser>
          <c:idx val="4"/>
          <c:order val="4"/>
          <c:tx>
            <c:strRef>
              <c:f>'Desafio Gráficos'!$F$6</c:f>
              <c:strCache>
                <c:ptCount val="1"/>
                <c:pt idx="0">
                  <c:v>Filial Blumenau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'Desafio Gráficos'!$A$7:$A$18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'Desafio Gráficos'!$F$7:$F$18</c:f>
              <c:numCache>
                <c:formatCode>#,##0.00</c:formatCode>
                <c:ptCount val="12"/>
                <c:pt idx="0">
                  <c:v>26762</c:v>
                </c:pt>
                <c:pt idx="1">
                  <c:v>34681</c:v>
                </c:pt>
                <c:pt idx="2">
                  <c:v>89751</c:v>
                </c:pt>
                <c:pt idx="3">
                  <c:v>46199</c:v>
                </c:pt>
                <c:pt idx="4">
                  <c:v>67163</c:v>
                </c:pt>
                <c:pt idx="5">
                  <c:v>26311</c:v>
                </c:pt>
                <c:pt idx="6">
                  <c:v>35848</c:v>
                </c:pt>
                <c:pt idx="7">
                  <c:v>82847</c:v>
                </c:pt>
                <c:pt idx="8">
                  <c:v>73135</c:v>
                </c:pt>
                <c:pt idx="9">
                  <c:v>78927</c:v>
                </c:pt>
                <c:pt idx="10">
                  <c:v>50574</c:v>
                </c:pt>
                <c:pt idx="11">
                  <c:v>29785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7A-44C3-8BBC-1C572D7CBFC1}"/>
            </c:ext>
          </c:extLst>
        </c:ser>
        <c:ser>
          <c:idx val="5"/>
          <c:order val="5"/>
          <c:tx>
            <c:strRef>
              <c:f>'Desafio Gráficos'!$G$6</c:f>
              <c:strCache>
                <c:ptCount val="1"/>
                <c:pt idx="0">
                  <c:v>Filial Salvador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'Desafio Gráficos'!$A$7:$A$18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'Desafio Gráficos'!$G$7:$G$18</c:f>
              <c:numCache>
                <c:formatCode>#,##0.00</c:formatCode>
                <c:ptCount val="12"/>
                <c:pt idx="0">
                  <c:v>25545</c:v>
                </c:pt>
                <c:pt idx="1">
                  <c:v>50208</c:v>
                </c:pt>
                <c:pt idx="2">
                  <c:v>60993</c:v>
                </c:pt>
                <c:pt idx="3">
                  <c:v>62349</c:v>
                </c:pt>
                <c:pt idx="4">
                  <c:v>73338</c:v>
                </c:pt>
                <c:pt idx="5">
                  <c:v>61105</c:v>
                </c:pt>
                <c:pt idx="6">
                  <c:v>47397</c:v>
                </c:pt>
                <c:pt idx="7">
                  <c:v>13379</c:v>
                </c:pt>
                <c:pt idx="8">
                  <c:v>67817</c:v>
                </c:pt>
                <c:pt idx="9">
                  <c:v>83066</c:v>
                </c:pt>
                <c:pt idx="10">
                  <c:v>54708</c:v>
                </c:pt>
                <c:pt idx="11">
                  <c:v>81574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7A-44C3-8BBC-1C572D7CB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888911"/>
        <c:axId val="1586906191"/>
      </c:barChart>
      <c:catAx>
        <c:axId val="158688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6906191"/>
        <c:crosses val="autoZero"/>
        <c:auto val="1"/>
        <c:lblAlgn val="ctr"/>
        <c:lblOffset val="100"/>
        <c:noMultiLvlLbl val="0"/>
      </c:catAx>
      <c:valAx>
        <c:axId val="158690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688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 Anual de Faturamento por Mês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'Desafio Gráficos'!$A$7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Gráficos'!$H$7</c:f>
              <c:numCache>
                <c:formatCode>#,##0.00</c:formatCode>
                <c:ptCount val="1"/>
                <c:pt idx="0">
                  <c:v>42456.166666666664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8-4402-975B-BA8D8A7A9ECB}"/>
            </c:ext>
          </c:extLst>
        </c:ser>
        <c:ser>
          <c:idx val="1"/>
          <c:order val="1"/>
          <c:tx>
            <c:strRef>
              <c:f>'Desafio Gráficos'!$A$8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Gráficos'!$H$8</c:f>
              <c:numCache>
                <c:formatCode>#,##0.00</c:formatCode>
                <c:ptCount val="1"/>
                <c:pt idx="0">
                  <c:v>47410.416666666664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8-4402-975B-BA8D8A7A9ECB}"/>
            </c:ext>
          </c:extLst>
        </c:ser>
        <c:ser>
          <c:idx val="2"/>
          <c:order val="2"/>
          <c:tx>
            <c:strRef>
              <c:f>'Desafio Gráficos'!$A$9</c:f>
              <c:strCache>
                <c:ptCount val="1"/>
                <c:pt idx="0">
                  <c:v>Março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Gráficos'!$H$9</c:f>
              <c:numCache>
                <c:formatCode>#,##0.00</c:formatCode>
                <c:ptCount val="1"/>
                <c:pt idx="0">
                  <c:v>58541.916666666664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08-4402-975B-BA8D8A7A9ECB}"/>
            </c:ext>
          </c:extLst>
        </c:ser>
        <c:ser>
          <c:idx val="3"/>
          <c:order val="3"/>
          <c:tx>
            <c:strRef>
              <c:f>'Desafio Gráficos'!$A$10</c:f>
              <c:strCache>
                <c:ptCount val="1"/>
                <c:pt idx="0">
                  <c:v>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Gráficos'!$H$10</c:f>
              <c:numCache>
                <c:formatCode>#,##0.00</c:formatCode>
                <c:ptCount val="1"/>
                <c:pt idx="0">
                  <c:v>59983.583333333336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08-4402-975B-BA8D8A7A9ECB}"/>
            </c:ext>
          </c:extLst>
        </c:ser>
        <c:ser>
          <c:idx val="4"/>
          <c:order val="4"/>
          <c:tx>
            <c:strRef>
              <c:f>'Desafio Gráficos'!$A$11</c:f>
              <c:strCache>
                <c:ptCount val="1"/>
                <c:pt idx="0">
                  <c:v>Maio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Gráficos'!$H$11</c:f>
              <c:numCache>
                <c:formatCode>#,##0.00</c:formatCode>
                <c:ptCount val="1"/>
                <c:pt idx="0">
                  <c:v>52135.666666666664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08-4402-975B-BA8D8A7A9ECB}"/>
            </c:ext>
          </c:extLst>
        </c:ser>
        <c:ser>
          <c:idx val="5"/>
          <c:order val="5"/>
          <c:tx>
            <c:strRef>
              <c:f>'Desafio Gráficos'!$A$12</c:f>
              <c:strCache>
                <c:ptCount val="1"/>
                <c:pt idx="0">
                  <c:v>Junho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Gráficos'!$H$12</c:f>
              <c:numCache>
                <c:formatCode>#,##0.00</c:formatCode>
                <c:ptCount val="1"/>
                <c:pt idx="0">
                  <c:v>54744.333333333336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08-4402-975B-BA8D8A7A9ECB}"/>
            </c:ext>
          </c:extLst>
        </c:ser>
        <c:ser>
          <c:idx val="6"/>
          <c:order val="6"/>
          <c:tx>
            <c:strRef>
              <c:f>'Desafio Gráficos'!$A$13</c:f>
              <c:strCache>
                <c:ptCount val="1"/>
                <c:pt idx="0">
                  <c:v>Julho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Gráficos'!$H$13</c:f>
              <c:numCache>
                <c:formatCode>#,##0.00</c:formatCode>
                <c:ptCount val="1"/>
                <c:pt idx="0">
                  <c:v>58369.5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08-4402-975B-BA8D8A7A9ECB}"/>
            </c:ext>
          </c:extLst>
        </c:ser>
        <c:ser>
          <c:idx val="7"/>
          <c:order val="7"/>
          <c:tx>
            <c:strRef>
              <c:f>'Desafio Gráficos'!$A$14</c:f>
              <c:strCache>
                <c:ptCount val="1"/>
                <c:pt idx="0">
                  <c:v>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Gráficos'!$H$14</c:f>
              <c:numCache>
                <c:formatCode>#,##0.00</c:formatCode>
                <c:ptCount val="1"/>
                <c:pt idx="0">
                  <c:v>46214.583333333336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08-4402-975B-BA8D8A7A9ECB}"/>
            </c:ext>
          </c:extLst>
        </c:ser>
        <c:ser>
          <c:idx val="8"/>
          <c:order val="8"/>
          <c:tx>
            <c:strRef>
              <c:f>'Desafio Gráficos'!$A$15</c:f>
              <c:strCache>
                <c:ptCount val="1"/>
                <c:pt idx="0">
                  <c:v>Setembro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Gráficos'!$H$15</c:f>
              <c:numCache>
                <c:formatCode>#,##0.00</c:formatCode>
                <c:ptCount val="1"/>
                <c:pt idx="0">
                  <c:v>47419.916666666664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08-4402-975B-BA8D8A7A9ECB}"/>
            </c:ext>
          </c:extLst>
        </c:ser>
        <c:ser>
          <c:idx val="9"/>
          <c:order val="9"/>
          <c:tx>
            <c:strRef>
              <c:f>'Desafio Gráficos'!$A$16</c:f>
              <c:strCache>
                <c:ptCount val="1"/>
                <c:pt idx="0">
                  <c:v>Outubro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Gráficos'!$H$16</c:f>
              <c:numCache>
                <c:formatCode>#,##0.00</c:formatCode>
                <c:ptCount val="1"/>
                <c:pt idx="0">
                  <c:v>58453.75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08-4402-975B-BA8D8A7A9ECB}"/>
            </c:ext>
          </c:extLst>
        </c:ser>
        <c:ser>
          <c:idx val="10"/>
          <c:order val="10"/>
          <c:tx>
            <c:strRef>
              <c:f>'Desafio Gráficos'!$A$17</c:f>
              <c:strCache>
                <c:ptCount val="1"/>
                <c:pt idx="0">
                  <c:v>Novembro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Gráficos'!$H$17</c:f>
              <c:numCache>
                <c:formatCode>#,##0.00</c:formatCode>
                <c:ptCount val="1"/>
                <c:pt idx="0">
                  <c:v>55575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08-4402-975B-BA8D8A7A9ECB}"/>
            </c:ext>
          </c:extLst>
        </c:ser>
        <c:ser>
          <c:idx val="11"/>
          <c:order val="11"/>
          <c:tx>
            <c:strRef>
              <c:f>'Desafio Gráficos'!$A$18</c:f>
              <c:strCache>
                <c:ptCount val="1"/>
                <c:pt idx="0">
                  <c:v>Dezembro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Gráficos'!$H$18</c:f>
              <c:numCache>
                <c:formatCode>#,##0.00</c:formatCode>
                <c:ptCount val="1"/>
                <c:pt idx="0">
                  <c:v>49740.416666666664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08-4402-975B-BA8D8A7A9ECB}"/>
            </c:ext>
          </c:extLst>
        </c:ser>
        <c:ser>
          <c:idx val="12"/>
          <c:order val="12"/>
          <c:tx>
            <c:strRef>
              <c:f>'Desafio Gráficos'!$A$19</c:f>
              <c:strCache>
                <c:ptCount val="1"/>
                <c:pt idx="0">
                  <c:v>Media Filial'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'Desafio Gráficos'!$H$6</c:f>
              <c:strCache>
                <c:ptCount val="1"/>
                <c:pt idx="0">
                  <c:v>Média anual</c:v>
                </c:pt>
              </c:strCache>
            </c:strRef>
          </c:cat>
          <c:val>
            <c:numRef>
              <c:f>'Desafio Gráficos'!$H$19</c:f>
              <c:numCache>
                <c:formatCode>#,##0.00</c:formatCode>
                <c:ptCount val="1"/>
                <c:pt idx="0">
                  <c:v>52587.104166666657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A08-4402-975B-BA8D8A7A9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4506208"/>
        <c:axId val="1068257520"/>
      </c:barChart>
      <c:catAx>
        <c:axId val="156450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8257520"/>
        <c:crosses val="autoZero"/>
        <c:auto val="1"/>
        <c:lblAlgn val="ctr"/>
        <c:lblOffset val="100"/>
        <c:noMultiLvlLbl val="0"/>
      </c:catAx>
      <c:valAx>
        <c:axId val="10682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6450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treemap" uniqueId="{3AF645CE-721F-4F04-8BC7-3F9FA631E5FB}">
          <cx:tx>
            <cx:txData>
              <cx:f>_xlchart.v1.1</cx:f>
              <cx:v>Venda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4" Type="http://schemas.openxmlformats.org/officeDocument/2006/relationships/image" Target="../media/image14.sv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sv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sv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svg"/><Relationship Id="rId1" Type="http://schemas.openxmlformats.org/officeDocument/2006/relationships/image" Target="../media/image24.png"/><Relationship Id="rId4" Type="http://schemas.openxmlformats.org/officeDocument/2006/relationships/image" Target="../media/image27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image" Target="../media/image28.jfif"/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6" Type="http://schemas.openxmlformats.org/officeDocument/2006/relationships/image" Target="../media/image36.svg"/><Relationship Id="rId5" Type="http://schemas.openxmlformats.org/officeDocument/2006/relationships/image" Target="../media/image35.png"/><Relationship Id="rId4" Type="http://schemas.openxmlformats.org/officeDocument/2006/relationships/image" Target="../media/image34.sv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sv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svg"/><Relationship Id="rId1" Type="http://schemas.openxmlformats.org/officeDocument/2006/relationships/image" Target="../media/image39.png"/><Relationship Id="rId4" Type="http://schemas.openxmlformats.org/officeDocument/2006/relationships/image" Target="../media/image42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svg"/><Relationship Id="rId1" Type="http://schemas.openxmlformats.org/officeDocument/2006/relationships/image" Target="../media/image24.png"/><Relationship Id="rId4" Type="http://schemas.openxmlformats.org/officeDocument/2006/relationships/image" Target="../media/image27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jpeg"/><Relationship Id="rId2" Type="http://schemas.openxmlformats.org/officeDocument/2006/relationships/image" Target="../media/image43.jpeg"/><Relationship Id="rId1" Type="http://schemas.openxmlformats.org/officeDocument/2006/relationships/chart" Target="../charts/chart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svg"/><Relationship Id="rId1" Type="http://schemas.openxmlformats.org/officeDocument/2006/relationships/image" Target="../media/image4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svg"/><Relationship Id="rId1" Type="http://schemas.openxmlformats.org/officeDocument/2006/relationships/image" Target="../media/image4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39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4.png"/><Relationship Id="rId1" Type="http://schemas.openxmlformats.org/officeDocument/2006/relationships/image" Target="../media/image53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61.jpeg"/><Relationship Id="rId4" Type="http://schemas.openxmlformats.org/officeDocument/2006/relationships/image" Target="../media/image60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png"/><Relationship Id="rId1" Type="http://schemas.openxmlformats.org/officeDocument/2006/relationships/chart" Target="../charts/chart8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72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image" Target="../media/image74.emf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227239</xdr:colOff>
      <xdr:row>2</xdr:row>
      <xdr:rowOff>66675</xdr:rowOff>
    </xdr:from>
    <xdr:to>
      <xdr:col>14</xdr:col>
      <xdr:colOff>53432</xdr:colOff>
      <xdr:row>11</xdr:row>
      <xdr:rowOff>9524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80E81C00-0525-42C2-A6E8-C4BB6B7A8DCA}"/>
            </a:ext>
          </a:extLst>
        </xdr:cNvPr>
        <xdr:cNvGrpSpPr/>
      </xdr:nvGrpSpPr>
      <xdr:grpSpPr>
        <a:xfrm>
          <a:off x="4675414" y="447675"/>
          <a:ext cx="5312593" cy="1676399"/>
          <a:chOff x="333375" y="276186"/>
          <a:chExt cx="2959533" cy="2173542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52C6BCDA-C9E4-6AA5-B66E-F35771EB2670}"/>
              </a:ext>
            </a:extLst>
          </xdr:cNvPr>
          <xdr:cNvGrpSpPr/>
        </xdr:nvGrpSpPr>
        <xdr:grpSpPr>
          <a:xfrm>
            <a:off x="333375" y="276186"/>
            <a:ext cx="2959533" cy="2087095"/>
            <a:chOff x="0" y="9585"/>
            <a:chExt cx="2959533" cy="2108835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B64E7354-0B62-C2AC-8BF6-5B2AFC81061C}"/>
                </a:ext>
              </a:extLst>
            </xdr:cNvPr>
            <xdr:cNvSpPr/>
          </xdr:nvSpPr>
          <xdr:spPr>
            <a:xfrm>
              <a:off x="0" y="9585"/>
              <a:ext cx="2959533" cy="210883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B3083E55-ED60-63B9-7371-C12D45FBFAC8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55BC9982-CBE2-AA7D-C60F-3C2D718077F3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177769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59233DEF-FD9E-750B-ACAB-9D39157C3980}"/>
              </a:ext>
            </a:extLst>
          </xdr:cNvPr>
          <xdr:cNvSpPr txBox="1"/>
        </xdr:nvSpPr>
        <xdr:spPr>
          <a:xfrm>
            <a:off x="442289" y="1139133"/>
            <a:ext cx="2847326" cy="13105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Qual o mês de aniversário dos colaboradores?</a:t>
            </a:r>
            <a:endParaRPr lang="pt-BR" sz="1100" b="0" i="0" u="none" strike="noStrike" kern="1200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 função: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Mês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11</xdr:col>
      <xdr:colOff>302078</xdr:colOff>
      <xdr:row>3</xdr:row>
      <xdr:rowOff>85725</xdr:rowOff>
    </xdr:from>
    <xdr:to>
      <xdr:col>13</xdr:col>
      <xdr:colOff>302078</xdr:colOff>
      <xdr:row>9</xdr:row>
      <xdr:rowOff>152400</xdr:rowOff>
    </xdr:to>
    <xdr:pic>
      <xdr:nvPicPr>
        <xdr:cNvPr id="8" name="Imagem 7" descr="birthday, cake, party icon">
          <a:extLst>
            <a:ext uri="{FF2B5EF4-FFF2-40B4-BE49-F238E27FC236}">
              <a16:creationId xmlns:a16="http://schemas.microsoft.com/office/drawing/2014/main" id="{6E5B3452-3850-4E46-BE37-1854E8E14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7853" y="6667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208548</xdr:colOff>
      <xdr:row>0</xdr:row>
      <xdr:rowOff>94247</xdr:rowOff>
    </xdr:from>
    <xdr:to>
      <xdr:col>9</xdr:col>
      <xdr:colOff>475247</xdr:colOff>
      <xdr:row>20</xdr:row>
      <xdr:rowOff>65673</xdr:rowOff>
    </xdr:to>
    <xdr:grpSp>
      <xdr:nvGrpSpPr>
        <xdr:cNvPr id="2" name="Adicionar números como um especialista" descr="Adicionar números como um especialista &#10;Aqui estão algumas maneiras de adicionar números no Excel: &#10;Selecione a célula amarela nos valores de frutas. &#10;Digite =SOMA(D4:D7) e pressione enter. Quando terminar, você verá &#10;o resultado de 170. &#10;Esta é outra maneira de adicionar, usando uma tecla de atalho. Selecione a célula amarela nos valores de carne. &#10;Pressione Alt = primeiro. Em seguida, pressione Enter. &#10;Agora, adicione apenas os números acima de 50. Selecione a última célula amarela. Digite =SOMASE(D11:D15;&quot;&gt;50&quot;)&#10;e pressione Enter. O resultado é 100. &#10;Veja mais detalhes abaixo &#10;Próxima etapa ">
          <a:extLst>
            <a:ext uri="{FF2B5EF4-FFF2-40B4-BE49-F238E27FC236}">
              <a16:creationId xmlns:a16="http://schemas.microsoft.com/office/drawing/2014/main" id="{75D35557-DEBD-4652-A9D2-1296CECC2144}"/>
            </a:ext>
          </a:extLst>
        </xdr:cNvPr>
        <xdr:cNvGrpSpPr/>
      </xdr:nvGrpSpPr>
      <xdr:grpSpPr>
        <a:xfrm>
          <a:off x="208548" y="94247"/>
          <a:ext cx="5695949" cy="3781426"/>
          <a:chOff x="326572" y="266703"/>
          <a:chExt cx="5705475" cy="3592012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4784EA51-2AFD-469C-A787-4EE6F2E5FAD0}"/>
              </a:ext>
            </a:extLst>
          </xdr:cNvPr>
          <xdr:cNvGrpSpPr/>
        </xdr:nvGrpSpPr>
        <xdr:grpSpPr>
          <a:xfrm>
            <a:off x="326572" y="266703"/>
            <a:ext cx="5705475" cy="3592012"/>
            <a:chOff x="0" y="1"/>
            <a:chExt cx="5695950" cy="3562627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82886B5B-D3D0-4CBA-A839-ED0E024B9CFF}"/>
                </a:ext>
              </a:extLst>
            </xdr:cNvPr>
            <xdr:cNvSpPr/>
          </xdr:nvSpPr>
          <xdr:spPr>
            <a:xfrm>
              <a:off x="0" y="1"/>
              <a:ext cx="5695950" cy="3562627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Adicionar números como um especialista">
              <a:extLst>
                <a:ext uri="{FF2B5EF4-FFF2-40B4-BE49-F238E27FC236}">
                  <a16:creationId xmlns:a16="http://schemas.microsoft.com/office/drawing/2014/main" id="{C8178E91-DF6B-4774-B8E8-E2B0C4591736}"/>
                </a:ext>
              </a:extLst>
            </xdr:cNvPr>
            <xdr:cNvSpPr txBox="1"/>
          </xdr:nvSpPr>
          <xdr:spPr>
            <a:xfrm>
              <a:off x="210157" y="340055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Vou aprender neste treinamento</a:t>
              </a:r>
            </a:p>
          </xdr:txBody>
        </xdr:sp>
        <xdr:cxnSp macro="">
          <xdr:nvCxnSpPr>
            <xdr:cNvPr id="23" name="Linha inferior" descr="Linha decorativa">
              <a:extLst>
                <a:ext uri="{FF2B5EF4-FFF2-40B4-BE49-F238E27FC236}">
                  <a16:creationId xmlns:a16="http://schemas.microsoft.com/office/drawing/2014/main" id="{11F6A204-B0E1-4CF0-9907-ED704B70C1BA}"/>
                </a:ext>
              </a:extLst>
            </xdr:cNvPr>
            <xdr:cNvCxnSpPr>
              <a:cxnSpLocks/>
            </xdr:cNvCxnSpPr>
          </xdr:nvCxnSpPr>
          <xdr:spPr>
            <a:xfrm>
              <a:off x="234924" y="3368109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Linha superior" descr="Linha decorativa">
              <a:extLst>
                <a:ext uri="{FF2B5EF4-FFF2-40B4-BE49-F238E27FC236}">
                  <a16:creationId xmlns:a16="http://schemas.microsoft.com/office/drawing/2014/main" id="{078CCB5B-1FA8-43FD-9CC4-5EAAD3E1BA8D}"/>
                </a:ext>
              </a:extLst>
            </xdr:cNvPr>
            <xdr:cNvCxnSpPr>
              <a:cxnSpLocks/>
            </xdr:cNvCxnSpPr>
          </xdr:nvCxnSpPr>
          <xdr:spPr>
            <a:xfrm>
              <a:off x="234924" y="847468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8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3749463B-9B69-4EBA-9275-60B051463EA5}"/>
              </a:ext>
            </a:extLst>
          </xdr:cNvPr>
          <xdr:cNvSpPr txBox="1"/>
        </xdr:nvSpPr>
        <xdr:spPr>
          <a:xfrm>
            <a:off x="537079" y="1307634"/>
            <a:ext cx="5227822" cy="20739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Neste treinamento de </a:t>
            </a:r>
            <a:r>
              <a:rPr lang="pt-BR" sz="16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Microsoft</a:t>
            </a:r>
            <a:r>
              <a:rPr lang="pt-BR" sz="16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</a:t>
            </a:r>
            <a:r>
              <a:rPr lang="pt-BR" sz="16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Excel 2016 Essencial para</a:t>
            </a:r>
            <a:r>
              <a:rPr lang="pt-BR" sz="16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INICIANTES</a:t>
            </a: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, você vai aprender a criar planilhas inteligentes, fazer as fórmulas e funções mais usadas no Excel para quem está começando. Olha, mas</a:t>
            </a:r>
            <a:r>
              <a:rPr lang="pt-BR" sz="16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não se preocupe, caso você já tenha alguns conhecimentos prévios da ferramenta, afinal, conhecimento nunca é demais. ;) </a:t>
            </a: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Também vai aprender a criar Gráficos, tabelas, formatar suas planilhas de forma profissional e muito mais!</a:t>
            </a:r>
            <a:endParaRPr lang="pt-BR" sz="1050" kern="0">
              <a:solidFill>
                <a:schemeClr val="tx1">
                  <a:lumMod val="75000"/>
                  <a:lumOff val="25000"/>
                </a:schemeClr>
              </a:solidFill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oneCell">
    <xdr:from>
      <xdr:col>11</xdr:col>
      <xdr:colOff>720</xdr:colOff>
      <xdr:row>2</xdr:row>
      <xdr:rowOff>124326</xdr:rowOff>
    </xdr:from>
    <xdr:to>
      <xdr:col>21</xdr:col>
      <xdr:colOff>105005</xdr:colOff>
      <xdr:row>20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72369A-927C-48C2-942F-C8666DB64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8220" y="505326"/>
          <a:ext cx="6220338" cy="3304674"/>
        </a:xfrm>
        <a:prstGeom prst="rect">
          <a:avLst/>
        </a:prstGeom>
      </xdr:spPr>
    </xdr:pic>
    <xdr:clientData/>
  </xdr:twoCellAnchor>
  <xdr:twoCellAnchor editAs="oneCell">
    <xdr:from>
      <xdr:col>7</xdr:col>
      <xdr:colOff>471235</xdr:colOff>
      <xdr:row>1</xdr:row>
      <xdr:rowOff>40104</xdr:rowOff>
    </xdr:from>
    <xdr:to>
      <xdr:col>9</xdr:col>
      <xdr:colOff>122870</xdr:colOff>
      <xdr:row>5</xdr:row>
      <xdr:rowOff>152399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13EA9C3-890A-4788-9402-CE1768EA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2314" y="230604"/>
          <a:ext cx="874845" cy="8742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329963</xdr:colOff>
      <xdr:row>56</xdr:row>
      <xdr:rowOff>31750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23E6FF6-CA96-4AD0-AFF6-DF94DC1CA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14"/>
        <a:stretch/>
      </xdr:blipFill>
      <xdr:spPr>
        <a:xfrm>
          <a:off x="0" y="0"/>
          <a:ext cx="16179563" cy="10699750"/>
        </a:xfrm>
        <a:prstGeom prst="rect">
          <a:avLst/>
        </a:prstGeom>
      </xdr:spPr>
    </xdr:pic>
    <xdr:clientData/>
  </xdr:twoCellAnchor>
  <xdr:twoCellAnchor>
    <xdr:from>
      <xdr:col>0</xdr:col>
      <xdr:colOff>165291</xdr:colOff>
      <xdr:row>6</xdr:row>
      <xdr:rowOff>149031</xdr:rowOff>
    </xdr:from>
    <xdr:to>
      <xdr:col>8</xdr:col>
      <xdr:colOff>599209</xdr:colOff>
      <xdr:row>11</xdr:row>
      <xdr:rowOff>101406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10BB5C0C-5A3D-4600-9830-5D93DE91D17F}"/>
            </a:ext>
          </a:extLst>
        </xdr:cNvPr>
        <xdr:cNvSpPr txBox="1"/>
      </xdr:nvSpPr>
      <xdr:spPr>
        <a:xfrm flipH="1">
          <a:off x="165291" y="12920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 FORMATAÇÃO DE DADOS ]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108141</xdr:colOff>
      <xdr:row>4</xdr:row>
      <xdr:rowOff>105641</xdr:rowOff>
    </xdr:from>
    <xdr:to>
      <xdr:col>5</xdr:col>
      <xdr:colOff>527241</xdr:colOff>
      <xdr:row>8</xdr:row>
      <xdr:rowOff>92939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8A4CC7D7-BAD6-48FA-A23F-7C9D288426FF}"/>
            </a:ext>
          </a:extLst>
        </xdr:cNvPr>
        <xdr:cNvSpPr txBox="1"/>
      </xdr:nvSpPr>
      <xdr:spPr>
        <a:xfrm flipH="1">
          <a:off x="108141" y="8676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01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oneCell">
    <xdr:from>
      <xdr:col>9</xdr:col>
      <xdr:colOff>235529</xdr:colOff>
      <xdr:row>1</xdr:row>
      <xdr:rowOff>71005</xdr:rowOff>
    </xdr:from>
    <xdr:to>
      <xdr:col>18</xdr:col>
      <xdr:colOff>445078</xdr:colOff>
      <xdr:row>26</xdr:row>
      <xdr:rowOff>24505</xdr:rowOff>
    </xdr:to>
    <xdr:grpSp>
      <xdr:nvGrpSpPr>
        <xdr:cNvPr id="6" name="Adicionar números como um especialista" descr="Adicionar números como um especialista &#10;Aqui estão algumas maneiras de adicionar números no Excel: &#10;Selecione a célula amarela nos valores de frutas. &#10;Digite =SOMA(D4:D7) e pressione enter. Quando terminar, você verá &#10;o resultado de 170. &#10;Esta é outra maneira de adicionar, usando uma tecla de atalho. Selecione a célula amarela nos valores de carne. &#10;Pressione Alt = primeiro. Em seguida, pressione Enter. &#10;Agora, adicione apenas os números acima de 50. Selecione a última célula amarela. Digite =SOMASE(D11:D15;&quot;&gt;50&quot;)&#10;e pressione Enter. O resultado é 100. &#10;Veja mais detalhes abaixo &#10;Próxima etapa ">
          <a:extLst>
            <a:ext uri="{FF2B5EF4-FFF2-40B4-BE49-F238E27FC236}">
              <a16:creationId xmlns:a16="http://schemas.microsoft.com/office/drawing/2014/main" id="{30528967-9B8A-4B5D-889D-4E83468E420E}"/>
            </a:ext>
          </a:extLst>
        </xdr:cNvPr>
        <xdr:cNvGrpSpPr/>
      </xdr:nvGrpSpPr>
      <xdr:grpSpPr>
        <a:xfrm>
          <a:off x="5721929" y="261505"/>
          <a:ext cx="5695949" cy="4716000"/>
          <a:chOff x="326572" y="266702"/>
          <a:chExt cx="5705475" cy="4804428"/>
        </a:xfrm>
      </xdr:grpSpPr>
      <xdr:grpSp>
        <xdr:nvGrpSpPr>
          <xdr:cNvPr id="7" name="Instrução Adicionar números">
            <a:extLst>
              <a:ext uri="{FF2B5EF4-FFF2-40B4-BE49-F238E27FC236}">
                <a16:creationId xmlns:a16="http://schemas.microsoft.com/office/drawing/2014/main" id="{2B89E1B5-2E31-4378-AC41-C3C5E21EF0ED}"/>
              </a:ext>
            </a:extLst>
          </xdr:cNvPr>
          <xdr:cNvGrpSpPr/>
        </xdr:nvGrpSpPr>
        <xdr:grpSpPr>
          <a:xfrm>
            <a:off x="326572" y="266702"/>
            <a:ext cx="5705475" cy="4804428"/>
            <a:chOff x="0" y="0"/>
            <a:chExt cx="5695950" cy="4765125"/>
          </a:xfrm>
        </xdr:grpSpPr>
        <xdr:sp macro="" textlink="">
          <xdr:nvSpPr>
            <xdr:cNvPr id="27" name="Plano de Fundo" descr="Plano de Fundo">
              <a:extLst>
                <a:ext uri="{FF2B5EF4-FFF2-40B4-BE49-F238E27FC236}">
                  <a16:creationId xmlns:a16="http://schemas.microsoft.com/office/drawing/2014/main" id="{DD01B162-CF99-4374-9CB3-7E88EC9EE659}"/>
                </a:ext>
              </a:extLst>
            </xdr:cNvPr>
            <xdr:cNvSpPr/>
          </xdr:nvSpPr>
          <xdr:spPr>
            <a:xfrm>
              <a:off x="0" y="0"/>
              <a:ext cx="5695950" cy="47651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8" name="Etapa" descr="Adicionar números como um especialista">
              <a:extLst>
                <a:ext uri="{FF2B5EF4-FFF2-40B4-BE49-F238E27FC236}">
                  <a16:creationId xmlns:a16="http://schemas.microsoft.com/office/drawing/2014/main" id="{09AE5C56-B0DE-4D1B-AF91-830163DD9E63}"/>
                </a:ext>
              </a:extLst>
            </xdr:cNvPr>
            <xdr:cNvSpPr txBox="1"/>
          </xdr:nvSpPr>
          <xdr:spPr>
            <a:xfrm>
              <a:off x="231748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O que vou aprender neste capítulo?</a:t>
              </a:r>
            </a:p>
          </xdr:txBody>
        </xdr:sp>
        <xdr:cxnSp macro="">
          <xdr:nvCxnSpPr>
            <xdr:cNvPr id="30" name="Linha inferior" descr="Linha decorativa">
              <a:extLst>
                <a:ext uri="{FF2B5EF4-FFF2-40B4-BE49-F238E27FC236}">
                  <a16:creationId xmlns:a16="http://schemas.microsoft.com/office/drawing/2014/main" id="{D31C0572-59DE-43D3-B068-61FFAEF68EAB}"/>
                </a:ext>
              </a:extLst>
            </xdr:cNvPr>
            <xdr:cNvCxnSpPr>
              <a:cxnSpLocks/>
            </xdr:cNvCxnSpPr>
          </xdr:nvCxnSpPr>
          <xdr:spPr>
            <a:xfrm>
              <a:off x="234924" y="37450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Linha superior" descr="Linha decorativa">
              <a:extLst>
                <a:ext uri="{FF2B5EF4-FFF2-40B4-BE49-F238E27FC236}">
                  <a16:creationId xmlns:a16="http://schemas.microsoft.com/office/drawing/2014/main" id="{4B98609E-906D-445E-93D7-FD80599D3F59}"/>
                </a:ext>
              </a:extLst>
            </xdr:cNvPr>
            <xdr:cNvCxnSpPr>
              <a:cxnSpLocks/>
            </xdr:cNvCxnSpPr>
          </xdr:nvCxnSpPr>
          <xdr:spPr>
            <a:xfrm>
              <a:off x="234924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Etapa5">
            <a:extLst>
              <a:ext uri="{FF2B5EF4-FFF2-40B4-BE49-F238E27FC236}">
                <a16:creationId xmlns:a16="http://schemas.microsoft.com/office/drawing/2014/main" id="{14A95A47-D0CC-4DD3-9D91-9ACA83965659}"/>
              </a:ext>
            </a:extLst>
          </xdr:cNvPr>
          <xdr:cNvGrpSpPr/>
        </xdr:nvGrpSpPr>
        <xdr:grpSpPr>
          <a:xfrm>
            <a:off x="558707" y="3254023"/>
            <a:ext cx="5225273" cy="1524853"/>
            <a:chOff x="231749" y="2962883"/>
            <a:chExt cx="5216550" cy="1512376"/>
          </a:xfrm>
        </xdr:grpSpPr>
        <xdr:sp macro="" textlink="">
          <xdr:nvSpPr>
            <xdr:cNvPr id="25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F0FD2C9E-496B-4EAE-893A-EEAF056787CC}"/>
                </a:ext>
              </a:extLst>
            </xdr:cNvPr>
            <xdr:cNvSpPr txBox="1"/>
          </xdr:nvSpPr>
          <xdr:spPr>
            <a:xfrm>
              <a:off x="638783" y="3005381"/>
              <a:ext cx="4809516" cy="64219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Ao final do capítulo você colocará em prática todo o conteúdo</a:t>
              </a:r>
              <a:r>
                <a:rPr lang="pt-BR" sz="1100" kern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absorvido até o momento</a:t>
              </a: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. Fique calmo</a:t>
              </a:r>
              <a:r>
                <a:rPr lang="pt-BR" sz="1100" kern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é um exercício simples e você terá o apoio do seu material didático e do (a) Professor (a).</a:t>
              </a: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</a:t>
              </a:r>
            </a:p>
          </xdr:txBody>
        </xdr:sp>
        <xdr:sp macro="" textlink="">
          <xdr:nvSpPr>
            <xdr:cNvPr id="26" name="5" descr="5">
              <a:extLst>
                <a:ext uri="{FF2B5EF4-FFF2-40B4-BE49-F238E27FC236}">
                  <a16:creationId xmlns:a16="http://schemas.microsoft.com/office/drawing/2014/main" id="{F776D5F4-8D00-4A91-9EFC-CE78AFC23955}"/>
                </a:ext>
              </a:extLst>
            </xdr:cNvPr>
            <xdr:cNvSpPr/>
          </xdr:nvSpPr>
          <xdr:spPr>
            <a:xfrm>
              <a:off x="231749" y="2962883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5</a:t>
              </a:r>
            </a:p>
          </xdr:txBody>
        </xdr:sp>
        <xdr:sp macro="" textlink="">
          <xdr:nvSpPr>
            <xdr:cNvPr id="29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25D5A560-E062-4DAC-8297-A2947C561BDD}"/>
                </a:ext>
              </a:extLst>
            </xdr:cNvPr>
            <xdr:cNvSpPr txBox="1"/>
          </xdr:nvSpPr>
          <xdr:spPr>
            <a:xfrm>
              <a:off x="314933" y="3833063"/>
              <a:ext cx="5126441" cy="64219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Área</a:t>
              </a:r>
              <a:r>
                <a:rPr lang="pt-BR" sz="1100" kern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de Trabalho - Deslocamento | Seleção | Mover - Alça de Preenchimento - Área de Transferência - Fonte | Alinhamento | Número - Células - Edição - Classificar e Filtrar - Preenchimento Relâmpago - Desafio Cap 01</a:t>
              </a:r>
              <a:endParaRPr lang="pt-BR" sz="1100" kern="0">
                <a:solidFill>
                  <a:schemeClr val="tx1">
                    <a:lumMod val="75000"/>
                    <a:lumOff val="25000"/>
                  </a:schemeClr>
                </a:solidFill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9" name="Etapa4">
            <a:extLst>
              <a:ext uri="{FF2B5EF4-FFF2-40B4-BE49-F238E27FC236}">
                <a16:creationId xmlns:a16="http://schemas.microsoft.com/office/drawing/2014/main" id="{623129AD-951F-425D-9DB8-5A7DDD5771EC}"/>
              </a:ext>
            </a:extLst>
          </xdr:cNvPr>
          <xdr:cNvGrpSpPr/>
        </xdr:nvGrpSpPr>
        <xdr:grpSpPr>
          <a:xfrm>
            <a:off x="558707" y="2770783"/>
            <a:ext cx="5225273" cy="608867"/>
            <a:chOff x="231749" y="2483595"/>
            <a:chExt cx="5216550" cy="603885"/>
          </a:xfrm>
        </xdr:grpSpPr>
        <xdr:sp macro="" textlink="">
          <xdr:nvSpPr>
            <xdr:cNvPr id="20" name="4" descr="4">
              <a:extLst>
                <a:ext uri="{FF2B5EF4-FFF2-40B4-BE49-F238E27FC236}">
                  <a16:creationId xmlns:a16="http://schemas.microsoft.com/office/drawing/2014/main" id="{E9CFBC93-85C4-42DF-9BF0-240803B6E48E}"/>
                </a:ext>
              </a:extLst>
            </xdr:cNvPr>
            <xdr:cNvSpPr/>
          </xdr:nvSpPr>
          <xdr:spPr>
            <a:xfrm>
              <a:off x="231749" y="2483595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  <xdr:sp macro="" textlink="">
          <xdr:nvSpPr>
            <xdr:cNvPr id="22" name="Etapa" descr="Pressione ALT = primeiro. Em seguida, pressione Enter">
              <a:extLst>
                <a:ext uri="{FF2B5EF4-FFF2-40B4-BE49-F238E27FC236}">
                  <a16:creationId xmlns:a16="http://schemas.microsoft.com/office/drawing/2014/main" id="{F34221AA-6E20-40DA-AB8A-52A1F37C9297}"/>
                </a:ext>
              </a:extLst>
            </xdr:cNvPr>
            <xdr:cNvSpPr txBox="1"/>
          </xdr:nvSpPr>
          <xdr:spPr>
            <a:xfrm>
              <a:off x="638783" y="2526093"/>
              <a:ext cx="4809516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Habilidade para administração de arquivos (.xlsx, .txt, .pdf)</a:t>
              </a:r>
            </a:p>
          </xdr:txBody>
        </xdr:sp>
      </xdr:grpSp>
      <xdr:grpSp>
        <xdr:nvGrpSpPr>
          <xdr:cNvPr id="10" name="Etapa3">
            <a:extLst>
              <a:ext uri="{FF2B5EF4-FFF2-40B4-BE49-F238E27FC236}">
                <a16:creationId xmlns:a16="http://schemas.microsoft.com/office/drawing/2014/main" id="{63390C3B-3EF3-45AD-9601-C1F97B68E61F}"/>
              </a:ext>
            </a:extLst>
          </xdr:cNvPr>
          <xdr:cNvGrpSpPr/>
        </xdr:nvGrpSpPr>
        <xdr:grpSpPr>
          <a:xfrm>
            <a:off x="558707" y="2277525"/>
            <a:ext cx="5225273" cy="608867"/>
            <a:chOff x="231749" y="1994372"/>
            <a:chExt cx="5216550" cy="603885"/>
          </a:xfrm>
        </xdr:grpSpPr>
        <xdr:sp macro="" textlink="">
          <xdr:nvSpPr>
            <xdr:cNvPr id="18" name="Etapa" descr="Esta é outra maneira de adicionar, usando uma tecla de atalho. Selecione a célula amarela nos valores de carne">
              <a:extLst>
                <a:ext uri="{FF2B5EF4-FFF2-40B4-BE49-F238E27FC236}">
                  <a16:creationId xmlns:a16="http://schemas.microsoft.com/office/drawing/2014/main" id="{8D8982C1-77B7-409F-92A9-C7BDFFE3D6F3}"/>
                </a:ext>
              </a:extLst>
            </xdr:cNvPr>
            <xdr:cNvSpPr txBox="1"/>
          </xdr:nvSpPr>
          <xdr:spPr>
            <a:xfrm>
              <a:off x="638783" y="2036870"/>
              <a:ext cx="4809516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As</a:t>
              </a:r>
              <a:r>
                <a:rPr lang="pt-BR" sz="1100" kern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principais formatações de planilha, dicas e macetes para seleção de dados, copiar e colar como imagem</a:t>
              </a: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. </a:t>
              </a:r>
            </a:p>
          </xdr:txBody>
        </xdr:sp>
        <xdr:sp macro="" textlink="">
          <xdr:nvSpPr>
            <xdr:cNvPr id="19" name="3" descr="3">
              <a:extLst>
                <a:ext uri="{FF2B5EF4-FFF2-40B4-BE49-F238E27FC236}">
                  <a16:creationId xmlns:a16="http://schemas.microsoft.com/office/drawing/2014/main" id="{F792AA0C-CAEA-49C7-9AAC-A6F3F27DB4FA}"/>
                </a:ext>
              </a:extLst>
            </xdr:cNvPr>
            <xdr:cNvSpPr/>
          </xdr:nvSpPr>
          <xdr:spPr>
            <a:xfrm>
              <a:off x="231749" y="1994372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Etapa2">
            <a:extLst>
              <a:ext uri="{FF2B5EF4-FFF2-40B4-BE49-F238E27FC236}">
                <a16:creationId xmlns:a16="http://schemas.microsoft.com/office/drawing/2014/main" id="{0B2C259D-1FE8-48C0-9EC3-ADB7B60FCEA0}"/>
              </a:ext>
            </a:extLst>
          </xdr:cNvPr>
          <xdr:cNvGrpSpPr/>
        </xdr:nvGrpSpPr>
        <xdr:grpSpPr>
          <a:xfrm>
            <a:off x="558707" y="1769250"/>
            <a:ext cx="5225273" cy="608867"/>
            <a:chOff x="231749" y="1490256"/>
            <a:chExt cx="5216550" cy="603885"/>
          </a:xfrm>
        </xdr:grpSpPr>
        <xdr:sp macro="" textlink="">
          <xdr:nvSpPr>
            <xdr:cNvPr id="16" name="Etapa" descr="Digite =SOMA(D4:D7) e pressione enter. Quando terminar, você verá o resultado de 170">
              <a:extLst>
                <a:ext uri="{FF2B5EF4-FFF2-40B4-BE49-F238E27FC236}">
                  <a16:creationId xmlns:a16="http://schemas.microsoft.com/office/drawing/2014/main" id="{0C77B5BD-4C0D-46AD-A2EF-3D8C4F7FAD32}"/>
                </a:ext>
              </a:extLst>
            </xdr:cNvPr>
            <xdr:cNvSpPr txBox="1"/>
          </xdr:nvSpPr>
          <xdr:spPr>
            <a:xfrm>
              <a:off x="638782" y="1532754"/>
              <a:ext cx="4809517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Maneira clássica</a:t>
              </a:r>
              <a:r>
                <a:rPr lang="pt-BR" sz="1100" kern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de trabalhar com os dados no Excel 2016</a:t>
              </a: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.</a:t>
              </a:r>
            </a:p>
          </xdr:txBody>
        </xdr:sp>
        <xdr:sp macro="" textlink="">
          <xdr:nvSpPr>
            <xdr:cNvPr id="17" name="2" descr="2">
              <a:extLst>
                <a:ext uri="{FF2B5EF4-FFF2-40B4-BE49-F238E27FC236}">
                  <a16:creationId xmlns:a16="http://schemas.microsoft.com/office/drawing/2014/main" id="{95C04B32-4467-4DFC-B3F4-021C24BD50AE}"/>
                </a:ext>
              </a:extLst>
            </xdr:cNvPr>
            <xdr:cNvSpPr/>
          </xdr:nvSpPr>
          <xdr:spPr>
            <a:xfrm>
              <a:off x="231749" y="1490256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2" name="Etapa1">
            <a:extLst>
              <a:ext uri="{FF2B5EF4-FFF2-40B4-BE49-F238E27FC236}">
                <a16:creationId xmlns:a16="http://schemas.microsoft.com/office/drawing/2014/main" id="{E99FB1C9-C57F-4D60-BB9A-64A4122BF8FF}"/>
              </a:ext>
            </a:extLst>
          </xdr:cNvPr>
          <xdr:cNvGrpSpPr/>
        </xdr:nvGrpSpPr>
        <xdr:grpSpPr>
          <a:xfrm>
            <a:off x="558707" y="1278313"/>
            <a:ext cx="5225273" cy="608867"/>
            <a:chOff x="231749" y="1003336"/>
            <a:chExt cx="5216550" cy="603885"/>
          </a:xfrm>
        </xdr:grpSpPr>
        <xdr:sp macro="" textlink="">
          <xdr:nvSpPr>
            <xdr:cNvPr id="14" name="Etapa" descr="Selecione a célula amarela nos valores de frutas">
              <a:extLst>
                <a:ext uri="{FF2B5EF4-FFF2-40B4-BE49-F238E27FC236}">
                  <a16:creationId xmlns:a16="http://schemas.microsoft.com/office/drawing/2014/main" id="{2B03DF90-0ABF-407C-937B-CC3794FA85B4}"/>
                </a:ext>
              </a:extLst>
            </xdr:cNvPr>
            <xdr:cNvSpPr txBox="1"/>
          </xdr:nvSpPr>
          <xdr:spPr>
            <a:xfrm>
              <a:off x="638783" y="1045834"/>
              <a:ext cx="4809516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A nova Interface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[Área de Trabalho] 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do Excel 2016.</a:t>
              </a:r>
            </a:p>
          </xdr:txBody>
        </xdr:sp>
        <xdr:sp macro="" textlink="">
          <xdr:nvSpPr>
            <xdr:cNvPr id="15" name="1" descr="1">
              <a:extLst>
                <a:ext uri="{FF2B5EF4-FFF2-40B4-BE49-F238E27FC236}">
                  <a16:creationId xmlns:a16="http://schemas.microsoft.com/office/drawing/2014/main" id="{1A996EA0-BF18-4ED8-ACE9-C5EB6E477E6F}"/>
                </a:ext>
              </a:extLst>
            </xdr:cNvPr>
            <xdr:cNvSpPr/>
          </xdr:nvSpPr>
          <xdr:spPr>
            <a:xfrm>
              <a:off x="231749" y="1003336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sp macro="" textlink="">
        <xdr:nvSpPr>
          <xdr:cNvPr id="13" name="Introdução à adição de números" descr="Aqui estão algumas maneiras de adicionar números no Excel:">
            <a:extLst>
              <a:ext uri="{FF2B5EF4-FFF2-40B4-BE49-F238E27FC236}">
                <a16:creationId xmlns:a16="http://schemas.microsoft.com/office/drawing/2014/main" id="{98F4F39D-3CDB-4F64-9D8F-E5B6C2A223A0}"/>
              </a:ext>
            </a:extLst>
          </xdr:cNvPr>
          <xdr:cNvSpPr txBox="1"/>
        </xdr:nvSpPr>
        <xdr:spPr>
          <a:xfrm>
            <a:off x="555554" y="972193"/>
            <a:ext cx="5309802" cy="2548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A seguir os principais tópicos deste capítulo: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122768</xdr:colOff>
      <xdr:row>2</xdr:row>
      <xdr:rowOff>49744</xdr:rowOff>
    </xdr:from>
    <xdr:to>
      <xdr:col>5</xdr:col>
      <xdr:colOff>579967</xdr:colOff>
      <xdr:row>24</xdr:row>
      <xdr:rowOff>61385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470856BB-707D-4954-9395-EB453EB87E10}"/>
            </a:ext>
          </a:extLst>
        </xdr:cNvPr>
        <xdr:cNvGrpSpPr/>
      </xdr:nvGrpSpPr>
      <xdr:grpSpPr>
        <a:xfrm>
          <a:off x="122768" y="430744"/>
          <a:ext cx="5968092" cy="4243462"/>
          <a:chOff x="133350" y="219077"/>
          <a:chExt cx="5791111" cy="4225473"/>
        </a:xfrm>
      </xdr:grpSpPr>
      <xdr:grpSp>
        <xdr:nvGrpSpPr>
          <xdr:cNvPr id="14" name="Agrupar 13">
            <a:extLst>
              <a:ext uri="{FF2B5EF4-FFF2-40B4-BE49-F238E27FC236}">
                <a16:creationId xmlns:a16="http://schemas.microsoft.com/office/drawing/2014/main" id="{A5DB20ED-0A32-49EF-BA81-E81D094EE6CD}"/>
              </a:ext>
            </a:extLst>
          </xdr:cNvPr>
          <xdr:cNvGrpSpPr/>
        </xdr:nvGrpSpPr>
        <xdr:grpSpPr>
          <a:xfrm>
            <a:off x="133350" y="219077"/>
            <a:ext cx="5736430" cy="4225473"/>
            <a:chOff x="133350" y="219077"/>
            <a:chExt cx="5698330" cy="3278183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3A5D0DEF-7B48-44C9-8E44-7B356FD2DEB6}"/>
                </a:ext>
              </a:extLst>
            </xdr:cNvPr>
            <xdr:cNvSpPr/>
          </xdr:nvSpPr>
          <xdr:spPr>
            <a:xfrm>
              <a:off x="133350" y="219077"/>
              <a:ext cx="5698330" cy="3278183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Adicionar números como um especialista">
              <a:extLst>
                <a:ext uri="{FF2B5EF4-FFF2-40B4-BE49-F238E27FC236}">
                  <a16:creationId xmlns:a16="http://schemas.microsoft.com/office/drawing/2014/main" id="{AC581B22-FC24-4D38-B804-7908D81F7653}"/>
                </a:ext>
              </a:extLst>
            </xdr:cNvPr>
            <xdr:cNvSpPr txBox="1"/>
          </xdr:nvSpPr>
          <xdr:spPr>
            <a:xfrm>
              <a:off x="379509" y="354617"/>
              <a:ext cx="4795741" cy="5212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Deslocamento, Seleção, Mover </a:t>
              </a:r>
            </a:p>
          </xdr:txBody>
        </xdr:sp>
        <xdr:cxnSp macro="">
          <xdr:nvCxnSpPr>
            <xdr:cNvPr id="7" name="Linha inferior" descr="Linha decorativa">
              <a:extLst>
                <a:ext uri="{FF2B5EF4-FFF2-40B4-BE49-F238E27FC236}">
                  <a16:creationId xmlns:a16="http://schemas.microsoft.com/office/drawing/2014/main" id="{ADF43DC3-63CE-44FE-984D-005E4A5B88AC}"/>
                </a:ext>
              </a:extLst>
            </xdr:cNvPr>
            <xdr:cNvCxnSpPr>
              <a:cxnSpLocks/>
            </xdr:cNvCxnSpPr>
          </xdr:nvCxnSpPr>
          <xdr:spPr>
            <a:xfrm>
              <a:off x="294859" y="2726028"/>
              <a:ext cx="521232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3544F8AF-0094-4F2D-A224-0AD844C6D9FF}"/>
                </a:ext>
              </a:extLst>
            </xdr:cNvPr>
            <xdr:cNvSpPr txBox="1"/>
          </xdr:nvSpPr>
          <xdr:spPr>
            <a:xfrm>
              <a:off x="282861" y="949124"/>
              <a:ext cx="5047643" cy="19521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6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Nesta atividade vamos aplicar os conceitos de:</a:t>
              </a:r>
            </a:p>
            <a:p>
              <a:pPr lvl="0" rtl="0">
                <a:defRPr/>
              </a:pPr>
              <a:endParaRPr lang="pt-BR" sz="8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3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 Deslocamento</a:t>
              </a:r>
            </a:p>
            <a:p>
              <a:pPr lvl="0" rtl="0">
                <a:defRPr/>
              </a:pPr>
              <a:r>
                <a:rPr lang="pt-BR" sz="13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3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Seleção</a:t>
              </a: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de células</a:t>
              </a:r>
            </a:p>
            <a:p>
              <a:pPr lvl="0" rtl="0">
                <a:defRPr/>
              </a:pPr>
              <a:r>
                <a:rPr lang="pt-BR" sz="1300" b="0" i="0" kern="12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 </a:t>
              </a: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Mover</a:t>
              </a:r>
            </a:p>
            <a:p>
              <a:pPr lvl="0" rtl="0">
                <a:defRPr/>
              </a:pPr>
              <a:endPara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4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Fique atento!</a:t>
              </a:r>
            </a:p>
            <a:p>
              <a:pPr lvl="0" rtl="0">
                <a:defRPr/>
              </a:pP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Neste exercício vamos utilizar muito as teclas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CTRL</a:t>
              </a: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e/ou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SHIFT</a:t>
              </a:r>
            </a:p>
          </xdr:txBody>
        </xdr:sp>
        <xdr:cxnSp macro="">
          <xdr:nvCxnSpPr>
            <xdr:cNvPr id="13" name="Linha inferior" descr="Linha decorativa">
              <a:extLst>
                <a:ext uri="{FF2B5EF4-FFF2-40B4-BE49-F238E27FC236}">
                  <a16:creationId xmlns:a16="http://schemas.microsoft.com/office/drawing/2014/main" id="{08D72F9E-79FD-4FD0-907B-7C0E8D36007A}"/>
                </a:ext>
              </a:extLst>
            </xdr:cNvPr>
            <xdr:cNvCxnSpPr>
              <a:cxnSpLocks/>
            </xdr:cNvCxnSpPr>
          </xdr:nvCxnSpPr>
          <xdr:spPr>
            <a:xfrm>
              <a:off x="332317" y="820739"/>
              <a:ext cx="521232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17" name="Imagem 16" descr="Resultado de imagem para Ã­cone mouse">
            <a:extLst>
              <a:ext uri="{FF2B5EF4-FFF2-40B4-BE49-F238E27FC236}">
                <a16:creationId xmlns:a16="http://schemas.microsoft.com/office/drawing/2014/main" id="{115C2A5C-02D3-4A94-91A6-BA0FA24364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602824">
            <a:off x="287694" y="3549561"/>
            <a:ext cx="671625" cy="66739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38F85A1D-A0FA-4B98-A9E1-A14D1B5241D8}"/>
              </a:ext>
            </a:extLst>
          </xdr:cNvPr>
          <xdr:cNvSpPr txBox="1"/>
        </xdr:nvSpPr>
        <xdr:spPr>
          <a:xfrm>
            <a:off x="842951" y="3450810"/>
            <a:ext cx="5081510" cy="914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Dica especial</a:t>
            </a:r>
          </a:p>
          <a:p>
            <a:pPr lvl="0" rtl="0">
              <a:defRPr/>
            </a:pPr>
            <a:r>
              <a:rPr lang="pt-BR" sz="11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O uso do mouse é totalmente opcional, porém, uma vez que você conseguir dominar as teclas de atalho, os ganhos de produtividade serão totalmente satisfatórios</a:t>
            </a:r>
            <a:endParaRPr lang="pt-BR" sz="1300" b="1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4</xdr:col>
      <xdr:colOff>520612</xdr:colOff>
      <xdr:row>29</xdr:row>
      <xdr:rowOff>90465</xdr:rowOff>
    </xdr:from>
    <xdr:to>
      <xdr:col>8</xdr:col>
      <xdr:colOff>2084906</xdr:colOff>
      <xdr:row>33</xdr:row>
      <xdr:rowOff>59738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B9D73515-CBE4-435C-A188-D63EF7C5B4AA}"/>
            </a:ext>
          </a:extLst>
        </xdr:cNvPr>
        <xdr:cNvSpPr/>
      </xdr:nvSpPr>
      <xdr:spPr>
        <a:xfrm>
          <a:off x="5419183" y="5683001"/>
          <a:ext cx="3414866" cy="731273"/>
        </a:xfrm>
        <a:prstGeom prst="roundRect">
          <a:avLst>
            <a:gd name="adj" fmla="val 1220"/>
          </a:avLst>
        </a:prstGeom>
        <a:solidFill>
          <a:schemeClr val="bg1"/>
        </a:solidFill>
        <a:ln w="19050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ctr"/>
        <a:lstStyle/>
        <a:p>
          <a:pPr algn="ctr"/>
          <a:r>
            <a:rPr lang="pt-BR" sz="1600" baseline="0">
              <a:solidFill>
                <a:schemeClr val="tx1"/>
              </a:solidFill>
            </a:rPr>
            <a:t>Precisamos mover o conteúdo do lado direito para o lado esquerdo</a:t>
          </a:r>
          <a:endParaRPr lang="pt-BR" sz="16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158751</xdr:rowOff>
    </xdr:from>
    <xdr:to>
      <xdr:col>5</xdr:col>
      <xdr:colOff>504825</xdr:colOff>
      <xdr:row>20</xdr:row>
      <xdr:rowOff>153629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7DD69E96-FF3F-4BDD-938A-9D1EB1EEA148}"/>
            </a:ext>
          </a:extLst>
        </xdr:cNvPr>
        <xdr:cNvGrpSpPr/>
      </xdr:nvGrpSpPr>
      <xdr:grpSpPr>
        <a:xfrm>
          <a:off x="142876" y="349251"/>
          <a:ext cx="7972424" cy="3919178"/>
          <a:chOff x="133350" y="219076"/>
          <a:chExt cx="5736430" cy="3692821"/>
        </a:xfrm>
      </xdr:grpSpPr>
      <xdr:grpSp>
        <xdr:nvGrpSpPr>
          <xdr:cNvPr id="3" name="Agrupar 2">
            <a:extLst>
              <a:ext uri="{FF2B5EF4-FFF2-40B4-BE49-F238E27FC236}">
                <a16:creationId xmlns:a16="http://schemas.microsoft.com/office/drawing/2014/main" id="{9776FBF6-E1A4-4F51-8EBD-DD2BC7C94557}"/>
              </a:ext>
            </a:extLst>
          </xdr:cNvPr>
          <xdr:cNvGrpSpPr/>
        </xdr:nvGrpSpPr>
        <xdr:grpSpPr>
          <a:xfrm>
            <a:off x="133350" y="219076"/>
            <a:ext cx="5736430" cy="3692821"/>
            <a:chOff x="133350" y="219076"/>
            <a:chExt cx="5698330" cy="2864944"/>
          </a:xfrm>
        </xdr:grpSpPr>
        <xdr:sp macro="" textlink="">
          <xdr:nvSpPr>
            <xdr:cNvPr id="6" name="Plano de Fundo" descr="Plano de Fundo">
              <a:extLst>
                <a:ext uri="{FF2B5EF4-FFF2-40B4-BE49-F238E27FC236}">
                  <a16:creationId xmlns:a16="http://schemas.microsoft.com/office/drawing/2014/main" id="{7E68E7F6-4739-40E6-BC0C-ECBF022A0219}"/>
                </a:ext>
              </a:extLst>
            </xdr:cNvPr>
            <xdr:cNvSpPr/>
          </xdr:nvSpPr>
          <xdr:spPr>
            <a:xfrm>
              <a:off x="133350" y="219076"/>
              <a:ext cx="5698330" cy="286494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7" name="Etapa" descr="Adicionar números como um especialista">
              <a:extLst>
                <a:ext uri="{FF2B5EF4-FFF2-40B4-BE49-F238E27FC236}">
                  <a16:creationId xmlns:a16="http://schemas.microsoft.com/office/drawing/2014/main" id="{620CA556-77A9-4077-B22C-C0BA2524FA12}"/>
                </a:ext>
              </a:extLst>
            </xdr:cNvPr>
            <xdr:cNvSpPr txBox="1"/>
          </xdr:nvSpPr>
          <xdr:spPr>
            <a:xfrm>
              <a:off x="379508" y="354618"/>
              <a:ext cx="4990338" cy="4390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Alça de Preenchimento e Preenchimento em Série</a:t>
              </a:r>
            </a:p>
          </xdr:txBody>
        </xdr:sp>
        <xdr:cxnSp macro="">
          <xdr:nvCxnSpPr>
            <xdr:cNvPr id="8" name="Linha inferior" descr="Linha decorativa">
              <a:extLst>
                <a:ext uri="{FF2B5EF4-FFF2-40B4-BE49-F238E27FC236}">
                  <a16:creationId xmlns:a16="http://schemas.microsoft.com/office/drawing/2014/main" id="{20D8412B-8491-4D5E-9729-22BD8B35D2D4}"/>
                </a:ext>
              </a:extLst>
            </xdr:cNvPr>
            <xdr:cNvCxnSpPr>
              <a:cxnSpLocks/>
            </xdr:cNvCxnSpPr>
          </xdr:nvCxnSpPr>
          <xdr:spPr>
            <a:xfrm>
              <a:off x="333065" y="2290562"/>
              <a:ext cx="521232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48A84AAE-2D31-4D08-AA3D-C593713BEAAF}"/>
                </a:ext>
              </a:extLst>
            </xdr:cNvPr>
            <xdr:cNvSpPr txBox="1"/>
          </xdr:nvSpPr>
          <xdr:spPr>
            <a:xfrm>
              <a:off x="293454" y="969409"/>
              <a:ext cx="5047643" cy="15556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6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Nesta atividade vamos aplicar os conceitos de:</a:t>
              </a:r>
            </a:p>
            <a:p>
              <a:pPr lvl="0" rtl="0">
                <a:defRPr/>
              </a:pPr>
              <a:endParaRPr lang="pt-BR" sz="8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3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 Alça de preenchimento</a:t>
              </a:r>
            </a:p>
            <a:p>
              <a:pPr lvl="0" rtl="0">
                <a:defRPr/>
              </a:pPr>
              <a:r>
                <a:rPr lang="pt-BR" sz="13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800" b="0" i="0" kern="12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Preenchimento em Série</a:t>
              </a:r>
              <a:endPara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4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Fique atento!</a:t>
              </a:r>
            </a:p>
            <a:p>
              <a:pPr lvl="0" rtl="0">
                <a:defRPr/>
              </a:pP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Neste exercício vamos utilizar muito as teclas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CTRL</a:t>
              </a:r>
              <a:r>
                <a:rPr lang="pt-BR" sz="13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e/ou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SHIFT</a:t>
              </a:r>
            </a:p>
          </xdr:txBody>
        </xdr:sp>
        <xdr:cxnSp macro="">
          <xdr:nvCxnSpPr>
            <xdr:cNvPr id="10" name="Linha inferior" descr="Linha decorativa">
              <a:extLst>
                <a:ext uri="{FF2B5EF4-FFF2-40B4-BE49-F238E27FC236}">
                  <a16:creationId xmlns:a16="http://schemas.microsoft.com/office/drawing/2014/main" id="{CE433D77-877F-45A7-941F-ADE9AF725EC5}"/>
                </a:ext>
              </a:extLst>
            </xdr:cNvPr>
            <xdr:cNvCxnSpPr>
              <a:cxnSpLocks/>
            </xdr:cNvCxnSpPr>
          </xdr:nvCxnSpPr>
          <xdr:spPr>
            <a:xfrm>
              <a:off x="323120" y="951434"/>
              <a:ext cx="521232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4" name="Imagem 3" descr="Resultado de imagem para Ã­cone mouse">
            <a:extLst>
              <a:ext uri="{FF2B5EF4-FFF2-40B4-BE49-F238E27FC236}">
                <a16:creationId xmlns:a16="http://schemas.microsoft.com/office/drawing/2014/main" id="{6CA03608-12C5-4593-B7A5-4D04EF504D6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602824">
            <a:off x="207272" y="3067822"/>
            <a:ext cx="671625" cy="66739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728D65B5-1135-448C-B478-04C30D43C200}"/>
              </a:ext>
            </a:extLst>
          </xdr:cNvPr>
          <xdr:cNvSpPr txBox="1"/>
        </xdr:nvSpPr>
        <xdr:spPr>
          <a:xfrm>
            <a:off x="771794" y="2959561"/>
            <a:ext cx="5081510" cy="914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Dica especial</a:t>
            </a:r>
          </a:p>
          <a:p>
            <a:pPr lvl="0" rtl="0">
              <a:defRPr/>
            </a:pPr>
            <a:r>
              <a:rPr lang="pt-BR" sz="11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O uso do mouse é totalmente opcional, porém, uma vez que você conseguir dominar as teclas de atalho, os ganhos de produtividade serão totalmente satisfatórios</a:t>
            </a:r>
            <a:endParaRPr lang="pt-BR" sz="1300" b="1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180976</xdr:colOff>
      <xdr:row>0</xdr:row>
      <xdr:rowOff>152400</xdr:rowOff>
    </xdr:from>
    <xdr:to>
      <xdr:col>9</xdr:col>
      <xdr:colOff>128155</xdr:colOff>
      <xdr:row>25</xdr:row>
      <xdr:rowOff>28574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9C3179AC-8DBA-44A7-BDA3-92C8C3651071}"/>
            </a:ext>
          </a:extLst>
        </xdr:cNvPr>
        <xdr:cNvGrpSpPr/>
      </xdr:nvGrpSpPr>
      <xdr:grpSpPr>
        <a:xfrm>
          <a:off x="180976" y="152400"/>
          <a:ext cx="5433579" cy="5105399"/>
          <a:chOff x="237877" y="371677"/>
          <a:chExt cx="5398077" cy="4880943"/>
        </a:xfrm>
      </xdr:grpSpPr>
      <xdr:grpSp>
        <xdr:nvGrpSpPr>
          <xdr:cNvPr id="4" name="Agrupar 3">
            <a:extLst>
              <a:ext uri="{FF2B5EF4-FFF2-40B4-BE49-F238E27FC236}">
                <a16:creationId xmlns:a16="http://schemas.microsoft.com/office/drawing/2014/main" id="{43622DFB-975F-463A-B4F3-5ECEBAA83C78}"/>
              </a:ext>
            </a:extLst>
          </xdr:cNvPr>
          <xdr:cNvGrpSpPr/>
        </xdr:nvGrpSpPr>
        <xdr:grpSpPr>
          <a:xfrm>
            <a:off x="237877" y="371677"/>
            <a:ext cx="5398077" cy="4880943"/>
            <a:chOff x="169368" y="384550"/>
            <a:chExt cx="5136523" cy="3388910"/>
          </a:xfrm>
        </xdr:grpSpPr>
        <xdr:sp macro="" textlink="">
          <xdr:nvSpPr>
            <xdr:cNvPr id="7" name="Plano de Fundo" descr="Plano de Fundo">
              <a:extLst>
                <a:ext uri="{FF2B5EF4-FFF2-40B4-BE49-F238E27FC236}">
                  <a16:creationId xmlns:a16="http://schemas.microsoft.com/office/drawing/2014/main" id="{1102A0D0-8BC3-4739-9EE5-71F0E6EF4089}"/>
                </a:ext>
              </a:extLst>
            </xdr:cNvPr>
            <xdr:cNvSpPr/>
          </xdr:nvSpPr>
          <xdr:spPr>
            <a:xfrm>
              <a:off x="169368" y="384550"/>
              <a:ext cx="5136523" cy="3388910"/>
            </a:xfrm>
            <a:prstGeom prst="rect">
              <a:avLst/>
            </a:prstGeom>
            <a:ln/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8" name="Etapa" descr="Adicionar números como um especialista">
              <a:extLst>
                <a:ext uri="{FF2B5EF4-FFF2-40B4-BE49-F238E27FC236}">
                  <a16:creationId xmlns:a16="http://schemas.microsoft.com/office/drawing/2014/main" id="{EBE9C387-30F5-4B4C-8B76-D03E8B000761}"/>
                </a:ext>
              </a:extLst>
            </xdr:cNvPr>
            <xdr:cNvSpPr txBox="1"/>
          </xdr:nvSpPr>
          <xdr:spPr>
            <a:xfrm>
              <a:off x="343838" y="494034"/>
              <a:ext cx="4836860" cy="4390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Área de Transferência </a:t>
              </a:r>
              <a:r>
                <a:rPr lang="pt-BR" sz="18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(Recortar, Copiar e Colar)</a:t>
              </a:r>
              <a:endParaRPr lang="pt-BR" sz="2200" b="1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9" name="Linha inferior" descr="Linha decorativa">
              <a:extLst>
                <a:ext uri="{FF2B5EF4-FFF2-40B4-BE49-F238E27FC236}">
                  <a16:creationId xmlns:a16="http://schemas.microsoft.com/office/drawing/2014/main" id="{82CC39E7-ED86-4D80-B907-D33405082FE8}"/>
                </a:ext>
              </a:extLst>
            </xdr:cNvPr>
            <xdr:cNvCxnSpPr>
              <a:cxnSpLocks/>
            </xdr:cNvCxnSpPr>
          </xdr:nvCxnSpPr>
          <xdr:spPr>
            <a:xfrm>
              <a:off x="219305" y="3256521"/>
              <a:ext cx="4863299" cy="15748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3C8F6FB2-DE02-4D69-AF76-911397552A83}"/>
                </a:ext>
              </a:extLst>
            </xdr:cNvPr>
            <xdr:cNvSpPr txBox="1"/>
          </xdr:nvSpPr>
          <xdr:spPr>
            <a:xfrm>
              <a:off x="240258" y="1011978"/>
              <a:ext cx="4940439" cy="26576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6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Nesta atividade vamos aplicar os conceitos de:</a:t>
              </a:r>
              <a:endParaRPr lang="pt-BR" sz="16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8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300" b="1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 Área de Transferência</a:t>
              </a:r>
            </a:p>
            <a:p>
              <a:pPr lvl="0" rtl="0">
                <a:defRPr/>
              </a:pPr>
              <a:r>
                <a:rPr lang="pt-BR" sz="1300" b="1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800" b="1" i="0" kern="12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Recortar, Copiar e Colar</a:t>
              </a:r>
            </a:p>
            <a:p>
              <a:pPr lvl="0" rtl="0">
                <a:defRPr/>
              </a:pPr>
              <a:r>
                <a:rPr lang="pt-BR" sz="1300" b="1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800" b="1" i="0" kern="12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Copiar como Imagem</a:t>
              </a:r>
            </a:p>
            <a:p>
              <a:pPr lvl="0" rtl="0">
                <a:defRPr/>
              </a:pPr>
              <a:r>
                <a:rPr lang="pt-BR" sz="1300" b="1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800" b="1" i="0" kern="12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300" b="1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Pincel de formatação</a:t>
              </a:r>
            </a:p>
            <a:p>
              <a:pPr lvl="0" rtl="0">
                <a:defRPr/>
              </a:pPr>
              <a:endParaRPr lang="pt-BR" sz="7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600" b="1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Sobre as teclas de atalho:</a:t>
              </a:r>
            </a:p>
            <a:p>
              <a:pPr lvl="0" rtl="0">
                <a:defRPr/>
              </a:pPr>
              <a:endParaRPr lang="pt-BR" sz="200" b="1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endParaRPr lang="pt-BR" sz="1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2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As teclas de atalho demonstradas acima, são muito bem-vindas em outros produtos do pacote office (MS Word e MS PowerPoint)</a:t>
              </a:r>
            </a:p>
          </xdr:txBody>
        </xdr:sp>
        <xdr:cxnSp macro="">
          <xdr:nvCxnSpPr>
            <xdr:cNvPr id="11" name="Linha inferior" descr="Linha decorativa">
              <a:extLst>
                <a:ext uri="{FF2B5EF4-FFF2-40B4-BE49-F238E27FC236}">
                  <a16:creationId xmlns:a16="http://schemas.microsoft.com/office/drawing/2014/main" id="{3DAD2679-34D2-4361-B4CA-CB3C37B36778}"/>
                </a:ext>
              </a:extLst>
            </xdr:cNvPr>
            <xdr:cNvCxnSpPr>
              <a:cxnSpLocks/>
            </xdr:cNvCxnSpPr>
          </xdr:nvCxnSpPr>
          <xdr:spPr>
            <a:xfrm flipV="1">
              <a:off x="304976" y="874328"/>
              <a:ext cx="4795464" cy="8093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24" name="Gráfico 23" descr="Recortar">
            <a:extLst>
              <a:ext uri="{FF2B5EF4-FFF2-40B4-BE49-F238E27FC236}">
                <a16:creationId xmlns:a16="http://schemas.microsoft.com/office/drawing/2014/main" id="{3A3D661A-6F14-43FE-A480-ECB7EFD351C5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4360385">
            <a:off x="617300" y="3218209"/>
            <a:ext cx="714710" cy="711247"/>
          </a:xfrm>
          <a:prstGeom prst="rect">
            <a:avLst/>
          </a:prstGeom>
        </xdr:spPr>
      </xdr:pic>
      <xdr:pic>
        <xdr:nvPicPr>
          <xdr:cNvPr id="30" name="Imagem 29" descr="Colar">
            <a:extLst>
              <a:ext uri="{FF2B5EF4-FFF2-40B4-BE49-F238E27FC236}">
                <a16:creationId xmlns:a16="http://schemas.microsoft.com/office/drawing/2014/main" id="{EAAB795A-EDD2-43FB-B2B9-5ACC58723AA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20241753" flipH="1">
            <a:off x="3499969" y="3289893"/>
            <a:ext cx="544597" cy="548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34" name="Agrupar 33" descr="Copiar&#10;">
            <a:extLst>
              <a:ext uri="{FF2B5EF4-FFF2-40B4-BE49-F238E27FC236}">
                <a16:creationId xmlns:a16="http://schemas.microsoft.com/office/drawing/2014/main" id="{C2D2DC04-729C-430F-9932-DF88A0A0D9E4}"/>
              </a:ext>
            </a:extLst>
          </xdr:cNvPr>
          <xdr:cNvGrpSpPr/>
        </xdr:nvGrpSpPr>
        <xdr:grpSpPr>
          <a:xfrm>
            <a:off x="2104160" y="3277465"/>
            <a:ext cx="663286" cy="619125"/>
            <a:chOff x="7096125" y="933450"/>
            <a:chExt cx="1133475" cy="923925"/>
          </a:xfrm>
        </xdr:grpSpPr>
        <xdr:pic>
          <xdr:nvPicPr>
            <xdr:cNvPr id="32" name="Gráfico 31" descr="Papel">
              <a:extLst>
                <a:ext uri="{FF2B5EF4-FFF2-40B4-BE49-F238E27FC236}">
                  <a16:creationId xmlns:a16="http://schemas.microsoft.com/office/drawing/2014/main" id="{FC24675A-1A4D-467F-982A-1238A4D13A2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5"/>
                </a:ext>
              </a:extLst>
            </a:blip>
            <a:stretch>
              <a:fillRect/>
            </a:stretch>
          </xdr:blipFill>
          <xdr:spPr>
            <a:xfrm>
              <a:off x="7315200" y="933450"/>
              <a:ext cx="914400" cy="914400"/>
            </a:xfrm>
            <a:prstGeom prst="rect">
              <a:avLst/>
            </a:prstGeom>
          </xdr:spPr>
        </xdr:pic>
        <xdr:pic>
          <xdr:nvPicPr>
            <xdr:cNvPr id="33" name="Gráfico 32" descr="Papel">
              <a:extLst>
                <a:ext uri="{FF2B5EF4-FFF2-40B4-BE49-F238E27FC236}">
                  <a16:creationId xmlns:a16="http://schemas.microsoft.com/office/drawing/2014/main" id="{7DF9550B-C16C-4B3D-AC2F-3ED1C994B58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5"/>
                </a:ext>
              </a:extLst>
            </a:blip>
            <a:stretch>
              <a:fillRect/>
            </a:stretch>
          </xdr:blipFill>
          <xdr:spPr>
            <a:xfrm>
              <a:off x="7096125" y="942975"/>
              <a:ext cx="914400" cy="914400"/>
            </a:xfrm>
            <a:prstGeom prst="rect">
              <a:avLst/>
            </a:prstGeom>
          </xdr:spPr>
        </xdr:pic>
      </xdr:grpSp>
      <xdr:sp macro="" textlink="">
        <xdr:nvSpPr>
          <xdr:cNvPr id="35" name="CaixaDeTexto 34">
            <a:extLst>
              <a:ext uri="{FF2B5EF4-FFF2-40B4-BE49-F238E27FC236}">
                <a16:creationId xmlns:a16="http://schemas.microsoft.com/office/drawing/2014/main" id="{CEC79B07-1C5D-46D9-B374-5E52FC45D881}"/>
              </a:ext>
            </a:extLst>
          </xdr:cNvPr>
          <xdr:cNvSpPr txBox="1"/>
        </xdr:nvSpPr>
        <xdr:spPr>
          <a:xfrm>
            <a:off x="419100" y="3753714"/>
            <a:ext cx="1307523" cy="7039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>
                <a:latin typeface="Segoe UI Light" panose="020B0502040204020203" pitchFamily="34" charset="0"/>
                <a:cs typeface="Segoe UI Light" panose="020B0502040204020203" pitchFamily="34" charset="0"/>
              </a:rPr>
              <a:t>RECORTAR</a:t>
            </a:r>
          </a:p>
          <a:p>
            <a:pPr algn="ctr"/>
            <a:r>
              <a:rPr lang="pt-BR" sz="1100" b="1">
                <a:latin typeface="Segoe UI Light" panose="020B0502040204020203" pitchFamily="34" charset="0"/>
                <a:cs typeface="Segoe UI Light" panose="020B0502040204020203" pitchFamily="34" charset="0"/>
              </a:rPr>
              <a:t>CTRL +</a:t>
            </a:r>
            <a:r>
              <a:rPr lang="pt-BR" sz="1100" b="1" baseline="0">
                <a:latin typeface="Segoe UI Light" panose="020B0502040204020203" pitchFamily="34" charset="0"/>
                <a:cs typeface="Segoe UI Light" panose="020B0502040204020203" pitchFamily="34" charset="0"/>
              </a:rPr>
              <a:t> X</a:t>
            </a:r>
            <a:endParaRPr lang="pt-BR" sz="1100" b="1"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36" name="CaixaDeTexto 35">
            <a:extLst>
              <a:ext uri="{FF2B5EF4-FFF2-40B4-BE49-F238E27FC236}">
                <a16:creationId xmlns:a16="http://schemas.microsoft.com/office/drawing/2014/main" id="{6EEF90CB-CE4B-4FF1-B689-F092EDAE82B7}"/>
              </a:ext>
            </a:extLst>
          </xdr:cNvPr>
          <xdr:cNvSpPr txBox="1"/>
        </xdr:nvSpPr>
        <xdr:spPr>
          <a:xfrm>
            <a:off x="1783773" y="3753714"/>
            <a:ext cx="1304059" cy="7039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>
                <a:latin typeface="Segoe UI Light" panose="020B0502040204020203" pitchFamily="34" charset="0"/>
                <a:cs typeface="Segoe UI Light" panose="020B0502040204020203" pitchFamily="34" charset="0"/>
              </a:rPr>
              <a:t>COPIAR</a:t>
            </a:r>
          </a:p>
          <a:p>
            <a:pPr algn="ctr"/>
            <a:r>
              <a:rPr lang="pt-BR" sz="1100" b="1">
                <a:latin typeface="Segoe UI Light" panose="020B0502040204020203" pitchFamily="34" charset="0"/>
                <a:cs typeface="Segoe UI Light" panose="020B0502040204020203" pitchFamily="34" charset="0"/>
              </a:rPr>
              <a:t>CTRL +</a:t>
            </a:r>
            <a:r>
              <a:rPr lang="pt-BR" sz="1100" b="1" baseline="0">
                <a:latin typeface="Segoe UI Light" panose="020B0502040204020203" pitchFamily="34" charset="0"/>
                <a:cs typeface="Segoe UI Light" panose="020B0502040204020203" pitchFamily="34" charset="0"/>
              </a:rPr>
              <a:t> C</a:t>
            </a:r>
            <a:endParaRPr lang="pt-BR" sz="1100" b="1"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sp macro="" textlink="">
        <xdr:nvSpPr>
          <xdr:cNvPr id="37" name="CaixaDeTexto 36">
            <a:extLst>
              <a:ext uri="{FF2B5EF4-FFF2-40B4-BE49-F238E27FC236}">
                <a16:creationId xmlns:a16="http://schemas.microsoft.com/office/drawing/2014/main" id="{86611BE0-D187-4ACE-BA6A-FA8D228941FD}"/>
              </a:ext>
            </a:extLst>
          </xdr:cNvPr>
          <xdr:cNvSpPr txBox="1"/>
        </xdr:nvSpPr>
        <xdr:spPr>
          <a:xfrm>
            <a:off x="3068782" y="3763239"/>
            <a:ext cx="1307523" cy="7039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>
                <a:latin typeface="Segoe UI Light" panose="020B0502040204020203" pitchFamily="34" charset="0"/>
                <a:cs typeface="Segoe UI Light" panose="020B0502040204020203" pitchFamily="34" charset="0"/>
              </a:rPr>
              <a:t>COLAR</a:t>
            </a:r>
          </a:p>
          <a:p>
            <a:pPr algn="ctr"/>
            <a:r>
              <a:rPr lang="pt-BR" sz="1100" b="1">
                <a:latin typeface="Segoe UI Light" panose="020B0502040204020203" pitchFamily="34" charset="0"/>
                <a:cs typeface="Segoe UI Light" panose="020B0502040204020203" pitchFamily="34" charset="0"/>
              </a:rPr>
              <a:t>CTRL +</a:t>
            </a:r>
            <a:r>
              <a:rPr lang="pt-BR" sz="1100" b="1" baseline="0">
                <a:latin typeface="Segoe UI Light" panose="020B0502040204020203" pitchFamily="34" charset="0"/>
                <a:cs typeface="Segoe UI Light" panose="020B0502040204020203" pitchFamily="34" charset="0"/>
              </a:rPr>
              <a:t> V</a:t>
            </a:r>
            <a:endParaRPr lang="pt-BR" sz="1100" b="1"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57152</xdr:colOff>
      <xdr:row>0</xdr:row>
      <xdr:rowOff>47626</xdr:rowOff>
    </xdr:from>
    <xdr:to>
      <xdr:col>17</xdr:col>
      <xdr:colOff>356714</xdr:colOff>
      <xdr:row>10</xdr:row>
      <xdr:rowOff>21169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B576FB9B-9D01-48D1-A5EC-1E10685FB118}"/>
            </a:ext>
          </a:extLst>
        </xdr:cNvPr>
        <xdr:cNvGrpSpPr/>
      </xdr:nvGrpSpPr>
      <xdr:grpSpPr>
        <a:xfrm>
          <a:off x="57152" y="47626"/>
          <a:ext cx="14007279" cy="1878543"/>
          <a:chOff x="136472" y="351456"/>
          <a:chExt cx="4917341" cy="1398142"/>
        </a:xfrm>
      </xdr:grpSpPr>
      <xdr:sp macro="" textlink="">
        <xdr:nvSpPr>
          <xdr:cNvPr id="12" name="Plano de Fundo" descr="Plano de Fundo">
            <a:extLst>
              <a:ext uri="{FF2B5EF4-FFF2-40B4-BE49-F238E27FC236}">
                <a16:creationId xmlns:a16="http://schemas.microsoft.com/office/drawing/2014/main" id="{7433F4C9-8B4E-4FED-9E62-382123F169C6}"/>
              </a:ext>
            </a:extLst>
          </xdr:cNvPr>
          <xdr:cNvSpPr/>
        </xdr:nvSpPr>
        <xdr:spPr>
          <a:xfrm>
            <a:off x="136472" y="351456"/>
            <a:ext cx="4195818" cy="1398142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 b="1"/>
          </a:p>
        </xdr:txBody>
      </xdr:sp>
      <xdr:sp macro="" textlink="">
        <xdr:nvSpPr>
          <xdr:cNvPr id="13" name="Etapa" descr="Adicionar números como um especialista">
            <a:extLst>
              <a:ext uri="{FF2B5EF4-FFF2-40B4-BE49-F238E27FC236}">
                <a16:creationId xmlns:a16="http://schemas.microsoft.com/office/drawing/2014/main" id="{B67DF535-BBD3-4AB8-8BF5-F51784CA3274}"/>
              </a:ext>
            </a:extLst>
          </xdr:cNvPr>
          <xdr:cNvSpPr txBox="1"/>
        </xdr:nvSpPr>
        <xdr:spPr>
          <a:xfrm>
            <a:off x="216953" y="414607"/>
            <a:ext cx="4836860" cy="4390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Fonte, Alinhamento e número</a:t>
            </a:r>
          </a:p>
        </xdr:txBody>
      </xdr:sp>
      <xdr:sp macro="" textlink="">
        <xdr:nvSpPr>
          <xdr:cNvPr id="15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FAC9C397-0B3C-4C90-AD55-255E5DEFB531}"/>
              </a:ext>
            </a:extLst>
          </xdr:cNvPr>
          <xdr:cNvSpPr txBox="1"/>
        </xdr:nvSpPr>
        <xdr:spPr>
          <a:xfrm>
            <a:off x="193263" y="793553"/>
            <a:ext cx="2739395" cy="845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Nesta atividade vamos aplicar os conceitos de: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4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</a:t>
            </a: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 Formatação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 de Fontes, Alinhamento de valores e formatação de números</a:t>
            </a:r>
          </a:p>
          <a:p>
            <a:pPr lvl="0" rtl="0">
              <a:defRPr/>
            </a:pPr>
            <a:r>
              <a:rPr lang="pt-BR" sz="14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 Será necessário deixar a tabela que está à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 esquerda com um aspecto parecido com a tabela que está à direita. Para isso, siga as orientações do seu Instrutor.</a:t>
            </a:r>
            <a:endParaRPr lang="pt-BR" sz="1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16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1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cxnSp macro="">
        <xdr:nvCxnSpPr>
          <xdr:cNvPr id="16" name="Linha inferior" descr="Linha decorativa">
            <a:extLst>
              <a:ext uri="{FF2B5EF4-FFF2-40B4-BE49-F238E27FC236}">
                <a16:creationId xmlns:a16="http://schemas.microsoft.com/office/drawing/2014/main" id="{C1E2086B-E986-49D4-9D0C-AF02113DC2C2}"/>
              </a:ext>
            </a:extLst>
          </xdr:cNvPr>
          <xdr:cNvCxnSpPr>
            <a:cxnSpLocks/>
          </xdr:cNvCxnSpPr>
        </xdr:nvCxnSpPr>
        <xdr:spPr>
          <a:xfrm flipV="1">
            <a:off x="192189" y="741359"/>
            <a:ext cx="4133211" cy="2063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Linha inferior" descr="Linha decorativa">
            <a:extLst>
              <a:ext uri="{FF2B5EF4-FFF2-40B4-BE49-F238E27FC236}">
                <a16:creationId xmlns:a16="http://schemas.microsoft.com/office/drawing/2014/main" id="{59DF12EE-A56B-4502-81EF-80916E2393B1}"/>
              </a:ext>
            </a:extLst>
          </xdr:cNvPr>
          <xdr:cNvCxnSpPr>
            <a:cxnSpLocks/>
          </xdr:cNvCxnSpPr>
        </xdr:nvCxnSpPr>
        <xdr:spPr>
          <a:xfrm flipV="1">
            <a:off x="184614" y="1648810"/>
            <a:ext cx="4136656" cy="6981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5</xdr:col>
      <xdr:colOff>201543</xdr:colOff>
      <xdr:row>0</xdr:row>
      <xdr:rowOff>173013</xdr:rowOff>
    </xdr:from>
    <xdr:to>
      <xdr:col>7</xdr:col>
      <xdr:colOff>53009</xdr:colOff>
      <xdr:row>3</xdr:row>
      <xdr:rowOff>7913</xdr:rowOff>
    </xdr:to>
    <xdr:pic>
      <xdr:nvPicPr>
        <xdr:cNvPr id="4" name="Gráfico 3" descr="Documento">
          <a:extLst>
            <a:ext uri="{FF2B5EF4-FFF2-40B4-BE49-F238E27FC236}">
              <a16:creationId xmlns:a16="http://schemas.microsoft.com/office/drawing/2014/main" id="{D9AA5DE4-7E5D-46E0-9A44-C651856E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32739" y="173013"/>
          <a:ext cx="406400" cy="406400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423335</xdr:colOff>
      <xdr:row>0</xdr:row>
      <xdr:rowOff>148167</xdr:rowOff>
    </xdr:from>
    <xdr:to>
      <xdr:col>4</xdr:col>
      <xdr:colOff>154233</xdr:colOff>
      <xdr:row>2</xdr:row>
      <xdr:rowOff>164816</xdr:rowOff>
    </xdr:to>
    <xdr:pic>
      <xdr:nvPicPr>
        <xdr:cNvPr id="6" name="Gráfico 5" descr="Lista de verificação">
          <a:extLst>
            <a:ext uri="{FF2B5EF4-FFF2-40B4-BE49-F238E27FC236}">
              <a16:creationId xmlns:a16="http://schemas.microsoft.com/office/drawing/2014/main" id="{B18676F3-F8CB-4D37-A101-A56BD15D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73502" y="148167"/>
          <a:ext cx="397649" cy="3976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32</xdr:row>
      <xdr:rowOff>28575</xdr:rowOff>
    </xdr:from>
    <xdr:to>
      <xdr:col>6</xdr:col>
      <xdr:colOff>171449</xdr:colOff>
      <xdr:row>35</xdr:row>
      <xdr:rowOff>104774</xdr:rowOff>
    </xdr:to>
    <xdr:sp macro="" textlink="">
      <xdr:nvSpPr>
        <xdr:cNvPr id="10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C9CFE2EC-54CC-495F-B5BD-2684D384E5F2}"/>
            </a:ext>
          </a:extLst>
        </xdr:cNvPr>
        <xdr:cNvSpPr txBox="1"/>
      </xdr:nvSpPr>
      <xdr:spPr>
        <a:xfrm rot="10800000" flipV="1">
          <a:off x="2562225" y="6124575"/>
          <a:ext cx="3419474" cy="647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600" b="1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CTRL </a:t>
          </a:r>
          <a:r>
            <a:rPr lang="pt-BR" sz="3200" b="1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+ </a:t>
          </a:r>
          <a:r>
            <a:rPr lang="pt-BR" sz="1200" b="1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 INSERI LINHA (S) OU COLUNA (S)</a:t>
          </a:r>
        </a:p>
        <a:p>
          <a:pPr lvl="0" rtl="0">
            <a:defRPr/>
          </a:pPr>
          <a:endParaRPr lang="pt-BR" sz="1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3</xdr:col>
      <xdr:colOff>485774</xdr:colOff>
      <xdr:row>30</xdr:row>
      <xdr:rowOff>104775</xdr:rowOff>
    </xdr:from>
    <xdr:to>
      <xdr:col>6</xdr:col>
      <xdr:colOff>257174</xdr:colOff>
      <xdr:row>34</xdr:row>
      <xdr:rowOff>11613</xdr:rowOff>
    </xdr:to>
    <xdr:sp macro="" textlink="">
      <xdr:nvSpPr>
        <xdr:cNvPr id="11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1C3B7838-C5C4-4D35-A61D-7CE61F3C6762}"/>
            </a:ext>
          </a:extLst>
        </xdr:cNvPr>
        <xdr:cNvSpPr txBox="1"/>
      </xdr:nvSpPr>
      <xdr:spPr>
        <a:xfrm>
          <a:off x="2628899" y="5819775"/>
          <a:ext cx="3438525" cy="668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600" b="1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CTRL  </a:t>
          </a:r>
          <a:r>
            <a:rPr lang="pt-BR" sz="3200" b="1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- </a:t>
          </a:r>
          <a:r>
            <a:rPr lang="pt-BR" sz="1200" b="1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 EXCLUI LINHA (S) OU COLUNA (S)</a:t>
          </a:r>
        </a:p>
        <a:p>
          <a:pPr lvl="0" rtl="0">
            <a:defRPr/>
          </a:pPr>
          <a:endParaRPr lang="pt-BR" sz="1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15</xdr:col>
      <xdr:colOff>552450</xdr:colOff>
      <xdr:row>2</xdr:row>
      <xdr:rowOff>24361</xdr:rowOff>
    </xdr:from>
    <xdr:to>
      <xdr:col>24</xdr:col>
      <xdr:colOff>295275</xdr:colOff>
      <xdr:row>22</xdr:row>
      <xdr:rowOff>187324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9E1C2015-904C-4CF1-AF66-9E7DD181B912}"/>
            </a:ext>
          </a:extLst>
        </xdr:cNvPr>
        <xdr:cNvGrpSpPr/>
      </xdr:nvGrpSpPr>
      <xdr:grpSpPr>
        <a:xfrm>
          <a:off x="12411075" y="405361"/>
          <a:ext cx="5229225" cy="3972963"/>
          <a:chOff x="6934200" y="91036"/>
          <a:chExt cx="5229225" cy="3972963"/>
        </a:xfrm>
      </xdr:grpSpPr>
      <xdr:grpSp>
        <xdr:nvGrpSpPr>
          <xdr:cNvPr id="2" name="Agrupar 1">
            <a:extLst>
              <a:ext uri="{FF2B5EF4-FFF2-40B4-BE49-F238E27FC236}">
                <a16:creationId xmlns:a16="http://schemas.microsoft.com/office/drawing/2014/main" id="{0A020343-8EA9-497C-94B9-22D0EDA2AF94}"/>
              </a:ext>
            </a:extLst>
          </xdr:cNvPr>
          <xdr:cNvGrpSpPr/>
        </xdr:nvGrpSpPr>
        <xdr:grpSpPr>
          <a:xfrm>
            <a:off x="6934200" y="123824"/>
            <a:ext cx="5229225" cy="3940175"/>
            <a:chOff x="136471" y="351455"/>
            <a:chExt cx="5177509" cy="1155534"/>
          </a:xfrm>
        </xdr:grpSpPr>
        <xdr:sp macro="" textlink="">
          <xdr:nvSpPr>
            <xdr:cNvPr id="3" name="Plano de Fundo" descr="Plano de Fundo">
              <a:extLst>
                <a:ext uri="{FF2B5EF4-FFF2-40B4-BE49-F238E27FC236}">
                  <a16:creationId xmlns:a16="http://schemas.microsoft.com/office/drawing/2014/main" id="{A31CB626-1095-43B1-9DF1-7DD179A0CEC3}"/>
                </a:ext>
              </a:extLst>
            </xdr:cNvPr>
            <xdr:cNvSpPr/>
          </xdr:nvSpPr>
          <xdr:spPr>
            <a:xfrm>
              <a:off x="136471" y="351455"/>
              <a:ext cx="5177509" cy="115553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4" name="Etapa" descr="Adicionar números como um especialista">
              <a:extLst>
                <a:ext uri="{FF2B5EF4-FFF2-40B4-BE49-F238E27FC236}">
                  <a16:creationId xmlns:a16="http://schemas.microsoft.com/office/drawing/2014/main" id="{7F563877-AE92-44FF-B692-3A155E3AF1FA}"/>
                </a:ext>
              </a:extLst>
            </xdr:cNvPr>
            <xdr:cNvSpPr txBox="1"/>
          </xdr:nvSpPr>
          <xdr:spPr>
            <a:xfrm>
              <a:off x="326227" y="359291"/>
              <a:ext cx="4836860" cy="21880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Grupo Células, </a:t>
              </a:r>
              <a:r>
                <a:rPr lang="pt-BR" sz="18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Inserir, Excluir e Formatar</a:t>
              </a:r>
              <a:endPara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5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E9F5BB56-8C65-4804-9C6F-8E363DA254FD}"/>
                </a:ext>
              </a:extLst>
            </xdr:cNvPr>
            <xdr:cNvSpPr txBox="1"/>
          </xdr:nvSpPr>
          <xdr:spPr>
            <a:xfrm>
              <a:off x="302538" y="534319"/>
              <a:ext cx="4813395" cy="79761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6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Nesta atividade vamos aplicar os conceitos de:</a:t>
              </a:r>
            </a:p>
            <a:p>
              <a:pPr lvl="0" rtl="0">
                <a:defRPr/>
              </a:pPr>
              <a:endParaRPr lang="pt-BR" sz="8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 Inserindo Linhas e Colunas</a:t>
              </a:r>
              <a:endParaRPr lang="pt-BR" sz="1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Excluindo Linhas e Colunas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Ocultando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e Reexibindo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Organizar Planilhas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Inserção e Exclusão de linhas e colunas, Visibilidade e Organização de Planilhas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BR" sz="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BR" sz="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6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Dica Especial</a:t>
              </a:r>
            </a:p>
            <a:p>
              <a:pPr lvl="0" rtl="0">
                <a:defRPr/>
              </a:pPr>
              <a:r>
                <a:rPr lang="pt-BR" sz="12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Para Inserir ou excluir linhas, você pode usar as teclas de atalho a seguir:</a:t>
              </a:r>
            </a:p>
          </xdr:txBody>
        </xdr:sp>
        <xdr:cxnSp macro="">
          <xdr:nvCxnSpPr>
            <xdr:cNvPr id="6" name="Linha inferior" descr="Linha decorativa">
              <a:extLst>
                <a:ext uri="{FF2B5EF4-FFF2-40B4-BE49-F238E27FC236}">
                  <a16:creationId xmlns:a16="http://schemas.microsoft.com/office/drawing/2014/main" id="{356C8622-001A-450E-B917-803159C5E514}"/>
                </a:ext>
              </a:extLst>
            </xdr:cNvPr>
            <xdr:cNvCxnSpPr>
              <a:cxnSpLocks/>
            </xdr:cNvCxnSpPr>
          </xdr:nvCxnSpPr>
          <xdr:spPr>
            <a:xfrm flipV="1">
              <a:off x="311397" y="510188"/>
              <a:ext cx="4172673" cy="6141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Linha inferior" descr="Linha decorativa">
              <a:extLst>
                <a:ext uri="{FF2B5EF4-FFF2-40B4-BE49-F238E27FC236}">
                  <a16:creationId xmlns:a16="http://schemas.microsoft.com/office/drawing/2014/main" id="{D34DB44A-D8A8-49E9-89FF-1680E53E0E8F}"/>
                </a:ext>
              </a:extLst>
            </xdr:cNvPr>
            <xdr:cNvCxnSpPr>
              <a:cxnSpLocks/>
            </xdr:cNvCxnSpPr>
          </xdr:nvCxnSpPr>
          <xdr:spPr>
            <a:xfrm flipV="1">
              <a:off x="273674" y="1434153"/>
              <a:ext cx="4613273" cy="6789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14" name="Imagem 13" descr="Resultado de imagem para ICONE DE MAIS">
            <a:extLst>
              <a:ext uri="{FF2B5EF4-FFF2-40B4-BE49-F238E27FC236}">
                <a16:creationId xmlns:a16="http://schemas.microsoft.com/office/drawing/2014/main" id="{B54F9D1B-6CEF-4F73-8C77-EB0564557A3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20788166">
            <a:off x="11363324" y="91036"/>
            <a:ext cx="790574" cy="7905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62443</xdr:colOff>
      <xdr:row>1</xdr:row>
      <xdr:rowOff>57149</xdr:rowOff>
    </xdr:from>
    <xdr:to>
      <xdr:col>8</xdr:col>
      <xdr:colOff>95249</xdr:colOff>
      <xdr:row>24</xdr:row>
      <xdr:rowOff>127001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9FAF585-4632-4F38-B13E-59E04253D800}"/>
            </a:ext>
          </a:extLst>
        </xdr:cNvPr>
        <xdr:cNvGrpSpPr/>
      </xdr:nvGrpSpPr>
      <xdr:grpSpPr>
        <a:xfrm>
          <a:off x="62443" y="247649"/>
          <a:ext cx="4099981" cy="4479927"/>
          <a:chOff x="7077075" y="123824"/>
          <a:chExt cx="4216704" cy="4671977"/>
        </a:xfrm>
      </xdr:grpSpPr>
      <xdr:grpSp>
        <xdr:nvGrpSpPr>
          <xdr:cNvPr id="5" name="Agrupar 4">
            <a:extLst>
              <a:ext uri="{FF2B5EF4-FFF2-40B4-BE49-F238E27FC236}">
                <a16:creationId xmlns:a16="http://schemas.microsoft.com/office/drawing/2014/main" id="{2D5DAF32-A84D-48FC-9B97-3695BA9DF72E}"/>
              </a:ext>
            </a:extLst>
          </xdr:cNvPr>
          <xdr:cNvGrpSpPr/>
        </xdr:nvGrpSpPr>
        <xdr:grpSpPr>
          <a:xfrm>
            <a:off x="7077075" y="123824"/>
            <a:ext cx="4216704" cy="4671977"/>
            <a:chOff x="136471" y="351455"/>
            <a:chExt cx="4175001" cy="1370149"/>
          </a:xfrm>
        </xdr:grpSpPr>
        <xdr:sp macro="" textlink="">
          <xdr:nvSpPr>
            <xdr:cNvPr id="7" name="Plano de Fundo" descr="Plano de Fundo">
              <a:extLst>
                <a:ext uri="{FF2B5EF4-FFF2-40B4-BE49-F238E27FC236}">
                  <a16:creationId xmlns:a16="http://schemas.microsoft.com/office/drawing/2014/main" id="{BE3ECD9B-8E1C-400F-9508-1502C9B9733B}"/>
                </a:ext>
              </a:extLst>
            </xdr:cNvPr>
            <xdr:cNvSpPr/>
          </xdr:nvSpPr>
          <xdr:spPr>
            <a:xfrm>
              <a:off x="136471" y="351455"/>
              <a:ext cx="4175001" cy="137014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8" name="Etapa" descr="Adicionar números como um especialista">
              <a:extLst>
                <a:ext uri="{FF2B5EF4-FFF2-40B4-BE49-F238E27FC236}">
                  <a16:creationId xmlns:a16="http://schemas.microsoft.com/office/drawing/2014/main" id="{C8EEB3A4-F258-4441-B8F4-15333065B60D}"/>
                </a:ext>
              </a:extLst>
            </xdr:cNvPr>
            <xdr:cNvSpPr txBox="1"/>
          </xdr:nvSpPr>
          <xdr:spPr>
            <a:xfrm>
              <a:off x="326227" y="359291"/>
              <a:ext cx="3894195" cy="21880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8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Grupo Edição</a:t>
              </a:r>
              <a:r>
                <a:rPr lang="pt-BR" sz="22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, </a:t>
              </a:r>
              <a:r>
                <a:rPr lang="pt-BR" sz="14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Localizar e Selecionar</a:t>
              </a:r>
              <a:endPara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9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55B591A0-424C-471F-A797-DC58E4E5A7E7}"/>
                </a:ext>
              </a:extLst>
            </xdr:cNvPr>
            <xdr:cNvSpPr txBox="1"/>
          </xdr:nvSpPr>
          <xdr:spPr>
            <a:xfrm>
              <a:off x="302538" y="534319"/>
              <a:ext cx="3956837" cy="59649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6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Nesta atividade vamos aplicar os conceitos de:</a:t>
              </a:r>
            </a:p>
            <a:p>
              <a:pPr lvl="0" rtl="0">
                <a:defRPr/>
              </a:pPr>
              <a:endParaRPr lang="pt-BR" sz="8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Localizar, Substituir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Ir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para...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Ir para especial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BR" sz="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BR" sz="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6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Dicas Especiais</a:t>
              </a:r>
            </a:p>
            <a:p>
              <a:pPr lvl="0" rtl="0">
                <a:defRPr/>
              </a:pPr>
              <a:r>
                <a:rPr lang="pt-BR" sz="12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Você pode optar por usar as teclas de atalho para Localizar, Substituir ou a ferramenta Ir para...</a:t>
              </a:r>
            </a:p>
          </xdr:txBody>
        </xdr:sp>
        <xdr:cxnSp macro="">
          <xdr:nvCxnSpPr>
            <xdr:cNvPr id="10" name="Linha inferior" descr="Linha decorativa">
              <a:extLst>
                <a:ext uri="{FF2B5EF4-FFF2-40B4-BE49-F238E27FC236}">
                  <a16:creationId xmlns:a16="http://schemas.microsoft.com/office/drawing/2014/main" id="{A204630A-48E3-478D-BE1A-D560E9F99289}"/>
                </a:ext>
              </a:extLst>
            </xdr:cNvPr>
            <xdr:cNvCxnSpPr>
              <a:cxnSpLocks/>
            </xdr:cNvCxnSpPr>
          </xdr:nvCxnSpPr>
          <xdr:spPr>
            <a:xfrm>
              <a:off x="311397" y="516329"/>
              <a:ext cx="3854205" cy="2028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12" name="Imagem 11" descr="Resultado de imagem para icone substituir">
            <a:extLst>
              <a:ext uri="{FF2B5EF4-FFF2-40B4-BE49-F238E27FC236}">
                <a16:creationId xmlns:a16="http://schemas.microsoft.com/office/drawing/2014/main" id="{E28B291B-35F6-4F49-B100-9BE946BE58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535914" y="3283292"/>
            <a:ext cx="856911" cy="8569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Gráfico 5" descr="Lupa">
            <a:extLst>
              <a:ext uri="{FF2B5EF4-FFF2-40B4-BE49-F238E27FC236}">
                <a16:creationId xmlns:a16="http://schemas.microsoft.com/office/drawing/2014/main" id="{24F86173-EFC2-4493-A535-99A7BD8C5A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flipH="1">
            <a:off x="7668085" y="3283292"/>
            <a:ext cx="855380" cy="855381"/>
          </a:xfrm>
          <a:prstGeom prst="rect">
            <a:avLst/>
          </a:prstGeom>
        </xdr:spPr>
      </xdr:pic>
      <xdr:sp macro="" textlink="">
        <xdr:nvSpPr>
          <xdr:cNvPr id="13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381C5104-804F-4E56-869C-F0A18A35D5A6}"/>
              </a:ext>
            </a:extLst>
          </xdr:cNvPr>
          <xdr:cNvSpPr txBox="1"/>
        </xdr:nvSpPr>
        <xdr:spPr>
          <a:xfrm>
            <a:off x="7415275" y="4025856"/>
            <a:ext cx="1178614" cy="676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algn="ctr" rtl="0">
              <a:defRPr/>
            </a:pPr>
            <a:r>
              <a:rPr lang="pt-BR" sz="12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CTRL + L</a:t>
            </a:r>
          </a:p>
          <a:p>
            <a:pPr lvl="0" algn="ctr" rtl="0">
              <a:defRPr/>
            </a:pPr>
            <a:r>
              <a:rPr lang="pt-BR" sz="1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LOCALIZAR</a:t>
            </a:r>
            <a:endParaRPr lang="pt-BR" sz="105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">
        <xdr:nvSpPr>
          <xdr:cNvPr id="14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87C4BEFC-E63E-4444-827B-1D5A65B0ED72}"/>
              </a:ext>
            </a:extLst>
          </xdr:cNvPr>
          <xdr:cNvSpPr txBox="1"/>
        </xdr:nvSpPr>
        <xdr:spPr>
          <a:xfrm>
            <a:off x="8782871" y="4025856"/>
            <a:ext cx="2362770" cy="676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algn="ctr" rtl="0">
              <a:defRPr/>
            </a:pPr>
            <a:r>
              <a:rPr lang="pt-BR" sz="12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CTRL + U</a:t>
            </a:r>
          </a:p>
          <a:p>
            <a:pPr lvl="0" algn="ctr" rtl="0">
              <a:defRPr/>
            </a:pPr>
            <a:r>
              <a:rPr lang="pt-BR" sz="12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LOCALIZAR E SUBSTITUIR</a:t>
            </a:r>
            <a:endParaRPr lang="pt-BR" sz="105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</xdr:grpSp>
    <xdr:clientData/>
  </xdr:twoCellAnchor>
  <xdr:twoCellAnchor>
    <xdr:from>
      <xdr:col>8</xdr:col>
      <xdr:colOff>123825</xdr:colOff>
      <xdr:row>19</xdr:row>
      <xdr:rowOff>85726</xdr:rowOff>
    </xdr:from>
    <xdr:to>
      <xdr:col>10</xdr:col>
      <xdr:colOff>771525</xdr:colOff>
      <xdr:row>23</xdr:row>
      <xdr:rowOff>85725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0AB0F6FF-30B5-4FF0-AD60-5913E98A355B}"/>
            </a:ext>
          </a:extLst>
        </xdr:cNvPr>
        <xdr:cNvSpPr txBox="1"/>
      </xdr:nvSpPr>
      <xdr:spPr>
        <a:xfrm>
          <a:off x="4191000" y="3543301"/>
          <a:ext cx="1657350" cy="761999"/>
        </a:xfrm>
        <a:prstGeom prst="round2DiagRect">
          <a:avLst>
            <a:gd name="adj1" fmla="val 26838"/>
            <a:gd name="adj2" fmla="val 0"/>
          </a:avLst>
        </a:prstGeom>
        <a:solidFill>
          <a:schemeClr val="accent4">
            <a:lumMod val="40000"/>
            <a:lumOff val="60000"/>
            <a:alpha val="60000"/>
          </a:schemeClr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/>
            <a:t>Localize e Substitua 2016 por 2019, destaque os valores modificados</a:t>
          </a:r>
        </a:p>
      </xdr:txBody>
    </xdr:sp>
    <xdr:clientData/>
  </xdr:twoCellAnchor>
  <xdr:twoCellAnchor>
    <xdr:from>
      <xdr:col>9</xdr:col>
      <xdr:colOff>647710</xdr:colOff>
      <xdr:row>17</xdr:row>
      <xdr:rowOff>114305</xdr:rowOff>
    </xdr:from>
    <xdr:to>
      <xdr:col>9</xdr:col>
      <xdr:colOff>800100</xdr:colOff>
      <xdr:row>19</xdr:row>
      <xdr:rowOff>85726</xdr:rowOff>
    </xdr:to>
    <xdr:cxnSp macro="">
      <xdr:nvCxnSpPr>
        <xdr:cNvPr id="37" name="Conector: Angulado 36">
          <a:extLst>
            <a:ext uri="{FF2B5EF4-FFF2-40B4-BE49-F238E27FC236}">
              <a16:creationId xmlns:a16="http://schemas.microsoft.com/office/drawing/2014/main" id="{85E26FCE-4A74-44B5-9E68-4DE29CBF49C0}"/>
            </a:ext>
          </a:extLst>
        </xdr:cNvPr>
        <xdr:cNvCxnSpPr>
          <a:stCxn id="36" idx="3"/>
        </xdr:cNvCxnSpPr>
      </xdr:nvCxnSpPr>
      <xdr:spPr>
        <a:xfrm rot="16200000" flipV="1">
          <a:off x="4762507" y="3286133"/>
          <a:ext cx="361946" cy="15239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337608</xdr:colOff>
      <xdr:row>8</xdr:row>
      <xdr:rowOff>83608</xdr:rowOff>
    </xdr:from>
    <xdr:to>
      <xdr:col>19</xdr:col>
      <xdr:colOff>41112</xdr:colOff>
      <xdr:row>12</xdr:row>
      <xdr:rowOff>16933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51F8371B-FD41-434E-8063-8219BA346F45}"/>
            </a:ext>
          </a:extLst>
        </xdr:cNvPr>
        <xdr:cNvSpPr txBox="1"/>
      </xdr:nvSpPr>
      <xdr:spPr>
        <a:xfrm>
          <a:off x="13323358" y="1438275"/>
          <a:ext cx="2158837" cy="695325"/>
        </a:xfrm>
        <a:prstGeom prst="round2DiagRect">
          <a:avLst>
            <a:gd name="adj1" fmla="val 26838"/>
            <a:gd name="adj2" fmla="val 0"/>
          </a:avLst>
        </a:prstGeom>
        <a:solidFill>
          <a:schemeClr val="accent4">
            <a:lumMod val="40000"/>
            <a:lumOff val="60000"/>
            <a:alpha val="60000"/>
          </a:schemeClr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/>
            <a:t>Localize e Substitua xyz por abc, destaque os valores modificados</a:t>
          </a:r>
        </a:p>
      </xdr:txBody>
    </xdr:sp>
    <xdr:clientData/>
  </xdr:twoCellAnchor>
  <xdr:twoCellAnchor>
    <xdr:from>
      <xdr:col>10</xdr:col>
      <xdr:colOff>904874</xdr:colOff>
      <xdr:row>18</xdr:row>
      <xdr:rowOff>180975</xdr:rowOff>
    </xdr:from>
    <xdr:to>
      <xdr:col>13</xdr:col>
      <xdr:colOff>1724024</xdr:colOff>
      <xdr:row>23</xdr:row>
      <xdr:rowOff>19050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917DBAE6-273A-4784-ABBA-EDF644ABEE02}"/>
            </a:ext>
          </a:extLst>
        </xdr:cNvPr>
        <xdr:cNvSpPr txBox="1"/>
      </xdr:nvSpPr>
      <xdr:spPr>
        <a:xfrm>
          <a:off x="5981699" y="3448050"/>
          <a:ext cx="4524375" cy="790575"/>
        </a:xfrm>
        <a:prstGeom prst="round2DiagRect">
          <a:avLst>
            <a:gd name="adj1" fmla="val 11769"/>
            <a:gd name="adj2" fmla="val 0"/>
          </a:avLst>
        </a:prstGeom>
        <a:solidFill>
          <a:schemeClr val="accent4">
            <a:lumMod val="40000"/>
            <a:lumOff val="60000"/>
            <a:alpha val="60000"/>
          </a:schemeClr>
        </a:solidFill>
        <a:ln w="19050" cmpd="sng">
          <a:solidFill>
            <a:schemeClr val="accent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/>
            <a:t>IR PARA ESPECIAL...</a:t>
          </a:r>
        </a:p>
        <a:p>
          <a:pPr algn="ctr"/>
          <a:r>
            <a:rPr lang="pt-BR" sz="1000" b="1"/>
            <a:t>USE ESSA FERRAMENTA</a:t>
          </a:r>
          <a:r>
            <a:rPr lang="pt-BR" sz="1000" b="1" baseline="0"/>
            <a:t> PARA SUBSTITUIR OS ESPAÇOS EM BRANCO PELO DEPARTAMENTO </a:t>
          </a:r>
          <a:r>
            <a:rPr lang="pt-BR" sz="1000" b="1" baseline="0">
              <a:solidFill>
                <a:srgbClr val="FF0000"/>
              </a:solidFill>
            </a:rPr>
            <a:t>PLANEJAMENTO</a:t>
          </a:r>
        </a:p>
        <a:p>
          <a:pPr algn="ctr"/>
          <a:r>
            <a:rPr lang="pt-BR" sz="1000" b="1" baseline="0">
              <a:solidFill>
                <a:srgbClr val="FF0000"/>
              </a:solidFill>
            </a:rPr>
            <a:t>USE A TÉCNICA DO CTRL ENTER</a:t>
          </a:r>
          <a:endParaRPr lang="pt-BR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495303</xdr:colOff>
      <xdr:row>17</xdr:row>
      <xdr:rowOff>133352</xdr:rowOff>
    </xdr:from>
    <xdr:to>
      <xdr:col>11</xdr:col>
      <xdr:colOff>638174</xdr:colOff>
      <xdr:row>19</xdr:row>
      <xdr:rowOff>180974</xdr:rowOff>
    </xdr:to>
    <xdr:cxnSp macro="">
      <xdr:nvCxnSpPr>
        <xdr:cNvPr id="51" name="Conector: Angulado 50">
          <a:extLst>
            <a:ext uri="{FF2B5EF4-FFF2-40B4-BE49-F238E27FC236}">
              <a16:creationId xmlns:a16="http://schemas.microsoft.com/office/drawing/2014/main" id="{F571FB3C-635D-404C-BE51-DCA0B4DF8C4D}"/>
            </a:ext>
          </a:extLst>
        </xdr:cNvPr>
        <xdr:cNvCxnSpPr/>
      </xdr:nvCxnSpPr>
      <xdr:spPr>
        <a:xfrm rot="16200000" flipH="1">
          <a:off x="7281865" y="3348040"/>
          <a:ext cx="438147" cy="142871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1476375</xdr:colOff>
      <xdr:row>3</xdr:row>
      <xdr:rowOff>95250</xdr:rowOff>
    </xdr:from>
    <xdr:to>
      <xdr:col>16</xdr:col>
      <xdr:colOff>223307</xdr:colOff>
      <xdr:row>12</xdr:row>
      <xdr:rowOff>104775</xdr:rowOff>
    </xdr:to>
    <xdr:sp macro="" textlink="">
      <xdr:nvSpPr>
        <xdr:cNvPr id="57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84776314-5BBB-452F-BB5E-18D4EF3D44AB}"/>
            </a:ext>
          </a:extLst>
        </xdr:cNvPr>
        <xdr:cNvSpPr txBox="1"/>
      </xdr:nvSpPr>
      <xdr:spPr>
        <a:xfrm>
          <a:off x="11772900" y="495300"/>
          <a:ext cx="1994957" cy="1724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algn="ctr" rtl="0">
            <a:defRPr/>
          </a:pPr>
          <a:r>
            <a:rPr lang="pt-BR" sz="23900" b="0" i="0" kern="1200">
              <a:ln>
                <a:solidFill>
                  <a:sysClr val="windowText" lastClr="000000"/>
                </a:solidFill>
              </a:ln>
              <a:solidFill>
                <a:schemeClr val="accent4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}</a:t>
          </a:r>
          <a:endParaRPr lang="pt-BR" sz="16600" b="0" i="0" u="none" kern="1200" baseline="0">
            <a:ln>
              <a:solidFill>
                <a:sysClr val="windowText" lastClr="000000"/>
              </a:solidFill>
            </a:ln>
            <a:solidFill>
              <a:schemeClr val="accent4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76201</xdr:colOff>
      <xdr:row>0</xdr:row>
      <xdr:rowOff>66674</xdr:rowOff>
    </xdr:from>
    <xdr:to>
      <xdr:col>5</xdr:col>
      <xdr:colOff>704849</xdr:colOff>
      <xdr:row>22</xdr:row>
      <xdr:rowOff>28574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F82BEBDB-0331-433F-B8A0-DBC412F14D81}"/>
            </a:ext>
          </a:extLst>
        </xdr:cNvPr>
        <xdr:cNvGrpSpPr/>
      </xdr:nvGrpSpPr>
      <xdr:grpSpPr>
        <a:xfrm>
          <a:off x="76201" y="66674"/>
          <a:ext cx="5412315" cy="4163483"/>
          <a:chOff x="561975" y="123824"/>
          <a:chExt cx="4877751" cy="4152900"/>
        </a:xfrm>
      </xdr:grpSpPr>
      <xdr:grpSp>
        <xdr:nvGrpSpPr>
          <xdr:cNvPr id="3" name="Agrupar 2">
            <a:extLst>
              <a:ext uri="{FF2B5EF4-FFF2-40B4-BE49-F238E27FC236}">
                <a16:creationId xmlns:a16="http://schemas.microsoft.com/office/drawing/2014/main" id="{49727906-02DB-4D4A-82A7-584CC3EA1FE0}"/>
              </a:ext>
            </a:extLst>
          </xdr:cNvPr>
          <xdr:cNvGrpSpPr/>
        </xdr:nvGrpSpPr>
        <xdr:grpSpPr>
          <a:xfrm>
            <a:off x="561975" y="123824"/>
            <a:ext cx="4877751" cy="4152900"/>
            <a:chOff x="7077075" y="123824"/>
            <a:chExt cx="4877751" cy="4162425"/>
          </a:xfrm>
        </xdr:grpSpPr>
        <xdr:grpSp>
          <xdr:nvGrpSpPr>
            <xdr:cNvPr id="5" name="Agrupar 4">
              <a:extLst>
                <a:ext uri="{FF2B5EF4-FFF2-40B4-BE49-F238E27FC236}">
                  <a16:creationId xmlns:a16="http://schemas.microsoft.com/office/drawing/2014/main" id="{CFC81154-3B95-46DF-9181-973F1C7CEACE}"/>
                </a:ext>
              </a:extLst>
            </xdr:cNvPr>
            <xdr:cNvGrpSpPr/>
          </xdr:nvGrpSpPr>
          <xdr:grpSpPr>
            <a:xfrm>
              <a:off x="7077075" y="123824"/>
              <a:ext cx="4877751" cy="4162425"/>
              <a:chOff x="136471" y="351455"/>
              <a:chExt cx="4829511" cy="1220713"/>
            </a:xfrm>
          </xdr:grpSpPr>
          <xdr:sp macro="" textlink="">
            <xdr:nvSpPr>
              <xdr:cNvPr id="11" name="Plano de Fundo" descr="Plano de Fundo">
                <a:extLst>
                  <a:ext uri="{FF2B5EF4-FFF2-40B4-BE49-F238E27FC236}">
                    <a16:creationId xmlns:a16="http://schemas.microsoft.com/office/drawing/2014/main" id="{16120367-287D-488D-8E4A-B31A4DAC079F}"/>
                  </a:ext>
                </a:extLst>
              </xdr:cNvPr>
              <xdr:cNvSpPr/>
            </xdr:nvSpPr>
            <xdr:spPr>
              <a:xfrm>
                <a:off x="136471" y="351455"/>
                <a:ext cx="4829511" cy="1220713"/>
              </a:xfrm>
              <a:prstGeom prst="rect">
                <a:avLst/>
              </a:prstGeom>
              <a:solidFill>
                <a:srgbClr val="F5F5F5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 rtl="0"/>
                <a:endParaRPr lang="en-US" sz="1100"/>
              </a:p>
            </xdr:txBody>
          </xdr:sp>
          <xdr:sp macro="" textlink="">
            <xdr:nvSpPr>
              <xdr:cNvPr id="12" name="Etapa" descr="Adicionar números como um especialista">
                <a:extLst>
                  <a:ext uri="{FF2B5EF4-FFF2-40B4-BE49-F238E27FC236}">
                    <a16:creationId xmlns:a16="http://schemas.microsoft.com/office/drawing/2014/main" id="{46108158-1CDF-49DB-9E70-8CF68BAA27F6}"/>
                  </a:ext>
                </a:extLst>
              </xdr:cNvPr>
              <xdr:cNvSpPr txBox="1"/>
            </xdr:nvSpPr>
            <xdr:spPr>
              <a:xfrm>
                <a:off x="326227" y="359291"/>
                <a:ext cx="4376636" cy="21880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rIns="0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800" b="1" i="0" u="none" strike="noStrike" kern="0" cap="none" spc="0" normalizeH="0" baseline="0">
                    <a:ln>
                      <a:noFill/>
                    </a:ln>
                    <a:solidFill>
                      <a:schemeClr val="bg2">
                        <a:lumMod val="25000"/>
                      </a:schemeClr>
                    </a:solidFill>
                    <a:effectLst/>
                    <a:uLnTx/>
                    <a:uFillTx/>
                    <a:latin typeface="Segoe UI Light" panose="020B0502040204020203" pitchFamily="34" charset="0"/>
                    <a:ea typeface="Segoe UI" pitchFamily="34" charset="0"/>
                    <a:cs typeface="Segoe UI Light" panose="020B0502040204020203" pitchFamily="34" charset="0"/>
                  </a:rPr>
                  <a:t>Preenchimento Relâmpago</a:t>
                </a:r>
                <a:br>
                  <a:rPr lang="pt-BR" sz="1800" b="1" i="0" u="none" strike="noStrike" kern="0" cap="none" spc="0" normalizeH="0" baseline="0">
                    <a:ln>
                      <a:noFill/>
                    </a:ln>
                    <a:solidFill>
                      <a:schemeClr val="bg2">
                        <a:lumMod val="25000"/>
                      </a:schemeClr>
                    </a:solidFill>
                    <a:effectLst/>
                    <a:uLnTx/>
                    <a:uFillTx/>
                    <a:latin typeface="Segoe UI Light" panose="020B0502040204020203" pitchFamily="34" charset="0"/>
                    <a:ea typeface="Segoe UI" pitchFamily="34" charset="0"/>
                    <a:cs typeface="Segoe UI Light" panose="020B0502040204020203" pitchFamily="34" charset="0"/>
                  </a:rPr>
                </a:br>
                <a:r>
                  <a:rPr lang="pt-BR" sz="1400" b="1" i="0" u="none" strike="noStrike" kern="0" cap="none" spc="0" normalizeH="0" baseline="0">
                    <a:ln>
                      <a:noFill/>
                    </a:ln>
                    <a:solidFill>
                      <a:schemeClr val="bg2">
                        <a:lumMod val="25000"/>
                      </a:schemeClr>
                    </a:solidFill>
                    <a:effectLst/>
                    <a:uLnTx/>
                    <a:uFillTx/>
                    <a:latin typeface="Segoe UI Light" panose="020B0502040204020203" pitchFamily="34" charset="0"/>
                    <a:ea typeface="Segoe UI" pitchFamily="34" charset="0"/>
                    <a:cs typeface="Segoe UI Light" panose="020B0502040204020203" pitchFamily="34" charset="0"/>
                  </a:rPr>
                  <a:t>(Junção, Extração de dados e números)</a:t>
                </a:r>
                <a:endParaRPr lang="pt-BR" sz="18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endParaRPr>
              </a:p>
            </xdr:txBody>
          </xdr:sp>
          <xdr:sp macro="" textlink="">
            <xdr:nvSpPr>
              <xdr:cNvPr id="13" name="Etapa" descr="Agora, adicione apenas os números acima de 50. Selecione a última célula amarela. Digite =SOMASE(D11:D15;&quot;&gt;50&quot;) e pressione Enter. O resultado é 100">
                <a:extLst>
                  <a:ext uri="{FF2B5EF4-FFF2-40B4-BE49-F238E27FC236}">
                    <a16:creationId xmlns:a16="http://schemas.microsoft.com/office/drawing/2014/main" id="{CCA28A42-5E29-487B-832D-46DBA0B74105}"/>
                  </a:ext>
                </a:extLst>
              </xdr:cNvPr>
              <xdr:cNvSpPr txBox="1"/>
            </xdr:nvSpPr>
            <xdr:spPr>
              <a:xfrm>
                <a:off x="302538" y="576316"/>
                <a:ext cx="4587055" cy="59649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lvl="0" rtl="0">
                  <a:defRPr/>
                </a:pPr>
                <a:r>
                  <a:rPr lang="pt-BR" sz="1600" b="0" i="0" kern="1200">
                    <a:solidFill>
                      <a:schemeClr val="dk1"/>
                    </a:solidFill>
                    <a:effectLst/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rPr>
                  <a:t>Nesta atividade vamos aplicar os conceitos de:</a:t>
                </a:r>
              </a:p>
              <a:p>
                <a:pPr lvl="0" rtl="0">
                  <a:defRPr/>
                </a:pPr>
                <a:endParaRPr lang="pt-BR" sz="8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endParaRPr>
              </a:p>
              <a:p>
                <a:pPr lvl="0" rtl="0">
                  <a:defRPr/>
                </a:pPr>
                <a:r>
                  <a:rPr lang="pt-BR" sz="1100" b="0" i="0" kern="1200">
                    <a:solidFill>
                      <a:schemeClr val="dk1"/>
                    </a:solidFill>
                    <a:effectLst/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  <a:sym typeface="Wingdings" panose="05000000000000000000" pitchFamily="2" charset="2"/>
                  </a:rPr>
                  <a:t> Preenchimento Relâmpago</a:t>
                </a:r>
                <a:endParaRPr lang="pt-BR" sz="12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endParaRPr>
              </a:p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6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endParaRPr>
              </a:p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6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endParaRPr>
              </a:p>
              <a:p>
                <a:pPr lvl="0" rtl="0">
                  <a:defRPr/>
                </a:pPr>
                <a:r>
                  <a:rPr lang="pt-BR" sz="1600" b="0" i="0" u="none" kern="1200" baseline="0">
                    <a:solidFill>
                      <a:schemeClr val="dk1"/>
                    </a:solidFill>
                    <a:effectLst/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rPr>
                  <a:t>DICA</a:t>
                </a:r>
              </a:p>
              <a:p>
                <a:pPr lvl="0" rtl="0">
                  <a:defRPr/>
                </a:pPr>
                <a:r>
                  <a:rPr lang="pt-BR" sz="1100" b="0" i="0" kern="1200">
                    <a:solidFill>
                      <a:schemeClr val="dk1"/>
                    </a:solidFill>
                    <a:effectLst/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rPr>
                  <a:t>Preenchimento Relâmpago do Excel permite editarmos informações de forma mais simples e eficaz sem necessidade de fórmulas, a ferramenta busca interpretar um padrão para executar a edição das informações.</a:t>
                </a:r>
              </a:p>
            </xdr:txBody>
          </xdr:sp>
          <xdr:cxnSp macro="">
            <xdr:nvCxnSpPr>
              <xdr:cNvPr id="14" name="Linha inferior" descr="Linha decorativa">
                <a:extLst>
                  <a:ext uri="{FF2B5EF4-FFF2-40B4-BE49-F238E27FC236}">
                    <a16:creationId xmlns:a16="http://schemas.microsoft.com/office/drawing/2014/main" id="{CF5B3BFE-0475-4144-BA44-19FC42EF1665}"/>
                  </a:ext>
                </a:extLst>
              </xdr:cNvPr>
              <xdr:cNvCxnSpPr>
                <a:cxnSpLocks/>
              </xdr:cNvCxnSpPr>
            </xdr:nvCxnSpPr>
            <xdr:spPr>
              <a:xfrm flipV="1">
                <a:off x="328373" y="555469"/>
                <a:ext cx="4597059" cy="2857"/>
              </a:xfrm>
              <a:prstGeom prst="line">
                <a:avLst/>
              </a:prstGeom>
              <a:ln w="25400">
                <a:solidFill>
                  <a:srgbClr val="217346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8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2D0B7C68-8FCA-4ACE-A70E-D8F059BDF58B}"/>
                </a:ext>
              </a:extLst>
            </xdr:cNvPr>
            <xdr:cNvSpPr txBox="1"/>
          </xdr:nvSpPr>
          <xdr:spPr>
            <a:xfrm>
              <a:off x="8154459" y="3343919"/>
              <a:ext cx="2408766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1200" b="1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CTRL + E</a:t>
              </a:r>
            </a:p>
            <a:p>
              <a:pPr lvl="0" algn="ctr" rtl="0">
                <a:defRPr/>
              </a:pPr>
              <a:r>
                <a:rPr lang="pt-BR" sz="12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PREENCHIMENTO RELÂMPAGO</a:t>
              </a:r>
              <a:endParaRPr lang="pt-BR" sz="105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16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93698C9A-5CD0-4438-9FA2-B73F32C761A9}"/>
                </a:ext>
              </a:extLst>
            </xdr:cNvPr>
            <xdr:cNvSpPr txBox="1"/>
          </xdr:nvSpPr>
          <xdr:spPr>
            <a:xfrm>
              <a:off x="7363778" y="3849902"/>
              <a:ext cx="4436744" cy="3886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1200" b="1" i="0" kern="1200">
                  <a:solidFill>
                    <a:srgbClr val="FF0000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ESSE RECURSO FOI</a:t>
              </a:r>
              <a:r>
                <a:rPr lang="pt-BR" sz="1200" b="1" i="0" kern="1200" baseline="0">
                  <a:solidFill>
                    <a:srgbClr val="FF0000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INSERIDO A PARTIR DA VERSÃO </a:t>
              </a:r>
              <a:r>
                <a:rPr lang="pt-BR" sz="1800" b="1" i="0" kern="1200" baseline="0">
                  <a:solidFill>
                    <a:srgbClr val="FF0000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2013</a:t>
              </a:r>
              <a:r>
                <a:rPr lang="pt-BR" sz="1200" b="1" i="0" kern="1200" baseline="0">
                  <a:solidFill>
                    <a:srgbClr val="FF0000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DO EXCEL</a:t>
              </a:r>
              <a:endParaRPr lang="pt-BR" sz="1050" b="0" i="0" u="none" kern="1200" baseline="0">
                <a:solidFill>
                  <a:srgbClr val="FF0000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</xdr:txBody>
        </xdr:sp>
      </xdr:grpSp>
      <xdr:pic>
        <xdr:nvPicPr>
          <xdr:cNvPr id="15" name="Imagem 14" descr="Resultado de imagem para icone relampago">
            <a:extLst>
              <a:ext uri="{FF2B5EF4-FFF2-40B4-BE49-F238E27FC236}">
                <a16:creationId xmlns:a16="http://schemas.microsoft.com/office/drawing/2014/main" id="{B5C4EC30-66CD-4E03-BFA7-ED976976CE5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90801" y="2590800"/>
            <a:ext cx="838200" cy="838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14288</xdr:colOff>
      <xdr:row>44</xdr:row>
      <xdr:rowOff>161924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7B1DA042-3576-425F-94D0-9280D3DD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5888" cy="8543924"/>
        </a:xfrm>
        <a:prstGeom prst="rect">
          <a:avLst/>
        </a:prstGeom>
      </xdr:spPr>
    </xdr:pic>
    <xdr:clientData/>
  </xdr:twoCellAnchor>
  <xdr:twoCellAnchor>
    <xdr:from>
      <xdr:col>0</xdr:col>
      <xdr:colOff>193863</xdr:colOff>
      <xdr:row>5</xdr:row>
      <xdr:rowOff>187131</xdr:rowOff>
    </xdr:from>
    <xdr:to>
      <xdr:col>10</xdr:col>
      <xdr:colOff>133349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2BF53AA-8665-45AF-A3F1-4383827245F2}"/>
            </a:ext>
          </a:extLst>
        </xdr:cNvPr>
        <xdr:cNvSpPr txBox="1"/>
      </xdr:nvSpPr>
      <xdr:spPr>
        <a:xfrm flipH="1">
          <a:off x="193863" y="1139631"/>
          <a:ext cx="6035486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[TABELAS E SEGMENTAÇÕES]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35D6288-187B-41B9-B7BA-069DD3C6B523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02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oneCell">
    <xdr:from>
      <xdr:col>10</xdr:col>
      <xdr:colOff>359354</xdr:colOff>
      <xdr:row>2</xdr:row>
      <xdr:rowOff>4330</xdr:rowOff>
    </xdr:from>
    <xdr:to>
      <xdr:col>19</xdr:col>
      <xdr:colOff>568903</xdr:colOff>
      <xdr:row>26</xdr:row>
      <xdr:rowOff>148330</xdr:rowOff>
    </xdr:to>
    <xdr:grpSp>
      <xdr:nvGrpSpPr>
        <xdr:cNvPr id="5" name="Adicionar números como um especialista" descr="Adicionar números como um especialista &#10;Aqui estão algumas maneiras de adicionar números no Excel: &#10;Selecione a célula amarela nos valores de frutas. &#10;Digite =SOMA(D4:D7) e pressione enter. Quando terminar, você verá &#10;o resultado de 170. &#10;Esta é outra maneira de adicionar, usando uma tecla de atalho. Selecione a célula amarela nos valores de carne. &#10;Pressione Alt = primeiro. Em seguida, pressione Enter. &#10;Agora, adicione apenas os números acima de 50. Selecione a última célula amarela. Digite =SOMASE(D11:D15;&quot;&gt;50&quot;)&#10;e pressione Enter. O resultado é 100. &#10;Veja mais detalhes abaixo &#10;Próxima etapa ">
          <a:extLst>
            <a:ext uri="{FF2B5EF4-FFF2-40B4-BE49-F238E27FC236}">
              <a16:creationId xmlns:a16="http://schemas.microsoft.com/office/drawing/2014/main" id="{B4AB9A3F-057E-473B-8FC5-F406419D4129}"/>
            </a:ext>
          </a:extLst>
        </xdr:cNvPr>
        <xdr:cNvGrpSpPr/>
      </xdr:nvGrpSpPr>
      <xdr:grpSpPr>
        <a:xfrm>
          <a:off x="6455354" y="385330"/>
          <a:ext cx="5695949" cy="4716000"/>
          <a:chOff x="326572" y="266702"/>
          <a:chExt cx="5705475" cy="4804428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E5062138-A898-4A8D-BD34-37DE8DC0753D}"/>
              </a:ext>
            </a:extLst>
          </xdr:cNvPr>
          <xdr:cNvGrpSpPr/>
        </xdr:nvGrpSpPr>
        <xdr:grpSpPr>
          <a:xfrm>
            <a:off x="326572" y="266702"/>
            <a:ext cx="5705475" cy="4804428"/>
            <a:chOff x="0" y="0"/>
            <a:chExt cx="5695950" cy="4765125"/>
          </a:xfrm>
        </xdr:grpSpPr>
        <xdr:sp macro="" textlink="">
          <xdr:nvSpPr>
            <xdr:cNvPr id="23" name="Plano de Fundo" descr="Plano de Fundo">
              <a:extLst>
                <a:ext uri="{FF2B5EF4-FFF2-40B4-BE49-F238E27FC236}">
                  <a16:creationId xmlns:a16="http://schemas.microsoft.com/office/drawing/2014/main" id="{B3DB548F-841E-4942-BFFD-4AD92D48A86C}"/>
                </a:ext>
              </a:extLst>
            </xdr:cNvPr>
            <xdr:cNvSpPr/>
          </xdr:nvSpPr>
          <xdr:spPr>
            <a:xfrm>
              <a:off x="0" y="0"/>
              <a:ext cx="5695950" cy="47651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4" name="Etapa" descr="Adicionar números como um especialista">
              <a:extLst>
                <a:ext uri="{FF2B5EF4-FFF2-40B4-BE49-F238E27FC236}">
                  <a16:creationId xmlns:a16="http://schemas.microsoft.com/office/drawing/2014/main" id="{E220956E-FDD2-47A7-B433-546175B3F48B}"/>
                </a:ext>
              </a:extLst>
            </xdr:cNvPr>
            <xdr:cNvSpPr txBox="1"/>
          </xdr:nvSpPr>
          <xdr:spPr>
            <a:xfrm>
              <a:off x="231748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</a:p>
          </xdr:txBody>
        </xdr:sp>
        <xdr:cxnSp macro="">
          <xdr:nvCxnSpPr>
            <xdr:cNvPr id="26" name="Linha inferior" descr="Linha decorativa">
              <a:extLst>
                <a:ext uri="{FF2B5EF4-FFF2-40B4-BE49-F238E27FC236}">
                  <a16:creationId xmlns:a16="http://schemas.microsoft.com/office/drawing/2014/main" id="{266DD102-C988-44A4-A1CD-0C80CAF096EB}"/>
                </a:ext>
              </a:extLst>
            </xdr:cNvPr>
            <xdr:cNvCxnSpPr>
              <a:cxnSpLocks/>
            </xdr:cNvCxnSpPr>
          </xdr:nvCxnSpPr>
          <xdr:spPr>
            <a:xfrm>
              <a:off x="234924" y="37450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Linha superior" descr="Linha decorativa">
              <a:extLst>
                <a:ext uri="{FF2B5EF4-FFF2-40B4-BE49-F238E27FC236}">
                  <a16:creationId xmlns:a16="http://schemas.microsoft.com/office/drawing/2014/main" id="{3DB03AB9-80B8-4B6E-AB0A-B2B90953F809}"/>
                </a:ext>
              </a:extLst>
            </xdr:cNvPr>
            <xdr:cNvCxnSpPr>
              <a:cxnSpLocks/>
            </xdr:cNvCxnSpPr>
          </xdr:nvCxnSpPr>
          <xdr:spPr>
            <a:xfrm>
              <a:off x="234924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" name="Etapa5">
            <a:extLst>
              <a:ext uri="{FF2B5EF4-FFF2-40B4-BE49-F238E27FC236}">
                <a16:creationId xmlns:a16="http://schemas.microsoft.com/office/drawing/2014/main" id="{FD443671-0893-4A99-A163-58058750020E}"/>
              </a:ext>
            </a:extLst>
          </xdr:cNvPr>
          <xdr:cNvGrpSpPr/>
        </xdr:nvGrpSpPr>
        <xdr:grpSpPr>
          <a:xfrm>
            <a:off x="558707" y="3254025"/>
            <a:ext cx="5225273" cy="690343"/>
            <a:chOff x="231749" y="2962883"/>
            <a:chExt cx="5216550" cy="684694"/>
          </a:xfrm>
        </xdr:grpSpPr>
        <xdr:sp macro="" textlink="">
          <xdr:nvSpPr>
            <xdr:cNvPr id="21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8D712636-4450-404E-AA39-B664FA09399D}"/>
                </a:ext>
              </a:extLst>
            </xdr:cNvPr>
            <xdr:cNvSpPr txBox="1"/>
          </xdr:nvSpPr>
          <xdr:spPr>
            <a:xfrm>
              <a:off x="638783" y="3005381"/>
              <a:ext cx="4809516" cy="64219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Formatar segmentação de dados</a:t>
              </a:r>
            </a:p>
          </xdr:txBody>
        </xdr:sp>
        <xdr:sp macro="" textlink="">
          <xdr:nvSpPr>
            <xdr:cNvPr id="22" name="5" descr="5">
              <a:extLst>
                <a:ext uri="{FF2B5EF4-FFF2-40B4-BE49-F238E27FC236}">
                  <a16:creationId xmlns:a16="http://schemas.microsoft.com/office/drawing/2014/main" id="{1DFD96A1-6475-43A6-B1EC-43166D6BBADA}"/>
                </a:ext>
              </a:extLst>
            </xdr:cNvPr>
            <xdr:cNvSpPr/>
          </xdr:nvSpPr>
          <xdr:spPr>
            <a:xfrm>
              <a:off x="231749" y="2962883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5</a:t>
              </a:r>
            </a:p>
          </xdr:txBody>
        </xdr:sp>
      </xdr:grpSp>
      <xdr:grpSp>
        <xdr:nvGrpSpPr>
          <xdr:cNvPr id="8" name="Etapa4">
            <a:extLst>
              <a:ext uri="{FF2B5EF4-FFF2-40B4-BE49-F238E27FC236}">
                <a16:creationId xmlns:a16="http://schemas.microsoft.com/office/drawing/2014/main" id="{CBCBAAEC-37E0-41F0-9B28-71E89415877E}"/>
              </a:ext>
            </a:extLst>
          </xdr:cNvPr>
          <xdr:cNvGrpSpPr/>
        </xdr:nvGrpSpPr>
        <xdr:grpSpPr>
          <a:xfrm>
            <a:off x="558707" y="2770787"/>
            <a:ext cx="5225268" cy="608868"/>
            <a:chOff x="231749" y="2483595"/>
            <a:chExt cx="5216550" cy="603885"/>
          </a:xfrm>
        </xdr:grpSpPr>
        <xdr:sp macro="" textlink="">
          <xdr:nvSpPr>
            <xdr:cNvPr id="19" name="4" descr="4">
              <a:extLst>
                <a:ext uri="{FF2B5EF4-FFF2-40B4-BE49-F238E27FC236}">
                  <a16:creationId xmlns:a16="http://schemas.microsoft.com/office/drawing/2014/main" id="{12D7DC52-A386-449E-83BD-F3C2E18C65A7}"/>
                </a:ext>
              </a:extLst>
            </xdr:cNvPr>
            <xdr:cNvSpPr/>
          </xdr:nvSpPr>
          <xdr:spPr>
            <a:xfrm>
              <a:off x="231749" y="2483595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  <xdr:sp macro="" textlink="">
          <xdr:nvSpPr>
            <xdr:cNvPr id="20" name="Etapa" descr="Pressione ALT = primeiro. Em seguida, pressione Enter">
              <a:extLst>
                <a:ext uri="{FF2B5EF4-FFF2-40B4-BE49-F238E27FC236}">
                  <a16:creationId xmlns:a16="http://schemas.microsoft.com/office/drawing/2014/main" id="{49642F2A-0044-466E-AA66-70EAA7F927D0}"/>
                </a:ext>
              </a:extLst>
            </xdr:cNvPr>
            <xdr:cNvSpPr txBox="1"/>
          </xdr:nvSpPr>
          <xdr:spPr>
            <a:xfrm>
              <a:off x="638783" y="2526093"/>
              <a:ext cx="4809516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Formatar tabelas</a:t>
              </a:r>
            </a:p>
          </xdr:txBody>
        </xdr:sp>
      </xdr:grpSp>
      <xdr:grpSp>
        <xdr:nvGrpSpPr>
          <xdr:cNvPr id="9" name="Etapa3">
            <a:extLst>
              <a:ext uri="{FF2B5EF4-FFF2-40B4-BE49-F238E27FC236}">
                <a16:creationId xmlns:a16="http://schemas.microsoft.com/office/drawing/2014/main" id="{6E9402EE-887C-4440-B2E9-9FAE689A2FA8}"/>
              </a:ext>
            </a:extLst>
          </xdr:cNvPr>
          <xdr:cNvGrpSpPr/>
        </xdr:nvGrpSpPr>
        <xdr:grpSpPr>
          <a:xfrm>
            <a:off x="558707" y="2277525"/>
            <a:ext cx="5225273" cy="608867"/>
            <a:chOff x="231749" y="1994372"/>
            <a:chExt cx="5216550" cy="603885"/>
          </a:xfrm>
        </xdr:grpSpPr>
        <xdr:sp macro="" textlink="">
          <xdr:nvSpPr>
            <xdr:cNvPr id="17" name="Etapa" descr="Esta é outra maneira de adicionar, usando uma tecla de atalho. Selecione a célula amarela nos valores de carne">
              <a:extLst>
                <a:ext uri="{FF2B5EF4-FFF2-40B4-BE49-F238E27FC236}">
                  <a16:creationId xmlns:a16="http://schemas.microsoft.com/office/drawing/2014/main" id="{259B7EFB-EC77-4E06-AB55-2FD2D84EC241}"/>
                </a:ext>
              </a:extLst>
            </xdr:cNvPr>
            <xdr:cNvSpPr txBox="1"/>
          </xdr:nvSpPr>
          <xdr:spPr>
            <a:xfrm>
              <a:off x="638783" y="2036870"/>
              <a:ext cx="4809516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Segmentação de dados e suas configurações</a:t>
              </a:r>
            </a:p>
          </xdr:txBody>
        </xdr:sp>
        <xdr:sp macro="" textlink="">
          <xdr:nvSpPr>
            <xdr:cNvPr id="18" name="3" descr="3">
              <a:extLst>
                <a:ext uri="{FF2B5EF4-FFF2-40B4-BE49-F238E27FC236}">
                  <a16:creationId xmlns:a16="http://schemas.microsoft.com/office/drawing/2014/main" id="{71DBA896-B0FE-4690-BDB5-E01DBED6E36E}"/>
                </a:ext>
              </a:extLst>
            </xdr:cNvPr>
            <xdr:cNvSpPr/>
          </xdr:nvSpPr>
          <xdr:spPr>
            <a:xfrm>
              <a:off x="231749" y="1994372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0" name="Etapa2">
            <a:extLst>
              <a:ext uri="{FF2B5EF4-FFF2-40B4-BE49-F238E27FC236}">
                <a16:creationId xmlns:a16="http://schemas.microsoft.com/office/drawing/2014/main" id="{37F4B9F0-80F2-4664-BEA2-CAD87CF1F021}"/>
              </a:ext>
            </a:extLst>
          </xdr:cNvPr>
          <xdr:cNvGrpSpPr/>
        </xdr:nvGrpSpPr>
        <xdr:grpSpPr>
          <a:xfrm>
            <a:off x="558707" y="1769250"/>
            <a:ext cx="5225273" cy="608867"/>
            <a:chOff x="231749" y="1490256"/>
            <a:chExt cx="5216550" cy="603885"/>
          </a:xfrm>
        </xdr:grpSpPr>
        <xdr:sp macro="" textlink="">
          <xdr:nvSpPr>
            <xdr:cNvPr id="15" name="Etapa" descr="Digite =SOMA(D4:D7) e pressione enter. Quando terminar, você verá o resultado de 170">
              <a:extLst>
                <a:ext uri="{FF2B5EF4-FFF2-40B4-BE49-F238E27FC236}">
                  <a16:creationId xmlns:a16="http://schemas.microsoft.com/office/drawing/2014/main" id="{D01265A8-A983-4511-8B87-091029135317}"/>
                </a:ext>
              </a:extLst>
            </xdr:cNvPr>
            <xdr:cNvSpPr txBox="1"/>
          </xdr:nvSpPr>
          <xdr:spPr>
            <a:xfrm>
              <a:off x="638782" y="1532754"/>
              <a:ext cx="4809517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100" kern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Formatação</a:t>
              </a:r>
              <a:r>
                <a:rPr lang="pt-BR" sz="1100" kern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de Tabelas, Nomear tabelas, Linhas de totais</a:t>
              </a:r>
              <a:endParaRPr lang="pt-BR" sz="1100" kern="0">
                <a:solidFill>
                  <a:schemeClr val="tx1">
                    <a:lumMod val="75000"/>
                    <a:lumOff val="25000"/>
                  </a:schemeClr>
                </a:solidFill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6" name="2" descr="2">
              <a:extLst>
                <a:ext uri="{FF2B5EF4-FFF2-40B4-BE49-F238E27FC236}">
                  <a16:creationId xmlns:a16="http://schemas.microsoft.com/office/drawing/2014/main" id="{C0A7B6A6-5D42-40D7-90BF-CEEF42D3D1A3}"/>
                </a:ext>
              </a:extLst>
            </xdr:cNvPr>
            <xdr:cNvSpPr/>
          </xdr:nvSpPr>
          <xdr:spPr>
            <a:xfrm>
              <a:off x="231749" y="1490256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1" name="Etapa1">
            <a:extLst>
              <a:ext uri="{FF2B5EF4-FFF2-40B4-BE49-F238E27FC236}">
                <a16:creationId xmlns:a16="http://schemas.microsoft.com/office/drawing/2014/main" id="{9203D328-939A-4479-B191-03072EB44BC4}"/>
              </a:ext>
            </a:extLst>
          </xdr:cNvPr>
          <xdr:cNvGrpSpPr/>
        </xdr:nvGrpSpPr>
        <xdr:grpSpPr>
          <a:xfrm>
            <a:off x="558707" y="1278313"/>
            <a:ext cx="5225273" cy="608867"/>
            <a:chOff x="231749" y="1003336"/>
            <a:chExt cx="5216550" cy="603885"/>
          </a:xfrm>
        </xdr:grpSpPr>
        <xdr:sp macro="" textlink="">
          <xdr:nvSpPr>
            <xdr:cNvPr id="13" name="Etapa" descr="Selecione a célula amarela nos valores de frutas">
              <a:extLst>
                <a:ext uri="{FF2B5EF4-FFF2-40B4-BE49-F238E27FC236}">
                  <a16:creationId xmlns:a16="http://schemas.microsoft.com/office/drawing/2014/main" id="{BA58C0FA-A690-4F45-9575-C26F5A2BA56D}"/>
                </a:ext>
              </a:extLst>
            </xdr:cNvPr>
            <xdr:cNvSpPr txBox="1"/>
          </xdr:nvSpPr>
          <xdr:spPr>
            <a:xfrm>
              <a:off x="638783" y="1045834"/>
              <a:ext cx="4809516" cy="5613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Converter Intervalo de dados em tabelas</a:t>
              </a:r>
            </a:p>
          </xdr:txBody>
        </xdr:sp>
        <xdr:sp macro="" textlink="">
          <xdr:nvSpPr>
            <xdr:cNvPr id="14" name="1" descr="1">
              <a:extLst>
                <a:ext uri="{FF2B5EF4-FFF2-40B4-BE49-F238E27FC236}">
                  <a16:creationId xmlns:a16="http://schemas.microsoft.com/office/drawing/2014/main" id="{0EB6B92D-6648-46D8-AF92-3E22163E452E}"/>
                </a:ext>
              </a:extLst>
            </xdr:cNvPr>
            <xdr:cNvSpPr/>
          </xdr:nvSpPr>
          <xdr:spPr>
            <a:xfrm>
              <a:off x="231749" y="1003336"/>
              <a:ext cx="371587" cy="371587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sp macro="" textlink="">
        <xdr:nvSpPr>
          <xdr:cNvPr id="12" name="Introdução à adição de números" descr="Aqui estão algumas maneiras de adicionar números no Excel:">
            <a:extLst>
              <a:ext uri="{FF2B5EF4-FFF2-40B4-BE49-F238E27FC236}">
                <a16:creationId xmlns:a16="http://schemas.microsoft.com/office/drawing/2014/main" id="{B5ECB954-1300-4DBC-B36D-6FB1E3E68D83}"/>
              </a:ext>
            </a:extLst>
          </xdr:cNvPr>
          <xdr:cNvSpPr txBox="1"/>
        </xdr:nvSpPr>
        <xdr:spPr>
          <a:xfrm>
            <a:off x="555554" y="972193"/>
            <a:ext cx="5309802" cy="2548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A seguir os principais tópicos deste capítulo: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556780</xdr:colOff>
      <xdr:row>22</xdr:row>
      <xdr:rowOff>180974</xdr:rowOff>
    </xdr:to>
    <xdr:sp macro="" textlink="">
      <xdr:nvSpPr>
        <xdr:cNvPr id="12" name="Plano de Fundo" descr="Plano de Fundo">
          <a:extLst>
            <a:ext uri="{FF2B5EF4-FFF2-40B4-BE49-F238E27FC236}">
              <a16:creationId xmlns:a16="http://schemas.microsoft.com/office/drawing/2014/main" id="{25553AAF-2AD2-44E0-9460-B0D24CF484E5}"/>
            </a:ext>
          </a:extLst>
        </xdr:cNvPr>
        <xdr:cNvSpPr/>
      </xdr:nvSpPr>
      <xdr:spPr>
        <a:xfrm>
          <a:off x="0" y="0"/>
          <a:ext cx="5433580" cy="4371974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en-US" sz="1100"/>
        </a:p>
      </xdr:txBody>
    </xdr:sp>
    <xdr:clientData/>
  </xdr:twoCellAnchor>
  <xdr:twoCellAnchor>
    <xdr:from>
      <xdr:col>0</xdr:col>
      <xdr:colOff>184560</xdr:colOff>
      <xdr:row>0</xdr:row>
      <xdr:rowOff>157553</xdr:rowOff>
    </xdr:from>
    <xdr:to>
      <xdr:col>8</xdr:col>
      <xdr:colOff>424346</xdr:colOff>
      <xdr:row>4</xdr:row>
      <xdr:rowOff>27384</xdr:rowOff>
    </xdr:to>
    <xdr:sp macro="" textlink="">
      <xdr:nvSpPr>
        <xdr:cNvPr id="13" name="Etapa" descr="Adicionar números como um especialista">
          <a:extLst>
            <a:ext uri="{FF2B5EF4-FFF2-40B4-BE49-F238E27FC236}">
              <a16:creationId xmlns:a16="http://schemas.microsoft.com/office/drawing/2014/main" id="{5C7CD9D3-49A9-4510-BFB5-4722D5990EA3}"/>
            </a:ext>
          </a:extLst>
        </xdr:cNvPr>
        <xdr:cNvSpPr txBox="1"/>
      </xdr:nvSpPr>
      <xdr:spPr>
        <a:xfrm>
          <a:off x="184560" y="157553"/>
          <a:ext cx="5116586" cy="6318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200" b="0" i="0" u="none" strike="noStrike" kern="0" cap="none" spc="0" normalizeH="0" baseline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rPr>
            <a:t>Estilos, Formatar como Tabela</a:t>
          </a:r>
        </a:p>
      </xdr:txBody>
    </xdr:sp>
    <xdr:clientData/>
  </xdr:twoCellAnchor>
  <xdr:twoCellAnchor>
    <xdr:from>
      <xdr:col>0</xdr:col>
      <xdr:colOff>52825</xdr:colOff>
      <xdr:row>21</xdr:row>
      <xdr:rowOff>132400</xdr:rowOff>
    </xdr:from>
    <xdr:to>
      <xdr:col>8</xdr:col>
      <xdr:colOff>320579</xdr:colOff>
      <xdr:row>21</xdr:row>
      <xdr:rowOff>155062</xdr:rowOff>
    </xdr:to>
    <xdr:cxnSp macro="">
      <xdr:nvCxnSpPr>
        <xdr:cNvPr id="14" name="Linha inferior" descr="Linha decorativa">
          <a:extLst>
            <a:ext uri="{FF2B5EF4-FFF2-40B4-BE49-F238E27FC236}">
              <a16:creationId xmlns:a16="http://schemas.microsoft.com/office/drawing/2014/main" id="{A007DB68-30B4-45D7-8E35-846145832A63}"/>
            </a:ext>
          </a:extLst>
        </xdr:cNvPr>
        <xdr:cNvCxnSpPr>
          <a:cxnSpLocks/>
        </xdr:cNvCxnSpPr>
      </xdr:nvCxnSpPr>
      <xdr:spPr>
        <a:xfrm>
          <a:off x="52825" y="4132900"/>
          <a:ext cx="5144554" cy="22662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74990</xdr:colOff>
      <xdr:row>4</xdr:row>
      <xdr:rowOff>140898</xdr:rowOff>
    </xdr:from>
    <xdr:to>
      <xdr:col>8</xdr:col>
      <xdr:colOff>424346</xdr:colOff>
      <xdr:row>24</xdr:row>
      <xdr:rowOff>155344</xdr:rowOff>
    </xdr:to>
    <xdr:sp macro="" textlink="">
      <xdr:nvSpPr>
        <xdr:cNvPr id="15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C07D08CB-F7A3-454F-B6D0-B6B8BA0521CC}"/>
            </a:ext>
          </a:extLst>
        </xdr:cNvPr>
        <xdr:cNvSpPr txBox="1"/>
      </xdr:nvSpPr>
      <xdr:spPr>
        <a:xfrm>
          <a:off x="74990" y="902898"/>
          <a:ext cx="5226156" cy="3824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6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Nesta atividade vamos aplicar os conceitos de:</a:t>
          </a:r>
        </a:p>
        <a:p>
          <a:pPr lvl="0" rtl="0">
            <a:defRPr/>
          </a:pPr>
          <a:endParaRPr lang="pt-BR" sz="8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 Formatação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 de tabela</a:t>
          </a:r>
          <a:endParaRPr lang="pt-BR" sz="13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  <a:sym typeface="Wingdings" panose="05000000000000000000" pitchFamily="2" charset="2"/>
          </a:endParaRP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</a:t>
          </a:r>
          <a:r>
            <a:rPr lang="pt-BR" sz="1800" b="0" i="0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Opções de estilo de tabela</a:t>
          </a: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</a:t>
          </a:r>
          <a:r>
            <a:rPr lang="pt-BR" sz="1800" b="0" i="0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Nome da tabela</a:t>
          </a: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</a:t>
          </a:r>
          <a:r>
            <a:rPr lang="pt-BR" sz="1800" b="0" i="0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Converter tabela em intervalo</a:t>
          </a:r>
        </a:p>
        <a:p>
          <a:pPr lvl="0" rtl="0">
            <a:defRPr/>
          </a:pPr>
          <a:endParaRPr lang="pt-BR" sz="700" b="0" i="0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r>
            <a:rPr lang="pt-BR" sz="16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Sobre as tabelas</a:t>
          </a: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Ao criar uma tabela em uma planilha do Excel, ela não só facilita o gerenciamento e a análise de seus dados, como também oferece filtragem interna, classificação, sombreamento de linha com Linhas em Tiras e a capacidade de usar fórmulas diferentes em uma Linha de Totais.</a:t>
          </a:r>
        </a:p>
      </xdr:txBody>
    </xdr:sp>
    <xdr:clientData/>
  </xdr:twoCellAnchor>
  <xdr:twoCellAnchor>
    <xdr:from>
      <xdr:col>0</xdr:col>
      <xdr:colOff>143451</xdr:colOff>
      <xdr:row>3</xdr:row>
      <xdr:rowOff>133313</xdr:rowOff>
    </xdr:from>
    <xdr:to>
      <xdr:col>8</xdr:col>
      <xdr:colOff>339447</xdr:colOff>
      <xdr:row>3</xdr:row>
      <xdr:rowOff>144959</xdr:rowOff>
    </xdr:to>
    <xdr:cxnSp macro="">
      <xdr:nvCxnSpPr>
        <xdr:cNvPr id="16" name="Linha inferior" descr="Linha decorativa">
          <a:extLst>
            <a:ext uri="{FF2B5EF4-FFF2-40B4-BE49-F238E27FC236}">
              <a16:creationId xmlns:a16="http://schemas.microsoft.com/office/drawing/2014/main" id="{8A828E65-3EF4-4CF7-B509-E675785333DF}"/>
            </a:ext>
          </a:extLst>
        </xdr:cNvPr>
        <xdr:cNvCxnSpPr>
          <a:cxnSpLocks/>
        </xdr:cNvCxnSpPr>
      </xdr:nvCxnSpPr>
      <xdr:spPr>
        <a:xfrm flipV="1">
          <a:off x="143451" y="704813"/>
          <a:ext cx="5072796" cy="11646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398841</xdr:colOff>
      <xdr:row>11</xdr:row>
      <xdr:rowOff>159946</xdr:rowOff>
    </xdr:from>
    <xdr:to>
      <xdr:col>8</xdr:col>
      <xdr:colOff>514350</xdr:colOff>
      <xdr:row>13</xdr:row>
      <xdr:rowOff>161924</xdr:rowOff>
    </xdr:to>
    <xdr:sp macro="" textlink="">
      <xdr:nvSpPr>
        <xdr:cNvPr id="20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3671943F-E3C7-4DF2-9DA4-BD4A0ABFED70}"/>
            </a:ext>
          </a:extLst>
        </xdr:cNvPr>
        <xdr:cNvSpPr txBox="1"/>
      </xdr:nvSpPr>
      <xdr:spPr>
        <a:xfrm>
          <a:off x="3446841" y="2255446"/>
          <a:ext cx="1944309" cy="3829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0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* Página Inicial, Grupo Estilos,</a:t>
          </a:r>
          <a:r>
            <a:rPr lang="pt-BR" sz="10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 Formatar como Tabela</a:t>
          </a:r>
          <a:endParaRPr lang="pt-BR" sz="10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3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oneCell">
    <xdr:from>
      <xdr:col>6</xdr:col>
      <xdr:colOff>61089</xdr:colOff>
      <xdr:row>7</xdr:row>
      <xdr:rowOff>95250</xdr:rowOff>
    </xdr:from>
    <xdr:to>
      <xdr:col>7</xdr:col>
      <xdr:colOff>361950</xdr:colOff>
      <xdr:row>12</xdr:row>
      <xdr:rowOff>38100</xdr:rowOff>
    </xdr:to>
    <xdr:pic>
      <xdr:nvPicPr>
        <xdr:cNvPr id="17" name="Imagem 16" descr="Resultado de imagem para icone tabela">
          <a:extLst>
            <a:ext uri="{FF2B5EF4-FFF2-40B4-BE49-F238E27FC236}">
              <a16:creationId xmlns:a16="http://schemas.microsoft.com/office/drawing/2014/main" id="{51A50AD0-63A8-492B-ABFB-DAEE9C2D1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689" y="1428750"/>
          <a:ext cx="910461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556780</xdr:colOff>
      <xdr:row>22</xdr:row>
      <xdr:rowOff>180974</xdr:rowOff>
    </xdr:to>
    <xdr:sp macro="" textlink="">
      <xdr:nvSpPr>
        <xdr:cNvPr id="2" name="Plano de Fundo" descr="Plano de Fundo">
          <a:extLst>
            <a:ext uri="{FF2B5EF4-FFF2-40B4-BE49-F238E27FC236}">
              <a16:creationId xmlns:a16="http://schemas.microsoft.com/office/drawing/2014/main" id="{2E4C1FA5-7BAF-47AE-B3C6-8EA46C32FCA1}"/>
            </a:ext>
          </a:extLst>
        </xdr:cNvPr>
        <xdr:cNvSpPr/>
      </xdr:nvSpPr>
      <xdr:spPr>
        <a:xfrm>
          <a:off x="0" y="0"/>
          <a:ext cx="5433580" cy="4371974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en-US" sz="1100"/>
        </a:p>
      </xdr:txBody>
    </xdr:sp>
    <xdr:clientData/>
  </xdr:twoCellAnchor>
  <xdr:twoCellAnchor>
    <xdr:from>
      <xdr:col>0</xdr:col>
      <xdr:colOff>184560</xdr:colOff>
      <xdr:row>0</xdr:row>
      <xdr:rowOff>157553</xdr:rowOff>
    </xdr:from>
    <xdr:to>
      <xdr:col>8</xdr:col>
      <xdr:colOff>424346</xdr:colOff>
      <xdr:row>4</xdr:row>
      <xdr:rowOff>27384</xdr:rowOff>
    </xdr:to>
    <xdr:sp macro="" textlink="">
      <xdr:nvSpPr>
        <xdr:cNvPr id="3" name="Etapa" descr="Adicionar números como um especialista">
          <a:extLst>
            <a:ext uri="{FF2B5EF4-FFF2-40B4-BE49-F238E27FC236}">
              <a16:creationId xmlns:a16="http://schemas.microsoft.com/office/drawing/2014/main" id="{8CBDBCA5-EE9A-48B2-8C18-9D285330D39C}"/>
            </a:ext>
          </a:extLst>
        </xdr:cNvPr>
        <xdr:cNvSpPr txBox="1"/>
      </xdr:nvSpPr>
      <xdr:spPr>
        <a:xfrm>
          <a:off x="184560" y="157553"/>
          <a:ext cx="5116586" cy="6318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200" b="0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rPr>
            <a:t>Remover duplicata de uma tabela</a:t>
          </a:r>
        </a:p>
      </xdr:txBody>
    </xdr:sp>
    <xdr:clientData/>
  </xdr:twoCellAnchor>
  <xdr:twoCellAnchor>
    <xdr:from>
      <xdr:col>0</xdr:col>
      <xdr:colOff>52825</xdr:colOff>
      <xdr:row>21</xdr:row>
      <xdr:rowOff>132400</xdr:rowOff>
    </xdr:from>
    <xdr:to>
      <xdr:col>8</xdr:col>
      <xdr:colOff>320579</xdr:colOff>
      <xdr:row>21</xdr:row>
      <xdr:rowOff>155062</xdr:rowOff>
    </xdr:to>
    <xdr:cxnSp macro="">
      <xdr:nvCxnSpPr>
        <xdr:cNvPr id="4" name="Linha inferior" descr="Linha decorativa">
          <a:extLst>
            <a:ext uri="{FF2B5EF4-FFF2-40B4-BE49-F238E27FC236}">
              <a16:creationId xmlns:a16="http://schemas.microsoft.com/office/drawing/2014/main" id="{7FF83F41-9D6C-4C03-ACA4-DEAC45485158}"/>
            </a:ext>
          </a:extLst>
        </xdr:cNvPr>
        <xdr:cNvCxnSpPr>
          <a:cxnSpLocks/>
        </xdr:cNvCxnSpPr>
      </xdr:nvCxnSpPr>
      <xdr:spPr>
        <a:xfrm>
          <a:off x="52825" y="4132900"/>
          <a:ext cx="5144554" cy="22662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74990</xdr:colOff>
      <xdr:row>4</xdr:row>
      <xdr:rowOff>140898</xdr:rowOff>
    </xdr:from>
    <xdr:to>
      <xdr:col>8</xdr:col>
      <xdr:colOff>424346</xdr:colOff>
      <xdr:row>24</xdr:row>
      <xdr:rowOff>155344</xdr:rowOff>
    </xdr:to>
    <xdr:sp macro="" textlink="">
      <xdr:nvSpPr>
        <xdr:cNvPr id="5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5A91D971-3C64-49CE-9942-AA6BEF6C1A30}"/>
            </a:ext>
          </a:extLst>
        </xdr:cNvPr>
        <xdr:cNvSpPr txBox="1"/>
      </xdr:nvSpPr>
      <xdr:spPr>
        <a:xfrm>
          <a:off x="74990" y="902898"/>
          <a:ext cx="5226156" cy="3824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6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Nesta atividade vamos aplicar os conceitos de:</a:t>
          </a:r>
        </a:p>
        <a:p>
          <a:pPr lvl="0" rtl="0">
            <a:defRPr/>
          </a:pPr>
          <a:endParaRPr lang="pt-BR" sz="8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 Formatação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 de tabela</a:t>
          </a:r>
          <a:endParaRPr lang="pt-BR" sz="13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  <a:sym typeface="Wingdings" panose="05000000000000000000" pitchFamily="2" charset="2"/>
          </a:endParaRP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</a:t>
          </a:r>
          <a:r>
            <a:rPr lang="pt-BR" sz="1800" b="0" i="0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Opções de estilo de tabela</a:t>
          </a: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</a:t>
          </a:r>
          <a:r>
            <a:rPr lang="pt-BR" sz="1800" b="0" i="0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Nome da tabela</a:t>
          </a:r>
        </a:p>
        <a:p>
          <a:pPr lvl="0" rtl="0">
            <a:defRPr/>
          </a:pPr>
          <a:r>
            <a: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</a:t>
          </a:r>
          <a:r>
            <a:rPr lang="pt-BR" sz="1800" b="0" i="0" kern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rPr>
            <a:t>Converter tabela em intervalo</a:t>
          </a:r>
        </a:p>
        <a:p>
          <a:pPr lvl="0" rtl="0">
            <a:defRPr/>
          </a:pPr>
          <a:endParaRPr lang="pt-BR" sz="700" b="0" i="0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r>
            <a:rPr lang="pt-BR" sz="16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Sobre as tabelas</a:t>
          </a: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200" b="0" i="0" u="none" kern="1200" baseline="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r>
            <a: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Ao criar uma tabela em uma planilha do Excel, ela não só facilita o gerenciamento e a análise de seus dados, como também oferece filtragem interna, classificação, sombreamento de linha com Linhas em Tiras e a capacidade de usar fórmulas diferentes em uma Linha de Totais.</a:t>
          </a:r>
        </a:p>
      </xdr:txBody>
    </xdr:sp>
    <xdr:clientData/>
  </xdr:twoCellAnchor>
  <xdr:twoCellAnchor>
    <xdr:from>
      <xdr:col>0</xdr:col>
      <xdr:colOff>143451</xdr:colOff>
      <xdr:row>3</xdr:row>
      <xdr:rowOff>133313</xdr:rowOff>
    </xdr:from>
    <xdr:to>
      <xdr:col>8</xdr:col>
      <xdr:colOff>339447</xdr:colOff>
      <xdr:row>3</xdr:row>
      <xdr:rowOff>144959</xdr:rowOff>
    </xdr:to>
    <xdr:cxnSp macro="">
      <xdr:nvCxnSpPr>
        <xdr:cNvPr id="6" name="Linha inferior" descr="Linha decorativa">
          <a:extLst>
            <a:ext uri="{FF2B5EF4-FFF2-40B4-BE49-F238E27FC236}">
              <a16:creationId xmlns:a16="http://schemas.microsoft.com/office/drawing/2014/main" id="{511CBFE9-2447-4606-9CBB-04463ABB15ED}"/>
            </a:ext>
          </a:extLst>
        </xdr:cNvPr>
        <xdr:cNvCxnSpPr>
          <a:cxnSpLocks/>
        </xdr:cNvCxnSpPr>
      </xdr:nvCxnSpPr>
      <xdr:spPr>
        <a:xfrm flipV="1">
          <a:off x="143451" y="704813"/>
          <a:ext cx="5072796" cy="11646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398841</xdr:colOff>
      <xdr:row>11</xdr:row>
      <xdr:rowOff>159946</xdr:rowOff>
    </xdr:from>
    <xdr:to>
      <xdr:col>8</xdr:col>
      <xdr:colOff>514350</xdr:colOff>
      <xdr:row>13</xdr:row>
      <xdr:rowOff>161924</xdr:rowOff>
    </xdr:to>
    <xdr:sp macro="" textlink="">
      <xdr:nvSpPr>
        <xdr:cNvPr id="7" name="Etapa" descr="Agora, adicione apenas os números acima de 50. Selecione a última célula amarela. Digite =SOMASE(D11:D15;&quot;&gt;50&quot;) e pressione Enter. O resultado é 100">
          <a:extLst>
            <a:ext uri="{FF2B5EF4-FFF2-40B4-BE49-F238E27FC236}">
              <a16:creationId xmlns:a16="http://schemas.microsoft.com/office/drawing/2014/main" id="{22E9C9D9-7476-470E-8D66-6CF4D0669273}"/>
            </a:ext>
          </a:extLst>
        </xdr:cNvPr>
        <xdr:cNvSpPr txBox="1"/>
      </xdr:nvSpPr>
      <xdr:spPr>
        <a:xfrm>
          <a:off x="3446841" y="2255446"/>
          <a:ext cx="1944309" cy="3829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0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* Página Inicial, Grupo Estilos,</a:t>
          </a:r>
          <a:r>
            <a:rPr lang="pt-BR" sz="10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 Remover duplicatas</a:t>
          </a:r>
          <a:endParaRPr lang="pt-BR" sz="10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  <a:p>
          <a:pPr lvl="0" rtl="0">
            <a:defRPr/>
          </a:pPr>
          <a:endParaRPr lang="pt-BR" sz="300" b="0" i="0" kern="1200">
            <a:solidFill>
              <a:schemeClr val="dk1"/>
            </a:solidFill>
            <a:effectLst/>
            <a:latin typeface="Segoe UI Light" panose="020B0502040204020203" pitchFamily="34" charset="0"/>
            <a:ea typeface="+mn-ea"/>
            <a:cs typeface="Segoe UI Light" panose="020B0502040204020203" pitchFamily="34" charset="0"/>
          </a:endParaRPr>
        </a:p>
      </xdr:txBody>
    </xdr:sp>
    <xdr:clientData/>
  </xdr:twoCellAnchor>
  <xdr:twoCellAnchor editAs="oneCell">
    <xdr:from>
      <xdr:col>6</xdr:col>
      <xdr:colOff>61089</xdr:colOff>
      <xdr:row>7</xdr:row>
      <xdr:rowOff>95250</xdr:rowOff>
    </xdr:from>
    <xdr:to>
      <xdr:col>7</xdr:col>
      <xdr:colOff>361950</xdr:colOff>
      <xdr:row>20</xdr:row>
      <xdr:rowOff>38100</xdr:rowOff>
    </xdr:to>
    <xdr:pic>
      <xdr:nvPicPr>
        <xdr:cNvPr id="8" name="Imagem 7" descr="Resultado de imagem para icone tabela">
          <a:extLst>
            <a:ext uri="{FF2B5EF4-FFF2-40B4-BE49-F238E27FC236}">
              <a16:creationId xmlns:a16="http://schemas.microsoft.com/office/drawing/2014/main" id="{7B1A604C-1C4B-4945-80E9-3F13FDD90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689" y="1428750"/>
          <a:ext cx="910461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10</xdr:col>
      <xdr:colOff>0</xdr:colOff>
      <xdr:row>0</xdr:row>
      <xdr:rowOff>161925</xdr:rowOff>
    </xdr:from>
    <xdr:to>
      <xdr:col>17</xdr:col>
      <xdr:colOff>0</xdr:colOff>
      <xdr:row>6</xdr:row>
      <xdr:rowOff>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9" name="Vendedor">
              <a:extLst>
                <a:ext uri="{FF2B5EF4-FFF2-40B4-BE49-F238E27FC236}">
                  <a16:creationId xmlns:a16="http://schemas.microsoft.com/office/drawing/2014/main" id="{F9232B2B-BBF3-5FFE-A349-D5C0D71831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0700" y="161925"/>
              <a:ext cx="6677025" cy="981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10</xdr:col>
      <xdr:colOff>190500</xdr:colOff>
      <xdr:row>20</xdr:row>
      <xdr:rowOff>85725</xdr:rowOff>
    </xdr:from>
    <xdr:to>
      <xdr:col>17</xdr:col>
      <xdr:colOff>190500</xdr:colOff>
      <xdr:row>36</xdr:row>
      <xdr:rowOff>19050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0435286-5C59-EEB6-4494-CBB83CA39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556780</xdr:colOff>
      <xdr:row>22</xdr:row>
      <xdr:rowOff>180974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CBED27D6-1B72-42A9-899E-F84A11F2E5EC}"/>
            </a:ext>
          </a:extLst>
        </xdr:cNvPr>
        <xdr:cNvGrpSpPr/>
      </xdr:nvGrpSpPr>
      <xdr:grpSpPr>
        <a:xfrm>
          <a:off x="0" y="0"/>
          <a:ext cx="5433580" cy="4371974"/>
          <a:chOff x="0" y="0"/>
          <a:chExt cx="5455351" cy="4371974"/>
        </a:xfrm>
      </xdr:grpSpPr>
      <xdr:sp macro="" textlink="">
        <xdr:nvSpPr>
          <xdr:cNvPr id="2" name="Plano de Fundo" descr="Plano de Fundo">
            <a:extLst>
              <a:ext uri="{FF2B5EF4-FFF2-40B4-BE49-F238E27FC236}">
                <a16:creationId xmlns:a16="http://schemas.microsoft.com/office/drawing/2014/main" id="{FBBBF72A-E555-456D-8633-9F29652FC412}"/>
              </a:ext>
            </a:extLst>
          </xdr:cNvPr>
          <xdr:cNvSpPr/>
        </xdr:nvSpPr>
        <xdr:spPr>
          <a:xfrm>
            <a:off x="0" y="0"/>
            <a:ext cx="5455351" cy="437197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3" name="Etapa" descr="Adicionar números como um especialista">
            <a:extLst>
              <a:ext uri="{FF2B5EF4-FFF2-40B4-BE49-F238E27FC236}">
                <a16:creationId xmlns:a16="http://schemas.microsoft.com/office/drawing/2014/main" id="{8E90F339-5980-49A1-A07E-5F9180668CAB}"/>
              </a:ext>
            </a:extLst>
          </xdr:cNvPr>
          <xdr:cNvSpPr txBox="1"/>
        </xdr:nvSpPr>
        <xdr:spPr>
          <a:xfrm>
            <a:off x="184560" y="157553"/>
            <a:ext cx="5138357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Tabela       Segmentação de dados</a:t>
            </a:r>
          </a:p>
        </xdr:txBody>
      </xdr:sp>
      <xdr:cxnSp macro="">
        <xdr:nvCxnSpPr>
          <xdr:cNvPr id="4" name="Linha inferior" descr="Linha decorativa">
            <a:extLst>
              <a:ext uri="{FF2B5EF4-FFF2-40B4-BE49-F238E27FC236}">
                <a16:creationId xmlns:a16="http://schemas.microsoft.com/office/drawing/2014/main" id="{FE74E480-6B7D-4AE1-81EB-33D786559A4C}"/>
              </a:ext>
            </a:extLst>
          </xdr:cNvPr>
          <xdr:cNvCxnSpPr>
            <a:cxnSpLocks/>
          </xdr:cNvCxnSpPr>
        </xdr:nvCxnSpPr>
        <xdr:spPr>
          <a:xfrm>
            <a:off x="52825" y="4132900"/>
            <a:ext cx="5166325" cy="22662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2F4A59D9-9E54-45D3-9AA3-C926C081C4F2}"/>
              </a:ext>
            </a:extLst>
          </xdr:cNvPr>
          <xdr:cNvSpPr txBox="1"/>
        </xdr:nvSpPr>
        <xdr:spPr>
          <a:xfrm>
            <a:off x="74990" y="902898"/>
            <a:ext cx="5247927" cy="3070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Nesta atividade vamos aplicar os conceitos de: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Segmentação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Opções de Segmentação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Estilos de Segmentação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Configurações de Segmentação de dados</a:t>
            </a: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Sobre a segmentação de dados</a:t>
            </a: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A segmentação de dados para uma tabela, está disponível na Guia Design, porém, a funcionalidade só funcionará caso você transforme o intervalo de dados em uma tabela</a:t>
            </a:r>
          </a:p>
        </xdr:txBody>
      </xdr:sp>
      <xdr:cxnSp macro="">
        <xdr:nvCxnSpPr>
          <xdr:cNvPr id="6" name="Linha inferior" descr="Linha decorativa">
            <a:extLst>
              <a:ext uri="{FF2B5EF4-FFF2-40B4-BE49-F238E27FC236}">
                <a16:creationId xmlns:a16="http://schemas.microsoft.com/office/drawing/2014/main" id="{75CB366D-ED2A-4119-96D2-E520F3957950}"/>
              </a:ext>
            </a:extLst>
          </xdr:cNvPr>
          <xdr:cNvCxnSpPr>
            <a:cxnSpLocks/>
          </xdr:cNvCxnSpPr>
        </xdr:nvCxnSpPr>
        <xdr:spPr>
          <a:xfrm flipV="1">
            <a:off x="143451" y="704813"/>
            <a:ext cx="5094567" cy="11646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159B9E10-5F6E-473A-9805-19C0D4BC6004}"/>
              </a:ext>
            </a:extLst>
          </xdr:cNvPr>
          <xdr:cNvSpPr txBox="1"/>
        </xdr:nvSpPr>
        <xdr:spPr>
          <a:xfrm>
            <a:off x="3460448" y="2255446"/>
            <a:ext cx="1952473" cy="382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0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* Página Inicial, Grupo Estilos,</a:t>
            </a:r>
            <a:r>
              <a:rPr lang="pt-BR" sz="10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Formatar como Tabela</a:t>
            </a:r>
            <a:endParaRPr lang="pt-BR" sz="10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pic>
        <xdr:nvPicPr>
          <xdr:cNvPr id="8" name="Imagem 7" descr="Resultado de imagem para icone tabela">
            <a:extLst>
              <a:ext uri="{FF2B5EF4-FFF2-40B4-BE49-F238E27FC236}">
                <a16:creationId xmlns:a16="http://schemas.microsoft.com/office/drawing/2014/main" id="{1D2ADF03-9151-4085-9C26-714ECE2A4C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35018" y="1428750"/>
            <a:ext cx="913182" cy="895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Gráfico 10" descr="Adicionar">
            <a:extLst>
              <a:ext uri="{FF2B5EF4-FFF2-40B4-BE49-F238E27FC236}">
                <a16:creationId xmlns:a16="http://schemas.microsoft.com/office/drawing/2014/main" id="{75661474-C6DD-48A5-B4EB-EC70B66995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 rot="20780657">
            <a:off x="1002846" y="161926"/>
            <a:ext cx="459922" cy="457200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38100</xdr:colOff>
      <xdr:row>23</xdr:row>
      <xdr:rowOff>1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C6DEC72A-6F46-4886-9486-69D5F00C84EC}"/>
            </a:ext>
          </a:extLst>
        </xdr:cNvPr>
        <xdr:cNvGrpSpPr/>
      </xdr:nvGrpSpPr>
      <xdr:grpSpPr>
        <a:xfrm>
          <a:off x="0" y="0"/>
          <a:ext cx="10447564" cy="4470919"/>
          <a:chOff x="0" y="171450"/>
          <a:chExt cx="10342418" cy="4381501"/>
        </a:xfrm>
      </xdr:grpSpPr>
      <xdr:sp macro="" textlink="">
        <xdr:nvSpPr>
          <xdr:cNvPr id="4" name="Plano de Fundo" descr="Plano de Fundo">
            <a:extLst>
              <a:ext uri="{FF2B5EF4-FFF2-40B4-BE49-F238E27FC236}">
                <a16:creationId xmlns:a16="http://schemas.microsoft.com/office/drawing/2014/main" id="{6DCEB9D0-3DC3-4E3D-A2C6-791BE468700B}"/>
              </a:ext>
            </a:extLst>
          </xdr:cNvPr>
          <xdr:cNvSpPr/>
        </xdr:nvSpPr>
        <xdr:spPr>
          <a:xfrm>
            <a:off x="0" y="190500"/>
            <a:ext cx="10342418" cy="433387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5" name="Etapa" descr="Adicionar números como um especialista">
            <a:extLst>
              <a:ext uri="{FF2B5EF4-FFF2-40B4-BE49-F238E27FC236}">
                <a16:creationId xmlns:a16="http://schemas.microsoft.com/office/drawing/2014/main" id="{5562B6B5-2520-46DC-8258-FCF7EE603A7B}"/>
              </a:ext>
            </a:extLst>
          </xdr:cNvPr>
          <xdr:cNvSpPr txBox="1"/>
        </xdr:nvSpPr>
        <xdr:spPr>
          <a:xfrm>
            <a:off x="183823" y="348053"/>
            <a:ext cx="7108907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DESAFIO DO CAPÍTULO 02 - FORMATAÇÃO DE TABELAS</a:t>
            </a:r>
          </a:p>
        </xdr:txBody>
      </xdr:sp>
      <xdr:sp macro="" textlink="">
        <xdr:nvSpPr>
          <xdr:cNvPr id="7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D4264099-2693-4621-A654-FB5594D75094}"/>
              </a:ext>
            </a:extLst>
          </xdr:cNvPr>
          <xdr:cNvSpPr txBox="1"/>
        </xdr:nvSpPr>
        <xdr:spPr>
          <a:xfrm>
            <a:off x="93740" y="1026722"/>
            <a:ext cx="10214041" cy="32976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4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Esta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atividade existe para você colocar em prática todo o conhecimento adquirido ao longo deste capítulo. Nós, Professores, vamos dar todo o suporte e apoio possível para que você consiga chegar ao final deste desafio, porém, queremos que você consiga desenvolver esta atividade sozinho e nos apresente apenas o resultado final.</a:t>
            </a:r>
          </a:p>
          <a:p>
            <a:pPr lvl="0" rtl="0">
              <a:defRPr/>
            </a:pPr>
            <a:endParaRPr lang="pt-BR" sz="14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algn="ctr" rtl="0">
              <a:defRPr/>
            </a:pP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A seguir os detalhes para elaboração do exercício, </a:t>
            </a:r>
            <a:r>
              <a:rPr lang="pt-BR" sz="1400" b="1" i="0" kern="1200" baseline="0">
                <a:solidFill>
                  <a:srgbClr val="FF0000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use e abuse da criatividade!!!</a:t>
            </a:r>
            <a:endParaRPr lang="pt-BR" sz="14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11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4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Ingredientes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(Vamos precisar de:)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Um intervalo de dados que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 será transformado em Tabela;</a:t>
            </a:r>
            <a:endPara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Nomear a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Segmentação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Configurações de Segmentação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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Um pouco de conceitos do capítulo 01</a:t>
            </a:r>
          </a:p>
          <a:p>
            <a:pPr lvl="0" rtl="0">
              <a:defRPr/>
            </a:pPr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cxnSp macro="">
        <xdr:nvCxnSpPr>
          <xdr:cNvPr id="8" name="Linha inferior" descr="Linha decorativa">
            <a:extLst>
              <a:ext uri="{FF2B5EF4-FFF2-40B4-BE49-F238E27FC236}">
                <a16:creationId xmlns:a16="http://schemas.microsoft.com/office/drawing/2014/main" id="{09A4C536-6DB1-4717-AD33-19DE1B79F95B}"/>
              </a:ext>
            </a:extLst>
          </xdr:cNvPr>
          <xdr:cNvCxnSpPr>
            <a:cxnSpLocks/>
          </xdr:cNvCxnSpPr>
        </xdr:nvCxnSpPr>
        <xdr:spPr>
          <a:xfrm flipV="1">
            <a:off x="142879" y="885825"/>
            <a:ext cx="9993453" cy="21134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" name="Gráfico 14" descr="Cabeça com Engrenagens">
            <a:extLst>
              <a:ext uri="{FF2B5EF4-FFF2-40B4-BE49-F238E27FC236}">
                <a16:creationId xmlns:a16="http://schemas.microsoft.com/office/drawing/2014/main" id="{1D6EFB0A-94B2-4CC7-B8B0-78E4588206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flipH="1">
            <a:off x="9434945" y="190500"/>
            <a:ext cx="691862" cy="695325"/>
          </a:xfrm>
          <a:prstGeom prst="rect">
            <a:avLst/>
          </a:prstGeom>
        </xdr:spPr>
      </xdr:pic>
      <xdr:sp macro="" textlink="">
        <xdr:nvSpPr>
          <xdr:cNvPr id="25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FE2709EE-32E9-424C-BAAC-D0C3F2C61B55}"/>
              </a:ext>
            </a:extLst>
          </xdr:cNvPr>
          <xdr:cNvSpPr txBox="1"/>
        </xdr:nvSpPr>
        <xdr:spPr>
          <a:xfrm>
            <a:off x="4822470" y="2388799"/>
            <a:ext cx="5237662" cy="2164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4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Modo</a:t>
            </a:r>
            <a:r>
              <a:rPr lang="pt-BR" sz="14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de Preparo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(Como fazer)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Selecione o conteúdo do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 intervalo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Converta o intervalo de dados em uma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Nomeie a sua tabela, "seja coeso ao nomear"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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Acrescente a linha de totais na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Insira Segmentação de dados dos campos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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Formate a Segmentação de dados ao seu gosto</a:t>
            </a:r>
          </a:p>
          <a:p>
            <a:pPr lvl="0" rtl="0">
              <a:defRPr/>
            </a:pPr>
            <a:r>
              <a:rPr lang="pt-BR" sz="1300" b="1" i="0" kern="1200" baseline="0">
                <a:solidFill>
                  <a:srgbClr val="FF0000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Maiores detalhes na próxima Guia de Planilha "Resolução do Desafio"</a:t>
            </a: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cxnSp macro="">
        <xdr:nvCxnSpPr>
          <xdr:cNvPr id="26" name="Linha inferior" descr="Linha decorativa">
            <a:extLst>
              <a:ext uri="{FF2B5EF4-FFF2-40B4-BE49-F238E27FC236}">
                <a16:creationId xmlns:a16="http://schemas.microsoft.com/office/drawing/2014/main" id="{CBD97F6F-3CFE-4054-9479-CD0482014552}"/>
              </a:ext>
            </a:extLst>
          </xdr:cNvPr>
          <xdr:cNvCxnSpPr>
            <a:cxnSpLocks/>
          </xdr:cNvCxnSpPr>
        </xdr:nvCxnSpPr>
        <xdr:spPr>
          <a:xfrm flipV="1">
            <a:off x="4532993" y="2628900"/>
            <a:ext cx="5237" cy="1354514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3" name="Gráfico 42" descr="Cérebro na cabeça">
            <a:extLst>
              <a:ext uri="{FF2B5EF4-FFF2-40B4-BE49-F238E27FC236}">
                <a16:creationId xmlns:a16="http://schemas.microsoft.com/office/drawing/2014/main" id="{7E36DA0B-9363-43A4-BC4D-C1257C437D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838334" y="171450"/>
            <a:ext cx="691336" cy="694800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105000</xdr:colOff>
      <xdr:row>10</xdr:row>
      <xdr:rowOff>34926</xdr:rowOff>
    </xdr:from>
    <xdr:to>
      <xdr:col>0</xdr:col>
      <xdr:colOff>2304600</xdr:colOff>
      <xdr:row>19</xdr:row>
      <xdr:rowOff>25400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ata da Venda">
              <a:extLst>
                <a:ext uri="{FF2B5EF4-FFF2-40B4-BE49-F238E27FC236}">
                  <a16:creationId xmlns:a16="http://schemas.microsoft.com/office/drawing/2014/main" id="{D6ECA730-77B9-CE6C-E735-F4673F90DD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 da V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000" y="2101851"/>
              <a:ext cx="2199600" cy="17049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104888</xdr:colOff>
      <xdr:row>19</xdr:row>
      <xdr:rowOff>155576</xdr:rowOff>
    </xdr:from>
    <xdr:to>
      <xdr:col>0</xdr:col>
      <xdr:colOff>2304488</xdr:colOff>
      <xdr:row>28</xdr:row>
      <xdr:rowOff>146050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Produto">
              <a:extLst>
                <a:ext uri="{FF2B5EF4-FFF2-40B4-BE49-F238E27FC236}">
                  <a16:creationId xmlns:a16="http://schemas.microsoft.com/office/drawing/2014/main" id="{6F15F950-9F84-46D3-21BB-70392FE53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888" y="3937001"/>
              <a:ext cx="2199600" cy="17049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104438</xdr:colOff>
      <xdr:row>6</xdr:row>
      <xdr:rowOff>38101</xdr:rowOff>
    </xdr:from>
    <xdr:to>
      <xdr:col>0</xdr:col>
      <xdr:colOff>2304712</xdr:colOff>
      <xdr:row>9</xdr:row>
      <xdr:rowOff>95250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ilial">
              <a:extLst>
                <a:ext uri="{FF2B5EF4-FFF2-40B4-BE49-F238E27FC236}">
                  <a16:creationId xmlns:a16="http://schemas.microsoft.com/office/drawing/2014/main" id="{633CC3DF-220D-0D11-21DE-745DA4DC76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l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38" y="1343026"/>
              <a:ext cx="2200274" cy="628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104775</xdr:colOff>
      <xdr:row>29</xdr:row>
      <xdr:rowOff>85726</xdr:rowOff>
    </xdr:from>
    <xdr:to>
      <xdr:col>0</xdr:col>
      <xdr:colOff>2304375</xdr:colOff>
      <xdr:row>38</xdr:row>
      <xdr:rowOff>76200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onsultor">
              <a:extLst>
                <a:ext uri="{FF2B5EF4-FFF2-40B4-BE49-F238E27FC236}">
                  <a16:creationId xmlns:a16="http://schemas.microsoft.com/office/drawing/2014/main" id="{59EF44FA-C8D7-E594-151D-61E2CCC857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sul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5772151"/>
              <a:ext cx="2199600" cy="17049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228599</xdr:colOff>
      <xdr:row>1</xdr:row>
      <xdr:rowOff>142875</xdr:rowOff>
    </xdr:from>
    <xdr:to>
      <xdr:col>11</xdr:col>
      <xdr:colOff>809624</xdr:colOff>
      <xdr:row>18</xdr:row>
      <xdr:rowOff>57151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ECF287F-874B-62B5-C591-A34621CE7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9525</xdr:colOff>
      <xdr:row>0</xdr:row>
      <xdr:rowOff>0</xdr:rowOff>
    </xdr:from>
    <xdr:to>
      <xdr:col>0</xdr:col>
      <xdr:colOff>2371724</xdr:colOff>
      <xdr:row>5</xdr:row>
      <xdr:rowOff>142875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F57735A-FA5C-B71D-307A-8F701504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362199" cy="125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495298</xdr:colOff>
      <xdr:row>0</xdr:row>
      <xdr:rowOff>0</xdr:rowOff>
    </xdr:from>
    <xdr:to>
      <xdr:col>21</xdr:col>
      <xdr:colOff>276223</xdr:colOff>
      <xdr:row>1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CBCF685-93DA-8BAA-2032-746BEAB2F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6973548" y="0"/>
          <a:ext cx="1000125" cy="3524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262FB7F0-2FE9-4F2B-991A-111A40C6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194BA14-E1FA-4B85-BADA-C7CCC2431583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[CÁLCULOS NO EXCEL]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5BB4B7B-C0D5-4FCF-9B9E-4F47C74A1BF2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03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590549</xdr:colOff>
      <xdr:row>2</xdr:row>
      <xdr:rowOff>114300</xdr:rowOff>
    </xdr:from>
    <xdr:to>
      <xdr:col>19</xdr:col>
      <xdr:colOff>447674</xdr:colOff>
      <xdr:row>26</xdr:row>
      <xdr:rowOff>133350</xdr:rowOff>
    </xdr:to>
    <xdr:grpSp>
      <xdr:nvGrpSpPr>
        <xdr:cNvPr id="29" name="Grupo 105">
          <a:extLst>
            <a:ext uri="{FF2B5EF4-FFF2-40B4-BE49-F238E27FC236}">
              <a16:creationId xmlns:a16="http://schemas.microsoft.com/office/drawing/2014/main" id="{CD4718D9-4264-4E8D-AB4B-759A99C48476}"/>
            </a:ext>
          </a:extLst>
        </xdr:cNvPr>
        <xdr:cNvGrpSpPr/>
      </xdr:nvGrpSpPr>
      <xdr:grpSpPr>
        <a:xfrm>
          <a:off x="6076949" y="495300"/>
          <a:ext cx="5953125" cy="4591050"/>
          <a:chOff x="333375" y="276185"/>
          <a:chExt cx="5695950" cy="4572000"/>
        </a:xfrm>
      </xdr:grpSpPr>
      <xdr:grpSp>
        <xdr:nvGrpSpPr>
          <xdr:cNvPr id="31" name="Instrução Adicionar números">
            <a:extLst>
              <a:ext uri="{FF2B5EF4-FFF2-40B4-BE49-F238E27FC236}">
                <a16:creationId xmlns:a16="http://schemas.microsoft.com/office/drawing/2014/main" id="{8497694C-9633-414C-9923-A4E3482CDD7B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45" name="Plano de Fundo" descr="Plano de Fundo">
              <a:extLst>
                <a:ext uri="{FF2B5EF4-FFF2-40B4-BE49-F238E27FC236}">
                  <a16:creationId xmlns:a16="http://schemas.microsoft.com/office/drawing/2014/main" id="{9A848F6C-950E-4334-A40E-0F4C7B3AB3B2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46" name="Etapa" descr="Noções básicas: fazer cálculos no Excel&#10;">
              <a:extLst>
                <a:ext uri="{FF2B5EF4-FFF2-40B4-BE49-F238E27FC236}">
                  <a16:creationId xmlns:a16="http://schemas.microsoft.com/office/drawing/2014/main" id="{C55BE952-7932-486B-9792-53BE3658C95E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48" name="Linha inferior" descr="Linha decorativa">
              <a:extLst>
                <a:ext uri="{FF2B5EF4-FFF2-40B4-BE49-F238E27FC236}">
                  <a16:creationId xmlns:a16="http://schemas.microsoft.com/office/drawing/2014/main" id="{9F9CB001-E1A7-4107-9742-285CC025D2A8}"/>
                </a:ext>
              </a:extLst>
            </xdr:cNvPr>
            <xdr:cNvCxnSpPr>
              <a:cxnSpLocks/>
            </xdr:cNvCxnSpPr>
          </xdr:nvCxnSpPr>
          <xdr:spPr>
            <a:xfrm>
              <a:off x="174970" y="418628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Linha superior" descr="Linha decorativa">
              <a:extLst>
                <a:ext uri="{FF2B5EF4-FFF2-40B4-BE49-F238E27FC236}">
                  <a16:creationId xmlns:a16="http://schemas.microsoft.com/office/drawing/2014/main" id="{78868B93-E84B-4EE5-8F9A-F1A23DF3A20B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2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43899928-F55E-4D80-9904-9AC9ED68B938}"/>
              </a:ext>
            </a:extLst>
          </xdr:cNvPr>
          <xdr:cNvSpPr txBox="1"/>
        </xdr:nvSpPr>
        <xdr:spPr>
          <a:xfrm>
            <a:off x="451745" y="994458"/>
            <a:ext cx="5284985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Neste capítulo você aprenderá a trabalhar e desenvolver fórmulas e cálculos matemáticos de forma rápida, simples e objetiva. Você pode somar, subtrair, multiplicar e dividir no Excel sem usar as funções internas. Basta usar alguns operadores básicos: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+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,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,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 e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/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. Todas as fórmulas começam com um sinal de igual (=).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33" name="grp_Etapa">
            <a:extLst>
              <a:ext uri="{FF2B5EF4-FFF2-40B4-BE49-F238E27FC236}">
                <a16:creationId xmlns:a16="http://schemas.microsoft.com/office/drawing/2014/main" id="{C982CFBE-B7CE-4509-95AB-6D4EC3FE7387}"/>
              </a:ext>
            </a:extLst>
          </xdr:cNvPr>
          <xdr:cNvGrpSpPr/>
        </xdr:nvGrpSpPr>
        <xdr:grpSpPr>
          <a:xfrm>
            <a:off x="552388" y="2141663"/>
            <a:ext cx="5220101" cy="596207"/>
            <a:chOff x="619002" y="8161463"/>
            <a:chExt cx="5186234" cy="596207"/>
          </a:xfrm>
        </xdr:grpSpPr>
        <xdr:sp macro="" textlink="">
          <xdr:nvSpPr>
            <xdr:cNvPr id="43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1C505617-2886-4370-B77F-34251FFE34FC}"/>
                </a:ext>
              </a:extLst>
            </xdr:cNvPr>
            <xdr:cNvSpPr txBox="1"/>
          </xdr:nvSpPr>
          <xdr:spPr>
            <a:xfrm>
              <a:off x="1026697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Cálculos básicos com expressões matemáticas. 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44" name="shp_Etapa" descr="2">
              <a:extLst>
                <a:ext uri="{FF2B5EF4-FFF2-40B4-BE49-F238E27FC236}">
                  <a16:creationId xmlns:a16="http://schemas.microsoft.com/office/drawing/2014/main" id="{57542AA4-5BF2-4FCD-A495-A7869A8B24ED}"/>
                </a:ext>
              </a:extLst>
            </xdr:cNvPr>
            <xdr:cNvSpPr/>
          </xdr:nvSpPr>
          <xdr:spPr>
            <a:xfrm>
              <a:off x="619002" y="816146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34" name="grp_Etapa">
            <a:extLst>
              <a:ext uri="{FF2B5EF4-FFF2-40B4-BE49-F238E27FC236}">
                <a16:creationId xmlns:a16="http://schemas.microsoft.com/office/drawing/2014/main" id="{0ED288B9-CC9C-4265-8CEA-0310E4CFC30C}"/>
              </a:ext>
            </a:extLst>
          </xdr:cNvPr>
          <xdr:cNvGrpSpPr/>
        </xdr:nvGrpSpPr>
        <xdr:grpSpPr>
          <a:xfrm>
            <a:off x="552388" y="2684587"/>
            <a:ext cx="5220100" cy="596208"/>
            <a:chOff x="619002" y="8161462"/>
            <a:chExt cx="5186233" cy="596208"/>
          </a:xfrm>
        </xdr:grpSpPr>
        <xdr:sp macro="" textlink="">
          <xdr:nvSpPr>
            <xdr:cNvPr id="41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5EEE0654-B2B9-47E4-A7AA-ACE5B08D8DD3}"/>
                </a:ext>
              </a:extLst>
            </xdr:cNvPr>
            <xdr:cNvSpPr txBox="1"/>
          </xdr:nvSpPr>
          <xdr:spPr>
            <a:xfrm>
              <a:off x="1026696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Importância do sinal de igualdade nos cálculos do Excel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. 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42" name="shp_Etapa" descr="3">
              <a:extLst>
                <a:ext uri="{FF2B5EF4-FFF2-40B4-BE49-F238E27FC236}">
                  <a16:creationId xmlns:a16="http://schemas.microsoft.com/office/drawing/2014/main" id="{530A1739-78F9-4305-8E17-48103FB60E77}"/>
                </a:ext>
              </a:extLst>
            </xdr:cNvPr>
            <xdr:cNvSpPr/>
          </xdr:nvSpPr>
          <xdr:spPr>
            <a:xfrm>
              <a:off x="619002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35" name="grp_Etapa">
            <a:extLst>
              <a:ext uri="{FF2B5EF4-FFF2-40B4-BE49-F238E27FC236}">
                <a16:creationId xmlns:a16="http://schemas.microsoft.com/office/drawing/2014/main" id="{CB1057AA-4FBA-4F19-82AC-4AC6618EF55E}"/>
              </a:ext>
            </a:extLst>
          </xdr:cNvPr>
          <xdr:cNvGrpSpPr/>
        </xdr:nvGrpSpPr>
        <xdr:grpSpPr>
          <a:xfrm>
            <a:off x="571252" y="3256048"/>
            <a:ext cx="5220102" cy="596207"/>
            <a:chOff x="647206" y="8170948"/>
            <a:chExt cx="5186235" cy="596207"/>
          </a:xfrm>
        </xdr:grpSpPr>
        <xdr:sp macro="" textlink="">
          <xdr:nvSpPr>
            <xdr:cNvPr id="39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2E927D42-FBFB-4D69-832B-FEDAF59961B4}"/>
                </a:ext>
              </a:extLst>
            </xdr:cNvPr>
            <xdr:cNvSpPr txBox="1"/>
          </xdr:nvSpPr>
          <xdr:spPr>
            <a:xfrm>
              <a:off x="1054902" y="8212906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Forma correta para cálculos no Excel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40" name="shp_Etapa" descr="4">
              <a:extLst>
                <a:ext uri="{FF2B5EF4-FFF2-40B4-BE49-F238E27FC236}">
                  <a16:creationId xmlns:a16="http://schemas.microsoft.com/office/drawing/2014/main" id="{0FBDC523-4A07-48C0-8875-A0AC843C986E}"/>
                </a:ext>
              </a:extLst>
            </xdr:cNvPr>
            <xdr:cNvSpPr/>
          </xdr:nvSpPr>
          <xdr:spPr>
            <a:xfrm>
              <a:off x="647206" y="81709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36" name="grp_Etapa">
            <a:extLst>
              <a:ext uri="{FF2B5EF4-FFF2-40B4-BE49-F238E27FC236}">
                <a16:creationId xmlns:a16="http://schemas.microsoft.com/office/drawing/2014/main" id="{DCCCDCC4-00FC-4818-B377-0317E08A53F3}"/>
              </a:ext>
            </a:extLst>
          </xdr:cNvPr>
          <xdr:cNvGrpSpPr/>
        </xdr:nvGrpSpPr>
        <xdr:grpSpPr>
          <a:xfrm>
            <a:off x="561851" y="3808537"/>
            <a:ext cx="5220101" cy="596208"/>
            <a:chOff x="628403" y="8161462"/>
            <a:chExt cx="5186234" cy="596208"/>
          </a:xfrm>
        </xdr:grpSpPr>
        <xdr:sp macro="" textlink="">
          <xdr:nvSpPr>
            <xdr:cNvPr id="37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4572AEEA-B12D-40B5-A7DC-33EF4077674E}"/>
                </a:ext>
              </a:extLst>
            </xdr:cNvPr>
            <xdr:cNvSpPr txBox="1"/>
          </xdr:nvSpPr>
          <xdr:spPr>
            <a:xfrm>
              <a:off x="1036098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Todos os operadores em um único cálculo.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38" name="shp_Etapa" descr="5">
              <a:extLst>
                <a:ext uri="{FF2B5EF4-FFF2-40B4-BE49-F238E27FC236}">
                  <a16:creationId xmlns:a16="http://schemas.microsoft.com/office/drawing/2014/main" id="{DF257BD3-64EB-4FBE-9CFD-AF7F564A6CF0}"/>
                </a:ext>
              </a:extLst>
            </xdr:cNvPr>
            <xdr:cNvSpPr/>
          </xdr:nvSpPr>
          <xdr:spPr>
            <a:xfrm>
              <a:off x="628403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364306</xdr:colOff>
      <xdr:row>0</xdr:row>
      <xdr:rowOff>352425</xdr:rowOff>
    </xdr:from>
    <xdr:to>
      <xdr:col>1</xdr:col>
      <xdr:colOff>5249869</xdr:colOff>
      <xdr:row>22</xdr:row>
      <xdr:rowOff>114300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1CE933A9-826B-4F52-8374-12442BA78400}"/>
            </a:ext>
          </a:extLst>
        </xdr:cNvPr>
        <xdr:cNvGrpSpPr/>
      </xdr:nvGrpSpPr>
      <xdr:grpSpPr>
        <a:xfrm>
          <a:off x="364306" y="352425"/>
          <a:ext cx="5732230" cy="4598458"/>
          <a:chOff x="333375" y="266700"/>
          <a:chExt cx="5695950" cy="4572000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FBDE45BF-1A65-429C-90D0-6166802EC5CF}"/>
              </a:ext>
            </a:extLst>
          </xdr:cNvPr>
          <xdr:cNvGrpSpPr/>
        </xdr:nvGrpSpPr>
        <xdr:grpSpPr>
          <a:xfrm>
            <a:off x="333375" y="266700"/>
            <a:ext cx="5695950" cy="4572000"/>
            <a:chOff x="0" y="0"/>
            <a:chExt cx="5695950" cy="4619625"/>
          </a:xfrm>
        </xdr:grpSpPr>
        <xdr:sp macro="" textlink="">
          <xdr:nvSpPr>
            <xdr:cNvPr id="17" name="Plano de Fundo" descr="Plano de Fundo">
              <a:extLst>
                <a:ext uri="{FF2B5EF4-FFF2-40B4-BE49-F238E27FC236}">
                  <a16:creationId xmlns:a16="http://schemas.microsoft.com/office/drawing/2014/main" id="{1EFFA5F5-6143-4460-B946-252208904851}"/>
                </a:ext>
              </a:extLst>
            </xdr:cNvPr>
            <xdr:cNvSpPr/>
          </xdr:nvSpPr>
          <xdr:spPr>
            <a:xfrm>
              <a:off x="0" y="0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18" name="Etapa" descr="Noções básicas: fazer cálculos no Excel&#10;">
              <a:extLst>
                <a:ext uri="{FF2B5EF4-FFF2-40B4-BE49-F238E27FC236}">
                  <a16:creationId xmlns:a16="http://schemas.microsoft.com/office/drawing/2014/main" id="{A8B8C940-0D3F-4174-B759-728EC279CB7C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Noções básicas: fazer cálculos no Excel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19" name="Botão Mais detalhes" descr="Veja mais detalhes abaixo">
              <a:extLst>
                <a:ext uri="{FF2B5EF4-FFF2-40B4-BE49-F238E27FC236}">
                  <a16:creationId xmlns:a16="http://schemas.microsoft.com/office/drawing/2014/main" id="{182505EE-A683-4C27-BD65-AEBB8F2BB666}"/>
                </a:ext>
              </a:extLst>
            </xdr:cNvPr>
            <xdr:cNvSpPr/>
          </xdr:nvSpPr>
          <xdr:spPr>
            <a:xfrm>
              <a:off x="234924" y="3996494"/>
              <a:ext cx="2723067" cy="536455"/>
            </a:xfrm>
            <a:prstGeom prst="downArrowCallou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rgbClr val="0B744D">
                  <a:alpha val="50000"/>
                </a:srgbClr>
              </a:solidFill>
              <a:miter lim="800000"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rtl="0"/>
              <a:r>
                <a:rPr lang="pt-br" sz="1200">
                  <a:solidFill>
                    <a:srgbClr val="0B744D"/>
                  </a:solidFill>
                  <a:latin typeface="Segoe UI" pitchFamily="34" charset="0"/>
                  <a:ea typeface="Segoe UI" pitchFamily="34" charset="0"/>
                  <a:cs typeface="Segoe UI" pitchFamily="34" charset="0"/>
                </a:rPr>
                <a:t>Veja mais detalhes abaixo</a:t>
              </a:r>
            </a:p>
          </xdr:txBody>
        </xdr:sp>
        <xdr:cxnSp macro="">
          <xdr:nvCxnSpPr>
            <xdr:cNvPr id="20" name="Linha inferior" descr="Linha decorativa">
              <a:extLst>
                <a:ext uri="{FF2B5EF4-FFF2-40B4-BE49-F238E27FC236}">
                  <a16:creationId xmlns:a16="http://schemas.microsoft.com/office/drawing/2014/main" id="{EE968D10-2CC9-4E87-A6B7-D2EE311FCB57}"/>
                </a:ext>
              </a:extLst>
            </xdr:cNvPr>
            <xdr:cNvCxnSpPr>
              <a:cxnSpLocks/>
            </xdr:cNvCxnSpPr>
          </xdr:nvCxnSpPr>
          <xdr:spPr>
            <a:xfrm>
              <a:off x="184433" y="3841253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" name="Linha superior" descr="Linha decorativa">
              <a:extLst>
                <a:ext uri="{FF2B5EF4-FFF2-40B4-BE49-F238E27FC236}">
                  <a16:creationId xmlns:a16="http://schemas.microsoft.com/office/drawing/2014/main" id="{AECD9C44-C0C2-44CD-B4FF-4617000E87EA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B10540D6-A490-496F-BE6B-9CCEDA76F4A8}"/>
              </a:ext>
            </a:extLst>
          </xdr:cNvPr>
          <xdr:cNvSpPr txBox="1"/>
        </xdr:nvSpPr>
        <xdr:spPr>
          <a:xfrm>
            <a:off x="451745" y="994458"/>
            <a:ext cx="5284985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Você pode somar, subtrair, multiplicar e dividir no Excel sem usar as funções internas. Basta usar alguns operadores básicos: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+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,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,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 e 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/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. Todas as fórmulas começam com um sinal de igual (=).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5" name="grp_Etapa">
            <a:extLst>
              <a:ext uri="{FF2B5EF4-FFF2-40B4-BE49-F238E27FC236}">
                <a16:creationId xmlns:a16="http://schemas.microsoft.com/office/drawing/2014/main" id="{041F600E-224E-4B7C-A819-4DA89FE3A124}"/>
              </a:ext>
            </a:extLst>
          </xdr:cNvPr>
          <xdr:cNvGrpSpPr/>
        </xdr:nvGrpSpPr>
        <xdr:grpSpPr>
          <a:xfrm>
            <a:off x="542925" y="1790700"/>
            <a:ext cx="5220101" cy="596207"/>
            <a:chOff x="609600" y="7810500"/>
            <a:chExt cx="5186234" cy="596207"/>
          </a:xfrm>
        </xdr:grpSpPr>
        <xdr:sp macro="" textlink="">
          <xdr:nvSpPr>
            <xdr:cNvPr id="15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54BB0FB3-2DFA-44A5-9AD2-1E79A5768BE6}"/>
                </a:ext>
              </a:extLst>
            </xdr:cNvPr>
            <xdr:cNvSpPr txBox="1"/>
          </xdr:nvSpPr>
          <xdr:spPr>
            <a:xfrm>
              <a:off x="1017295" y="7852458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Para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somar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, selecione a célula F3, digite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=C3+C4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e pressione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Enter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. 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6" name="shp_Etapa" descr="2">
              <a:extLst>
                <a:ext uri="{FF2B5EF4-FFF2-40B4-BE49-F238E27FC236}">
                  <a16:creationId xmlns:a16="http://schemas.microsoft.com/office/drawing/2014/main" id="{E972BB04-F1A8-499A-BF16-2B211638AD81}"/>
                </a:ext>
              </a:extLst>
            </xdr:cNvPr>
            <xdr:cNvSpPr/>
          </xdr:nvSpPr>
          <xdr:spPr>
            <a:xfrm>
              <a:off x="609600" y="7810500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6" name="grp_Etapa">
            <a:extLst>
              <a:ext uri="{FF2B5EF4-FFF2-40B4-BE49-F238E27FC236}">
                <a16:creationId xmlns:a16="http://schemas.microsoft.com/office/drawing/2014/main" id="{0F963ECB-EE1D-490D-9E80-86DEE0B3D970}"/>
              </a:ext>
            </a:extLst>
          </xdr:cNvPr>
          <xdr:cNvGrpSpPr/>
        </xdr:nvGrpSpPr>
        <xdr:grpSpPr>
          <a:xfrm>
            <a:off x="542925" y="2333625"/>
            <a:ext cx="5220101" cy="596207"/>
            <a:chOff x="609600" y="7810500"/>
            <a:chExt cx="5186234" cy="596207"/>
          </a:xfrm>
        </xdr:grpSpPr>
        <xdr:sp macro="" textlink="">
          <xdr:nvSpPr>
            <xdr:cNvPr id="13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883ECA9F-5B80-4273-AC22-72D5A4160E35}"/>
                </a:ext>
              </a:extLst>
            </xdr:cNvPr>
            <xdr:cNvSpPr txBox="1"/>
          </xdr:nvSpPr>
          <xdr:spPr>
            <a:xfrm>
              <a:off x="1017295" y="7852458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Para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subtrair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, selecione a célula F4, digite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=C3-C4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 </a:t>
              </a:r>
              <a:r>
                <a:rPr lang="pt-br" sz="1100" b="0" i="0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e pressione </a:t>
              </a:r>
              <a:r>
                <a:rPr lang="pt-br" sz="1100" b="1" i="0" kern="1200" baseline="0">
                  <a:solidFill>
                    <a:schemeClr val="dk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Enter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" panose="020B0502040204020203" pitchFamily="34" charset="0"/>
                  <a:ea typeface="+mn-ea"/>
                  <a:cs typeface="Segoe UI" panose="020B0502040204020203" pitchFamily="34" charset="0"/>
                </a:rPr>
                <a:t>. 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4" name="shp_Etapa" descr="3">
              <a:extLst>
                <a:ext uri="{FF2B5EF4-FFF2-40B4-BE49-F238E27FC236}">
                  <a16:creationId xmlns:a16="http://schemas.microsoft.com/office/drawing/2014/main" id="{9A3E2E4A-AA94-4D3D-9424-F3D1DD034B87}"/>
                </a:ext>
              </a:extLst>
            </xdr:cNvPr>
            <xdr:cNvSpPr/>
          </xdr:nvSpPr>
          <xdr:spPr>
            <a:xfrm>
              <a:off x="609600" y="7810500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7" name="grp_Etapa">
            <a:extLst>
              <a:ext uri="{FF2B5EF4-FFF2-40B4-BE49-F238E27FC236}">
                <a16:creationId xmlns:a16="http://schemas.microsoft.com/office/drawing/2014/main" id="{ECC0A505-F912-4CB7-ACDF-1138E17F356A}"/>
              </a:ext>
            </a:extLst>
          </xdr:cNvPr>
          <xdr:cNvGrpSpPr/>
        </xdr:nvGrpSpPr>
        <xdr:grpSpPr>
          <a:xfrm>
            <a:off x="533400" y="2895600"/>
            <a:ext cx="5220101" cy="596207"/>
            <a:chOff x="609600" y="7810500"/>
            <a:chExt cx="5186234" cy="596207"/>
          </a:xfrm>
        </xdr:grpSpPr>
        <xdr:sp macro="" textlink="">
          <xdr:nvSpPr>
            <xdr:cNvPr id="11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B9A7AABD-AF72-44B2-ACB4-779787BDCF26}"/>
                </a:ext>
              </a:extLst>
            </xdr:cNvPr>
            <xdr:cNvSpPr txBox="1"/>
          </xdr:nvSpPr>
          <xdr:spPr>
            <a:xfrm>
              <a:off x="1017295" y="7852458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Para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multiplicar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, selecione a célula F5, digite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=C3*C4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e pressione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Enter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.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2" name="shp_Etapa" descr="4">
              <a:extLst>
                <a:ext uri="{FF2B5EF4-FFF2-40B4-BE49-F238E27FC236}">
                  <a16:creationId xmlns:a16="http://schemas.microsoft.com/office/drawing/2014/main" id="{E1924D81-4C88-4E86-8AAC-870F81B6761F}"/>
                </a:ext>
              </a:extLst>
            </xdr:cNvPr>
            <xdr:cNvSpPr/>
          </xdr:nvSpPr>
          <xdr:spPr>
            <a:xfrm>
              <a:off x="609600" y="7810500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57035481-AFB3-4D00-A0C2-4CBC25C51B60}"/>
              </a:ext>
            </a:extLst>
          </xdr:cNvPr>
          <xdr:cNvGrpSpPr/>
        </xdr:nvGrpSpPr>
        <xdr:grpSpPr>
          <a:xfrm>
            <a:off x="542925" y="3457575"/>
            <a:ext cx="5220101" cy="596207"/>
            <a:chOff x="609600" y="7810500"/>
            <a:chExt cx="5186234" cy="596207"/>
          </a:xfrm>
        </xdr:grpSpPr>
        <xdr:sp macro="" textlink="">
          <xdr:nvSpPr>
            <xdr:cNvPr id="9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9CB24CC2-53BE-49B3-9DFC-FC23142F7FF1}"/>
                </a:ext>
              </a:extLst>
            </xdr:cNvPr>
            <xdr:cNvSpPr txBox="1"/>
          </xdr:nvSpPr>
          <xdr:spPr>
            <a:xfrm>
              <a:off x="1017295" y="7852458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Para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dividir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, selecione a célula F6, digite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=C3/C4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 e pressione </a:t>
              </a:r>
              <a:r>
                <a:rPr lang="pt-br" sz="1100" b="1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Enter</a:t>
              </a: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.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0" name="shp_Etapa" descr="5">
              <a:extLst>
                <a:ext uri="{FF2B5EF4-FFF2-40B4-BE49-F238E27FC236}">
                  <a16:creationId xmlns:a16="http://schemas.microsoft.com/office/drawing/2014/main" id="{8C3D2A63-A935-471E-A86C-BF958DB4E239}"/>
                </a:ext>
              </a:extLst>
            </xdr:cNvPr>
            <xdr:cNvSpPr/>
          </xdr:nvSpPr>
          <xdr:spPr>
            <a:xfrm>
              <a:off x="609600" y="7810500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  <xdr:twoCellAnchor editAs="absolute">
    <xdr:from>
      <xdr:col>0</xdr:col>
      <xdr:colOff>354781</xdr:colOff>
      <xdr:row>23</xdr:row>
      <xdr:rowOff>9525</xdr:rowOff>
    </xdr:from>
    <xdr:to>
      <xdr:col>1</xdr:col>
      <xdr:colOff>5240344</xdr:colOff>
      <xdr:row>57</xdr:row>
      <xdr:rowOff>19050</xdr:rowOff>
    </xdr:to>
    <xdr:sp macro="" textlink="">
      <xdr:nvSpPr>
        <xdr:cNvPr id="23" name="Retângulo 22" descr="Plano de Fundo">
          <a:extLst>
            <a:ext uri="{FF2B5EF4-FFF2-40B4-BE49-F238E27FC236}">
              <a16:creationId xmlns:a16="http://schemas.microsoft.com/office/drawing/2014/main" id="{3C5B8901-C5B2-4D3D-8CBF-30A447C93A10}"/>
            </a:ext>
          </a:extLst>
        </xdr:cNvPr>
        <xdr:cNvSpPr/>
      </xdr:nvSpPr>
      <xdr:spPr>
        <a:xfrm>
          <a:off x="354781" y="5029200"/>
          <a:ext cx="5733288" cy="6858000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en-US" sz="1100"/>
        </a:p>
      </xdr:txBody>
    </xdr:sp>
    <xdr:clientData/>
  </xdr:twoCellAnchor>
  <xdr:twoCellAnchor editAs="absolute">
    <xdr:from>
      <xdr:col>0</xdr:col>
      <xdr:colOff>554806</xdr:colOff>
      <xdr:row>26</xdr:row>
      <xdr:rowOff>158046</xdr:rowOff>
    </xdr:from>
    <xdr:to>
      <xdr:col>1</xdr:col>
      <xdr:colOff>4958126</xdr:colOff>
      <xdr:row>26</xdr:row>
      <xdr:rowOff>158046</xdr:rowOff>
    </xdr:to>
    <xdr:cxnSp macro="">
      <xdr:nvCxnSpPr>
        <xdr:cNvPr id="24" name="Conector Reto 128" descr="Linha decorativa">
          <a:extLst>
            <a:ext uri="{FF2B5EF4-FFF2-40B4-BE49-F238E27FC236}">
              <a16:creationId xmlns:a16="http://schemas.microsoft.com/office/drawing/2014/main" id="{97573AEF-8DD6-46F8-9CF7-A1673D71ED76}"/>
            </a:ext>
          </a:extLst>
        </xdr:cNvPr>
        <xdr:cNvCxnSpPr>
          <a:cxnSpLocks/>
        </xdr:cNvCxnSpPr>
      </xdr:nvCxnSpPr>
      <xdr:spPr>
        <a:xfrm>
          <a:off x="554806" y="5977821"/>
          <a:ext cx="5251045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554806</xdr:colOff>
      <xdr:row>53</xdr:row>
      <xdr:rowOff>129814</xdr:rowOff>
    </xdr:from>
    <xdr:to>
      <xdr:col>1</xdr:col>
      <xdr:colOff>4958126</xdr:colOff>
      <xdr:row>53</xdr:row>
      <xdr:rowOff>129814</xdr:rowOff>
    </xdr:to>
    <xdr:cxnSp macro="">
      <xdr:nvCxnSpPr>
        <xdr:cNvPr id="25" name="Conector Reto 129" descr="Linha decorativa">
          <a:extLst>
            <a:ext uri="{FF2B5EF4-FFF2-40B4-BE49-F238E27FC236}">
              <a16:creationId xmlns:a16="http://schemas.microsoft.com/office/drawing/2014/main" id="{915404AB-E478-48F6-B1C0-481AF4665C25}"/>
            </a:ext>
          </a:extLst>
        </xdr:cNvPr>
        <xdr:cNvCxnSpPr>
          <a:cxnSpLocks/>
        </xdr:cNvCxnSpPr>
      </xdr:nvCxnSpPr>
      <xdr:spPr>
        <a:xfrm>
          <a:off x="554806" y="11235964"/>
          <a:ext cx="5251045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554806</xdr:colOff>
      <xdr:row>23</xdr:row>
      <xdr:rowOff>69417</xdr:rowOff>
    </xdr:from>
    <xdr:to>
      <xdr:col>1</xdr:col>
      <xdr:colOff>4961299</xdr:colOff>
      <xdr:row>26</xdr:row>
      <xdr:rowOff>123825</xdr:rowOff>
    </xdr:to>
    <xdr:sp macro="" textlink="">
      <xdr:nvSpPr>
        <xdr:cNvPr id="26" name="Etapa" descr="Saiba mais sobre fórmulas, células e intervalos&#10;">
          <a:extLst>
            <a:ext uri="{FF2B5EF4-FFF2-40B4-BE49-F238E27FC236}">
              <a16:creationId xmlns:a16="http://schemas.microsoft.com/office/drawing/2014/main" id="{B3E2A359-4712-4893-95AB-C4C94721BEEA}"/>
            </a:ext>
          </a:extLst>
        </xdr:cNvPr>
        <xdr:cNvSpPr txBox="1"/>
      </xdr:nvSpPr>
      <xdr:spPr>
        <a:xfrm>
          <a:off x="554806" y="5089092"/>
          <a:ext cx="5254218" cy="854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200" b="0" i="0" u="none" strike="noStrike" kern="0" cap="none" spc="0" normalizeH="0" baseline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rPr>
            <a:t>Saiba mais sobre fórmulas, células e intervalos</a:t>
          </a:r>
          <a:endParaRPr lang="en-US" sz="2200" b="0">
            <a:solidFill>
              <a:schemeClr val="bg2">
                <a:lumMod val="25000"/>
              </a:schemeClr>
            </a:solidFill>
            <a:effectLst/>
            <a:latin typeface="Segoe UI Light" panose="020B0502040204020203" pitchFamily="34" charset="0"/>
            <a:ea typeface="Segoe UI" pitchFamily="34" charset="0"/>
            <a:cs typeface="Segoe UI Ligh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469081</xdr:colOff>
      <xdr:row>27</xdr:row>
      <xdr:rowOff>56290</xdr:rowOff>
    </xdr:from>
    <xdr:to>
      <xdr:col>1</xdr:col>
      <xdr:colOff>4915399</xdr:colOff>
      <xdr:row>31</xdr:row>
      <xdr:rowOff>38101</xdr:rowOff>
    </xdr:to>
    <xdr:sp macro="" textlink="">
      <xdr:nvSpPr>
        <xdr:cNvPr id="27" name="txt_Etapa" descr="O Excel é composto de células individuais que estão agrupadas em linhas e colunas. Linhas são identificadas por números e colunas, por letras. Há 1.048.576 linhas e 16.384 colunas e você pode colocar fórmulas e funções em qualquer uma delas.">
          <a:extLst>
            <a:ext uri="{FF2B5EF4-FFF2-40B4-BE49-F238E27FC236}">
              <a16:creationId xmlns:a16="http://schemas.microsoft.com/office/drawing/2014/main" id="{0599C087-176F-4823-BEAC-28E8A8FD3720}"/>
            </a:ext>
          </a:extLst>
        </xdr:cNvPr>
        <xdr:cNvSpPr txBox="1"/>
      </xdr:nvSpPr>
      <xdr:spPr>
        <a:xfrm>
          <a:off x="469081" y="6066565"/>
          <a:ext cx="5294043" cy="886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O Excel é composto de células individuais que estão agrupadas em linhas e colunas. Linhas são identificadas por números e colunas, por letras. Há mais de 1 milhão de linhas e mais de 16.000 colunas, e você pode colocar fórmulas em qualquer uma delas.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469081</xdr:colOff>
      <xdr:row>31</xdr:row>
      <xdr:rowOff>13878</xdr:rowOff>
    </xdr:from>
    <xdr:to>
      <xdr:col>1</xdr:col>
      <xdr:colOff>4915399</xdr:colOff>
      <xdr:row>37</xdr:row>
      <xdr:rowOff>129895</xdr:rowOff>
    </xdr:to>
    <xdr:sp macro="" textlink="">
      <xdr:nvSpPr>
        <xdr:cNvPr id="28" name="txt_Etapa" descr="As fórmulas podem conter referências a células, a intervalos de células, operadores e constantes. Todos os seguintes são exemplos de fórmulas:&#10;&#10;=A1+B1&#10;=10*20&#10;=SOMA(A1:A10)&#10;&#10;">
          <a:extLst>
            <a:ext uri="{FF2B5EF4-FFF2-40B4-BE49-F238E27FC236}">
              <a16:creationId xmlns:a16="http://schemas.microsoft.com/office/drawing/2014/main" id="{0EF08F42-FF27-4EA2-B344-CF1671634CCE}"/>
            </a:ext>
          </a:extLst>
        </xdr:cNvPr>
        <xdr:cNvSpPr txBox="1"/>
      </xdr:nvSpPr>
      <xdr:spPr>
        <a:xfrm>
          <a:off x="469081" y="6929028"/>
          <a:ext cx="5294043" cy="1259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As fórmulas podem conter referências a células, a intervalos de células, operadores e constantes. Todos os seguintes são exemplos de fórmulas:</a:t>
          </a:r>
        </a:p>
        <a:p>
          <a:pPr marL="457200" marR="0" lvl="1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  <a:p>
          <a:pPr marL="457200" marR="0" lvl="1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=A1+B1</a:t>
          </a:r>
        </a:p>
        <a:p>
          <a:pPr marL="457200" marR="0" lvl="1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=10+20</a:t>
          </a:r>
        </a:p>
        <a:p>
          <a:pPr marL="457200" marR="0" lvl="1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=SOMA(A1:A10)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469081</xdr:colOff>
      <xdr:row>37</xdr:row>
      <xdr:rowOff>81115</xdr:rowOff>
    </xdr:from>
    <xdr:to>
      <xdr:col>1</xdr:col>
      <xdr:colOff>5050606</xdr:colOff>
      <xdr:row>43</xdr:row>
      <xdr:rowOff>171450</xdr:rowOff>
    </xdr:to>
    <xdr:sp macro="" textlink="">
      <xdr:nvSpPr>
        <xdr:cNvPr id="29" name="txt_Etapa" descr="Você verá que usamos a função SOMA em nosso terceiro exemplo acima. Uma função é um comando previamente criado que pega um valor ou valores, faz determinado cálculo e retorna um resultado. Por exemplo, a função SOMA pega as referências ou intervalos de células especificados, e soma tudo. Neste exemplo, ela pega as células de A1 a A10 e soma. O Excel tem mais de 400 funções, que você pode explorar na guia Fórmulas.&#10;">
          <a:extLst>
            <a:ext uri="{FF2B5EF4-FFF2-40B4-BE49-F238E27FC236}">
              <a16:creationId xmlns:a16="http://schemas.microsoft.com/office/drawing/2014/main" id="{0D1B0F39-BBEB-443D-AD2A-77CD04E780AE}"/>
            </a:ext>
          </a:extLst>
        </xdr:cNvPr>
        <xdr:cNvSpPr txBox="1"/>
      </xdr:nvSpPr>
      <xdr:spPr>
        <a:xfrm>
          <a:off x="469081" y="8139265"/>
          <a:ext cx="5429250" cy="12333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Você verá que usamos a função </a:t>
          </a: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SOMA </a:t>
          </a: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em nosso terceiro exemplo acima. Uma função é um comando previamente criado que pega um valor ou valores, faz determinado cálculo e retorna um resultado. Por exemplo, a função </a:t>
          </a: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SOMA </a:t>
          </a: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pega as referências ou intervalos de células especificados, e soma tudo. Neste exemplo, ela pega as células de A1 a A10 e soma. O Excel tem mais de 400 funções, que você pode explorar na guia </a:t>
          </a: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Fórmulas</a:t>
          </a: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.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469081</xdr:colOff>
      <xdr:row>44</xdr:row>
      <xdr:rowOff>24284</xdr:rowOff>
    </xdr:from>
    <xdr:to>
      <xdr:col>1</xdr:col>
      <xdr:colOff>5022031</xdr:colOff>
      <xdr:row>47</xdr:row>
      <xdr:rowOff>171450</xdr:rowOff>
    </xdr:to>
    <xdr:sp macro="" textlink="">
      <xdr:nvSpPr>
        <xdr:cNvPr id="30" name="txt_Etapa" descr="Fórmulas com funções começam com um sinal de igual, depois o nome da função seguido de seus argumentos (os valores que uma função usa para calcular) entre parênteses. &#10;&#10;">
          <a:extLst>
            <a:ext uri="{FF2B5EF4-FFF2-40B4-BE49-F238E27FC236}">
              <a16:creationId xmlns:a16="http://schemas.microsoft.com/office/drawing/2014/main" id="{E7B0F015-2605-43DE-9609-537241A8FB9E}"/>
            </a:ext>
          </a:extLst>
        </xdr:cNvPr>
        <xdr:cNvSpPr txBox="1"/>
      </xdr:nvSpPr>
      <xdr:spPr>
        <a:xfrm>
          <a:off x="469081" y="9415934"/>
          <a:ext cx="5400675" cy="71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Fórmulas com funções começam com um sinal de igual, depois o nome da função seguido de seus argumentos (os valores que uma função usa para calcular) entre parênteses.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469081</xdr:colOff>
      <xdr:row>47</xdr:row>
      <xdr:rowOff>121985</xdr:rowOff>
    </xdr:from>
    <xdr:to>
      <xdr:col>1</xdr:col>
      <xdr:colOff>5031556</xdr:colOff>
      <xdr:row>53</xdr:row>
      <xdr:rowOff>23962</xdr:rowOff>
    </xdr:to>
    <xdr:sp macro="" textlink="">
      <xdr:nvSpPr>
        <xdr:cNvPr id="31" name="txt_Etapa" descr="Confirme uma fórmula pressionando Enter. Quando fizer isso, a fórmula será calculada e o resultado será exibido na célula. Para ver a fórmula em si, você pode olhar na barra de fórmulas, logo abaixo da Faixa de Opções, ou pressionar F2 para entrar no modo de edição, e ver a fórmula na célula. Pressione Enter novamente para finalizar a fórmula e calcular o resultado.&#10;">
          <a:extLst>
            <a:ext uri="{FF2B5EF4-FFF2-40B4-BE49-F238E27FC236}">
              <a16:creationId xmlns:a16="http://schemas.microsoft.com/office/drawing/2014/main" id="{E0491EA8-6DDC-4847-9064-266AF94F5F8E}"/>
            </a:ext>
          </a:extLst>
        </xdr:cNvPr>
        <xdr:cNvSpPr txBox="1"/>
      </xdr:nvSpPr>
      <xdr:spPr>
        <a:xfrm>
          <a:off x="469081" y="10085135"/>
          <a:ext cx="5410200" cy="104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Confirme uma fórmula pressionando </a:t>
          </a: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Enter</a:t>
          </a: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. Quando fizer isso, a fórmula será calculada e o resultado será exibido na célula. Para ver a fórmula em si, você pode olhar na barra de fórmulas, logo abaixo da Faixa de Opções, ou pressionar </a:t>
          </a: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F2 </a:t>
          </a: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para entrar no modo de edição, e ver a fórmula na célula. Pressione </a:t>
          </a:r>
          <a:r>
            <a:rPr lang="pt-br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Enter</a:t>
          </a:r>
          <a:r>
            <a: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 novamente para finalizar a fórmula e calcular o resultado.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absolute">
    <xdr:from>
      <xdr:col>5</xdr:col>
      <xdr:colOff>421455</xdr:colOff>
      <xdr:row>6</xdr:row>
      <xdr:rowOff>123825</xdr:rowOff>
    </xdr:from>
    <xdr:to>
      <xdr:col>8</xdr:col>
      <xdr:colOff>154754</xdr:colOff>
      <xdr:row>15</xdr:row>
      <xdr:rowOff>66675</xdr:rowOff>
    </xdr:to>
    <xdr:grpSp>
      <xdr:nvGrpSpPr>
        <xdr:cNvPr id="34" name="CRÉDITO ADICIONAL" descr="CRÉDITO ADICIONAL&#10;&#10;">
          <a:extLst>
            <a:ext uri="{FF2B5EF4-FFF2-40B4-BE49-F238E27FC236}">
              <a16:creationId xmlns:a16="http://schemas.microsoft.com/office/drawing/2014/main" id="{9ADE5E45-5C51-4F97-9781-689D7B96433C}"/>
            </a:ext>
          </a:extLst>
        </xdr:cNvPr>
        <xdr:cNvGrpSpPr/>
      </xdr:nvGrpSpPr>
      <xdr:grpSpPr>
        <a:xfrm>
          <a:off x="9184455" y="1901825"/>
          <a:ext cx="2283882" cy="1667933"/>
          <a:chOff x="9048750" y="3743325"/>
          <a:chExt cx="2263181" cy="1666875"/>
        </a:xfrm>
      </xdr:grpSpPr>
      <xdr:sp macro="" textlink="">
        <xdr:nvSpPr>
          <xdr:cNvPr id="35" name="Etapa" descr="CRÉDITO ADICIONAL&#10;Para elevar um número a determinada potência, use o símbolo de circunflexo (^), como =A1^A2. Para inseri-lo, pressione Shift+~, ao lado da cedilha.&#10;">
            <a:extLst>
              <a:ext uri="{FF2B5EF4-FFF2-40B4-BE49-F238E27FC236}">
                <a16:creationId xmlns:a16="http://schemas.microsoft.com/office/drawing/2014/main" id="{783AC80A-E43E-47C0-AEB8-5BD07A19B10B}"/>
              </a:ext>
            </a:extLst>
          </xdr:cNvPr>
          <xdr:cNvSpPr txBox="1"/>
        </xdr:nvSpPr>
        <xdr:spPr>
          <a:xfrm>
            <a:off x="9648643" y="3895724"/>
            <a:ext cx="1663288" cy="15144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200" b="1" kern="0">
                <a:solidFill>
                  <a:srgbClr val="ED7D31">
                    <a:lumMod val="60000"/>
                    <a:lumOff val="40000"/>
                  </a:srgbClr>
                </a:solidFill>
                <a:latin typeface="+mj-lt"/>
                <a:ea typeface="Segoe UI" pitchFamily="34" charset="0"/>
                <a:cs typeface="Segoe UI" panose="020B0502040204020203" pitchFamily="34" charset="0"/>
              </a:rPr>
              <a:t>CRÉDITO ADICIONAL</a:t>
            </a:r>
            <a:endParaRPr lang="en-US" sz="1200" b="1">
              <a:solidFill>
                <a:srgbClr val="ED7D31">
                  <a:lumMod val="60000"/>
                  <a:lumOff val="40000"/>
                </a:srgbClr>
              </a:solidFill>
              <a:latin typeface="+mj-lt"/>
              <a:ea typeface="Segoe UI" pitchFamily="34" charset="0"/>
              <a:cs typeface="Segoe UI" panose="020B0502040204020203" pitchFamily="34" charset="0"/>
            </a:endParaRPr>
          </a:p>
          <a:p>
            <a:pPr rtl="0" eaLnBrk="1" fontAlgn="auto" latinLnBrk="0" hangingPunct="1"/>
            <a:r>
              <a:rPr lang="pt-br" sz="11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Para elevar um número a determinada potência, use o símbolo de circunflexo (</a:t>
            </a:r>
            <a:r>
              <a:rPr lang="pt-br" sz="1100" b="1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^</a:t>
            </a:r>
            <a:r>
              <a:rPr lang="pt-br" sz="11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), como =C3^C4. Para inseri-lo, pressione </a:t>
            </a:r>
            <a:r>
              <a:rPr lang="pt-br" sz="1100" b="1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Shift+</a:t>
            </a:r>
            <a:r>
              <a:rPr lang="pt-BR" sz="1100" b="1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~</a:t>
            </a:r>
            <a:r>
              <a:rPr lang="pt-br" sz="11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 ao lado da cedilha.</a:t>
            </a:r>
          </a:p>
        </xdr:txBody>
      </xdr:sp>
      <xdr:pic>
        <xdr:nvPicPr>
          <xdr:cNvPr id="36" name="Faixa de opções de crédito adicional" descr="Faixa de opções decorativa">
            <a:extLst>
              <a:ext uri="{FF2B5EF4-FFF2-40B4-BE49-F238E27FC236}">
                <a16:creationId xmlns:a16="http://schemas.microsoft.com/office/drawing/2014/main" id="{178EC909-9E49-4BFF-B60C-693E6D3F4D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9287099" y="3950551"/>
            <a:ext cx="474289" cy="439736"/>
          </a:xfrm>
          <a:prstGeom prst="rect">
            <a:avLst/>
          </a:prstGeom>
        </xdr:spPr>
      </xdr:pic>
      <xdr:sp macro="" textlink="">
        <xdr:nvSpPr>
          <xdr:cNvPr id="37" name="Seta de Crédito Adicional" descr="Seta">
            <a:extLst>
              <a:ext uri="{FF2B5EF4-FFF2-40B4-BE49-F238E27FC236}">
                <a16:creationId xmlns:a16="http://schemas.microsoft.com/office/drawing/2014/main" id="{6DC4E31A-C9D4-4F8A-B2C5-4F17A63FBD1B}"/>
              </a:ext>
            </a:extLst>
          </xdr:cNvPr>
          <xdr:cNvSpPr/>
        </xdr:nvSpPr>
        <xdr:spPr>
          <a:xfrm rot="15682076" flipH="1">
            <a:off x="9021478" y="3770597"/>
            <a:ext cx="462029" cy="407486"/>
          </a:xfrm>
          <a:prstGeom prst="arc">
            <a:avLst>
              <a:gd name="adj1" fmla="val 15011426"/>
              <a:gd name="adj2" fmla="val 672396"/>
            </a:avLst>
          </a:prstGeom>
          <a:ln w="19050">
            <a:solidFill>
              <a:schemeClr val="accent2">
                <a:lumMod val="60000"/>
                <a:lumOff val="40000"/>
              </a:schemeClr>
            </a:solidFill>
            <a:head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 rtl="0"/>
            <a:endParaRPr lang="en-US" sz="1100"/>
          </a:p>
        </xdr:txBody>
      </xdr:sp>
    </xdr:grpSp>
    <xdr:clientData/>
  </xdr:twoCellAnchor>
  <xdr:twoCellAnchor editAs="absolute">
    <xdr:from>
      <xdr:col>1</xdr:col>
      <xdr:colOff>5412555</xdr:colOff>
      <xdr:row>4</xdr:row>
      <xdr:rowOff>114300</xdr:rowOff>
    </xdr:from>
    <xdr:to>
      <xdr:col>4</xdr:col>
      <xdr:colOff>958887</xdr:colOff>
      <xdr:row>15</xdr:row>
      <xdr:rowOff>35342</xdr:rowOff>
    </xdr:to>
    <xdr:grpSp>
      <xdr:nvGrpSpPr>
        <xdr:cNvPr id="58" name="Grupo 162">
          <a:extLst>
            <a:ext uri="{FF2B5EF4-FFF2-40B4-BE49-F238E27FC236}">
              <a16:creationId xmlns:a16="http://schemas.microsoft.com/office/drawing/2014/main" id="{C5D6D811-135C-4B5A-B7B5-0DEEB700636A}"/>
            </a:ext>
          </a:extLst>
        </xdr:cNvPr>
        <xdr:cNvGrpSpPr/>
      </xdr:nvGrpSpPr>
      <xdr:grpSpPr>
        <a:xfrm>
          <a:off x="6259222" y="1500717"/>
          <a:ext cx="2266748" cy="2037708"/>
          <a:chOff x="6219825" y="1332153"/>
          <a:chExt cx="2270982" cy="2026067"/>
        </a:xfrm>
      </xdr:grpSpPr>
      <xdr:grpSp>
        <xdr:nvGrpSpPr>
          <xdr:cNvPr id="59" name="Linha de colchete">
            <a:extLst>
              <a:ext uri="{FF2B5EF4-FFF2-40B4-BE49-F238E27FC236}">
                <a16:creationId xmlns:a16="http://schemas.microsoft.com/office/drawing/2014/main" id="{22DA8114-9EE2-46D1-AD10-D463C1184C90}"/>
              </a:ext>
            </a:extLst>
          </xdr:cNvPr>
          <xdr:cNvGrpSpPr/>
        </xdr:nvGrpSpPr>
        <xdr:grpSpPr>
          <a:xfrm rot="5886532">
            <a:off x="6566246" y="1149853"/>
            <a:ext cx="563095" cy="927696"/>
            <a:chOff x="9871108" y="1184220"/>
            <a:chExt cx="273326" cy="789155"/>
          </a:xfrm>
        </xdr:grpSpPr>
        <xdr:sp macro="" textlink="">
          <xdr:nvSpPr>
            <xdr:cNvPr id="62" name="Outra linha de colchete" descr="Linha de colchete">
              <a:extLst>
                <a:ext uri="{FF2B5EF4-FFF2-40B4-BE49-F238E27FC236}">
                  <a16:creationId xmlns:a16="http://schemas.microsoft.com/office/drawing/2014/main" id="{7EF17D16-D186-4A85-91EE-40B0B48876B7}"/>
                </a:ext>
              </a:extLst>
            </xdr:cNvPr>
            <xdr:cNvSpPr/>
          </xdr:nvSpPr>
          <xdr:spPr>
            <a:xfrm>
              <a:off x="9871108" y="1184220"/>
              <a:ext cx="273326" cy="262769"/>
            </a:xfrm>
            <a:custGeom>
              <a:avLst/>
              <a:gdLst>
                <a:gd name="connsiteX0" fmla="*/ 0 w 273326"/>
                <a:gd name="connsiteY0" fmla="*/ 193 h 217696"/>
                <a:gd name="connsiteX1" fmla="*/ 157369 w 273326"/>
                <a:gd name="connsiteY1" fmla="*/ 33323 h 217696"/>
                <a:gd name="connsiteX2" fmla="*/ 165652 w 273326"/>
                <a:gd name="connsiteY2" fmla="*/ 207258 h 217696"/>
                <a:gd name="connsiteX3" fmla="*/ 273326 w 273326"/>
                <a:gd name="connsiteY3" fmla="*/ 198976 h 217696"/>
                <a:gd name="connsiteX4" fmla="*/ 273326 w 273326"/>
                <a:gd name="connsiteY4" fmla="*/ 198976 h 21769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73326" h="217696">
                  <a:moveTo>
                    <a:pt x="0" y="193"/>
                  </a:moveTo>
                  <a:cubicBezTo>
                    <a:pt x="64880" y="-498"/>
                    <a:pt x="129760" y="-1188"/>
                    <a:pt x="157369" y="33323"/>
                  </a:cubicBezTo>
                  <a:cubicBezTo>
                    <a:pt x="184978" y="67834"/>
                    <a:pt x="146326" y="179649"/>
                    <a:pt x="165652" y="207258"/>
                  </a:cubicBezTo>
                  <a:cubicBezTo>
                    <a:pt x="184978" y="234867"/>
                    <a:pt x="273326" y="198976"/>
                    <a:pt x="273326" y="198976"/>
                  </a:cubicBezTo>
                  <a:lnTo>
                    <a:pt x="273326" y="198976"/>
                  </a:lnTo>
                </a:path>
              </a:pathLst>
            </a:custGeom>
            <a:noFill/>
            <a:ln w="19050">
              <a:solidFill>
                <a:schemeClr val="accent2">
                  <a:lumMod val="60000"/>
                  <a:lumOff val="40000"/>
                </a:schemeClr>
              </a:solidFill>
              <a:tailEnd type="none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 rtl="0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3" name="Linha de colchete" descr="Linha de colchete&#10;">
              <a:extLst>
                <a:ext uri="{FF2B5EF4-FFF2-40B4-BE49-F238E27FC236}">
                  <a16:creationId xmlns:a16="http://schemas.microsoft.com/office/drawing/2014/main" id="{8742A865-4C92-453D-9E40-EAFC4D4F493C}"/>
                </a:ext>
              </a:extLst>
            </xdr:cNvPr>
            <xdr:cNvSpPr/>
          </xdr:nvSpPr>
          <xdr:spPr>
            <a:xfrm>
              <a:off x="9983055" y="1430777"/>
              <a:ext cx="160895" cy="542598"/>
            </a:xfrm>
            <a:custGeom>
              <a:avLst/>
              <a:gdLst>
                <a:gd name="connsiteX0" fmla="*/ 0 w 231913"/>
                <a:gd name="connsiteY0" fmla="*/ 579782 h 579782"/>
                <a:gd name="connsiteX1" fmla="*/ 173935 w 231913"/>
                <a:gd name="connsiteY1" fmla="*/ 496956 h 579782"/>
                <a:gd name="connsiteX2" fmla="*/ 107674 w 231913"/>
                <a:gd name="connsiteY2" fmla="*/ 265043 h 579782"/>
                <a:gd name="connsiteX3" fmla="*/ 115956 w 231913"/>
                <a:gd name="connsiteY3" fmla="*/ 57978 h 579782"/>
                <a:gd name="connsiteX4" fmla="*/ 231913 w 231913"/>
                <a:gd name="connsiteY4" fmla="*/ 0 h 57978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1913" h="579782">
                  <a:moveTo>
                    <a:pt x="0" y="579782"/>
                  </a:moveTo>
                  <a:cubicBezTo>
                    <a:pt x="77994" y="564597"/>
                    <a:pt x="155989" y="549413"/>
                    <a:pt x="173935" y="496956"/>
                  </a:cubicBezTo>
                  <a:cubicBezTo>
                    <a:pt x="191881" y="444499"/>
                    <a:pt x="117337" y="338206"/>
                    <a:pt x="107674" y="265043"/>
                  </a:cubicBezTo>
                  <a:cubicBezTo>
                    <a:pt x="98011" y="191880"/>
                    <a:pt x="95250" y="102152"/>
                    <a:pt x="115956" y="57978"/>
                  </a:cubicBezTo>
                  <a:cubicBezTo>
                    <a:pt x="136663" y="13804"/>
                    <a:pt x="184288" y="6902"/>
                    <a:pt x="231913" y="0"/>
                  </a:cubicBezTo>
                </a:path>
              </a:pathLst>
            </a:custGeom>
            <a:noFill/>
            <a:ln w="19050">
              <a:solidFill>
                <a:schemeClr val="accent2">
                  <a:lumMod val="60000"/>
                  <a:lumOff val="40000"/>
                </a:schemeClr>
              </a:solidFill>
              <a:tailEnd type="none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 rtl="0"/>
              <a:endParaRPr 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60" name="Estrelas" descr="Estrelas">
            <a:extLst>
              <a:ext uri="{FF2B5EF4-FFF2-40B4-BE49-F238E27FC236}">
                <a16:creationId xmlns:a16="http://schemas.microsoft.com/office/drawing/2014/main" id="{CE126C4B-2821-4057-A94B-7C8FA3439C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219825" y="1993317"/>
            <a:ext cx="388117" cy="337815"/>
          </a:xfrm>
          <a:prstGeom prst="rect">
            <a:avLst/>
          </a:prstGeom>
        </xdr:spPr>
      </xdr:pic>
      <xdr:sp macro="" textlink="">
        <xdr:nvSpPr>
          <xdr:cNvPr id="61" name="Instruções" descr="VEJA ISTO&#10;Altere os números aqui e veja os resultados da fórmula serem alterados automaticamente.&#10;">
            <a:extLst>
              <a:ext uri="{FF2B5EF4-FFF2-40B4-BE49-F238E27FC236}">
                <a16:creationId xmlns:a16="http://schemas.microsoft.com/office/drawing/2014/main" id="{32193A1D-B7D3-42F5-8400-7C34A5A965D4}"/>
              </a:ext>
            </a:extLst>
          </xdr:cNvPr>
          <xdr:cNvSpPr txBox="1"/>
        </xdr:nvSpPr>
        <xdr:spPr>
          <a:xfrm>
            <a:off x="6521695" y="1948519"/>
            <a:ext cx="1969112" cy="1409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200" b="1" kern="0">
                <a:solidFill>
                  <a:srgbClr val="ED7D31">
                    <a:lumMod val="60000"/>
                    <a:lumOff val="40000"/>
                  </a:srgbClr>
                </a:solidFill>
                <a:latin typeface="+mj-lt"/>
                <a:ea typeface="Segoe UI" pitchFamily="34" charset="0"/>
                <a:cs typeface="Segoe UI Light" panose="020B0502040204020203" pitchFamily="34" charset="0"/>
              </a:rPr>
              <a:t>VEJA ISTO</a:t>
            </a:r>
          </a:p>
          <a:p>
            <a:pPr rtl="0"/>
            <a:r>
              <a:rPr lang="pt-br" sz="120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Altere</a:t>
            </a:r>
            <a:r>
              <a:rPr lang="pt-br" sz="120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os números aqui e veja os resultados da fórmula serem alterados automaticamente.</a:t>
            </a:r>
            <a:endParaRPr lang="en-US" sz="900">
              <a:effectLst/>
            </a:endParaRPr>
          </a:p>
        </xdr:txBody>
      </xdr:sp>
    </xdr:grpSp>
    <xdr:clientData/>
  </xdr:twoCellAnchor>
  <xdr:twoCellAnchor editAs="absolute">
    <xdr:from>
      <xdr:col>1</xdr:col>
      <xdr:colOff>5323810</xdr:colOff>
      <xdr:row>25</xdr:row>
      <xdr:rowOff>139300</xdr:rowOff>
    </xdr:from>
    <xdr:to>
      <xdr:col>12</xdr:col>
      <xdr:colOff>259530</xdr:colOff>
      <xdr:row>56</xdr:row>
      <xdr:rowOff>66675</xdr:rowOff>
    </xdr:to>
    <xdr:grpSp>
      <xdr:nvGrpSpPr>
        <xdr:cNvPr id="64" name="Grupo 168">
          <a:extLst>
            <a:ext uri="{FF2B5EF4-FFF2-40B4-BE49-F238E27FC236}">
              <a16:creationId xmlns:a16="http://schemas.microsoft.com/office/drawing/2014/main" id="{7B60ABD5-0FB7-4A8F-9080-E66390A5A804}"/>
            </a:ext>
          </a:extLst>
        </xdr:cNvPr>
        <xdr:cNvGrpSpPr/>
      </xdr:nvGrpSpPr>
      <xdr:grpSpPr>
        <a:xfrm>
          <a:off x="6170477" y="5780217"/>
          <a:ext cx="7857970" cy="5981041"/>
          <a:chOff x="8257510" y="6178150"/>
          <a:chExt cx="7842095" cy="5975750"/>
        </a:xfrm>
      </xdr:grpSpPr>
      <xdr:grpSp>
        <xdr:nvGrpSpPr>
          <xdr:cNvPr id="65" name="É BOM SABER" descr="É BOM SABER&#10;&#10;">
            <a:extLst>
              <a:ext uri="{FF2B5EF4-FFF2-40B4-BE49-F238E27FC236}">
                <a16:creationId xmlns:a16="http://schemas.microsoft.com/office/drawing/2014/main" id="{2C578BE1-7EFE-4C26-9CBD-7E1E03E5C665}"/>
              </a:ext>
            </a:extLst>
          </xdr:cNvPr>
          <xdr:cNvGrpSpPr/>
        </xdr:nvGrpSpPr>
        <xdr:grpSpPr>
          <a:xfrm>
            <a:off x="12486606" y="6178150"/>
            <a:ext cx="3612999" cy="2718201"/>
            <a:chOff x="7053810" y="15226304"/>
            <a:chExt cx="3722724" cy="2343909"/>
          </a:xfrm>
        </xdr:grpSpPr>
        <xdr:sp macro="" textlink="">
          <xdr:nvSpPr>
            <xdr:cNvPr id="107" name="Etapa" descr="É BOM SABER&#10;Constantes são valores inseridos em células ou fórmulas. Apesar de &quot;=10+20&quot; oferecer o mesmo cálculo que &quot;=A1+B1&quot;, constantes não recomendadas. Por quê? Porque você não consegue ver facilmente a constante sem selecionar a célula e procurar o valor. E isso pode ser difícil de alterar posteriormente. É muito mais fácil colocar constantes em células, onde elas podem ser facilmente ajustadas, e fazer referência a elas em suas fórmulas.&#10;&#10;Por exemplo: Selecione a célula amarela abaixo que contém o 12. Você verá que usamos a função SOMA com um intervalo de células. Nós não digitamos &quot;4&quot; ou &quot;8&quot; diretamente na fórmula. &#10;">
              <a:extLst>
                <a:ext uri="{FF2B5EF4-FFF2-40B4-BE49-F238E27FC236}">
                  <a16:creationId xmlns:a16="http://schemas.microsoft.com/office/drawing/2014/main" id="{8F5E6F28-9674-4E94-BAE2-20A6E208A2DF}"/>
                </a:ext>
              </a:extLst>
            </xdr:cNvPr>
            <xdr:cNvSpPr txBox="1"/>
          </xdr:nvSpPr>
          <xdr:spPr>
            <a:xfrm>
              <a:off x="7377112" y="15262899"/>
              <a:ext cx="3399422" cy="23073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200" b="1" kern="0">
                  <a:solidFill>
                    <a:srgbClr val="ED7D31">
                      <a:lumMod val="60000"/>
                      <a:lumOff val="40000"/>
                    </a:srgbClr>
                  </a:solidFill>
                  <a:latin typeface="+mj-lt"/>
                  <a:ea typeface="Segoe UI" pitchFamily="34" charset="0"/>
                  <a:cs typeface="Segoe UI Light" panose="020B0502040204020203" pitchFamily="34" charset="0"/>
                </a:rPr>
                <a:t>É BOM SABER</a:t>
              </a:r>
              <a:endParaRPr lang="en-US" sz="1200" b="1">
                <a:solidFill>
                  <a:srgbClr val="ED7D31">
                    <a:lumMod val="60000"/>
                    <a:lumOff val="40000"/>
                  </a:srgbClr>
                </a:solidFill>
                <a:latin typeface="+mj-lt"/>
                <a:ea typeface="Segoe UI" pitchFamily="34" charset="0"/>
                <a:cs typeface="Segoe UI Light" panose="020B0502040204020203" pitchFamily="34" charset="0"/>
              </a:endParaRPr>
            </a:p>
            <a:p>
              <a:pPr rtl="0" eaLnBrk="1" fontAlgn="auto" latinLnBrk="0" hangingPunct="1"/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Constantes são valores inseridos em células ou fórmulas. Apesar de "=10+20" oferecer o mesmo cálculo que "=A1+B1", constantes não recomendadas. Por quê? Porque você não consegue ver facilmente a constante sem selecionar a célula e procurar o valor. E isso pode ser difícil de alterar posteriormente. É muito mais fácil colocar constantes em células, onde elas podem ser facilmente ajustadas, e fazer referência a elas em suas fórmulas.</a:t>
              </a:r>
            </a:p>
            <a:p>
              <a:pPr rtl="0" eaLnBrk="1" fontAlgn="auto" latinLnBrk="0" hangingPunct="1"/>
              <a:endParaRPr lang="en-US" sz="11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fontAlgn="auto" latinLnBrk="0" hangingPunct="1"/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Por exemplo: Selecione a célula amarela abaixo que contém o </a:t>
              </a:r>
              <a:r>
                <a:rPr lang="pt-br" sz="1100" b="1" i="0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12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 Você verá que usamos a função </a:t>
              </a:r>
              <a:r>
                <a:rPr lang="pt-br" sz="1100" b="1" i="0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SOMA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com um intervalo de células. Nós não digitamos "4" ou "8" diretamente na fórmula. </a:t>
              </a:r>
            </a:p>
          </xdr:txBody>
        </xdr:sp>
        <xdr:pic>
          <xdr:nvPicPr>
            <xdr:cNvPr id="108" name="Gráfico 147" descr="Óculos">
              <a:extLst>
                <a:ext uri="{FF2B5EF4-FFF2-40B4-BE49-F238E27FC236}">
                  <a16:creationId xmlns:a16="http://schemas.microsoft.com/office/drawing/2014/main" id="{DA4C831F-1451-4452-911B-977B8FD7BCC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96DAC541-7B7A-43D3-8B79-37D633B846F1}">
                  <asvg:svgBlip xmlns:asvg="http://schemas.microsoft.com/office/drawing/2016/SVG/main" r:embed="rId6"/>
                </a:ext>
              </a:extLst>
            </a:blip>
            <a:stretch>
              <a:fillRect/>
            </a:stretch>
          </xdr:blipFill>
          <xdr:spPr>
            <a:xfrm>
              <a:off x="7053810" y="15226304"/>
              <a:ext cx="323347" cy="349115"/>
            </a:xfrm>
            <a:prstGeom prst="rect">
              <a:avLst/>
            </a:prstGeom>
          </xdr:spPr>
        </xdr:pic>
      </xdr:grpSp>
      <xdr:grpSp>
        <xdr:nvGrpSpPr>
          <xdr:cNvPr id="66" name="Grupo 170">
            <a:extLst>
              <a:ext uri="{FF2B5EF4-FFF2-40B4-BE49-F238E27FC236}">
                <a16:creationId xmlns:a16="http://schemas.microsoft.com/office/drawing/2014/main" id="{80675C78-BC23-4C1E-8CD0-3DA3646AD49A}"/>
              </a:ext>
            </a:extLst>
          </xdr:cNvPr>
          <xdr:cNvGrpSpPr/>
        </xdr:nvGrpSpPr>
        <xdr:grpSpPr>
          <a:xfrm>
            <a:off x="8319789" y="6402998"/>
            <a:ext cx="4083384" cy="1294710"/>
            <a:chOff x="8319789" y="6402998"/>
            <a:chExt cx="4083384" cy="1294710"/>
          </a:xfrm>
        </xdr:grpSpPr>
        <xdr:sp macro="" textlink="">
          <xdr:nvSpPr>
            <xdr:cNvPr id="93" name="txt_Fórmula" descr="=A1+B1 &#10;">
              <a:extLst>
                <a:ext uri="{FF2B5EF4-FFF2-40B4-BE49-F238E27FC236}">
                  <a16:creationId xmlns:a16="http://schemas.microsoft.com/office/drawing/2014/main" id="{08F7C291-14FA-463D-8F5C-16331735FF43}"/>
                </a:ext>
              </a:extLst>
            </xdr:cNvPr>
            <xdr:cNvSpPr txBox="1"/>
          </xdr:nvSpPr>
          <xdr:spPr>
            <a:xfrm>
              <a:off x="8319789" y="6663836"/>
              <a:ext cx="2025984" cy="5029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t"/>
            <a:lstStyle/>
            <a:p>
              <a:pPr marL="0" marR="0" rtl="0">
                <a:spcBef>
                  <a:spcPts val="0"/>
                </a:spcBef>
                <a:spcAft>
                  <a:spcPts val="0"/>
                </a:spcAft>
              </a:pPr>
              <a:r>
                <a:rPr lang="pt-br" sz="3600">
                  <a:solidFill>
                    <a:srgbClr val="000000"/>
                  </a:solidFill>
                  <a:effectLst/>
                  <a:latin typeface="Courier New" panose="02070309020205020404" pitchFamily="49" charset="0"/>
                  <a:ea typeface="Times New Roman" panose="02020603050405020304" pitchFamily="18" charset="0"/>
                </a:rPr>
                <a:t>=A1+B1 </a:t>
              </a:r>
              <a:endParaRPr lang="en-US" sz="3600">
                <a:effectLst/>
                <a:latin typeface="Times New Roman" panose="02020603050405020304" pitchFamily="18" charset="0"/>
                <a:ea typeface="Times New Roman" panose="02020603050405020304" pitchFamily="18" charset="0"/>
              </a:endParaRPr>
            </a:p>
          </xdr:txBody>
        </xdr:sp>
        <xdr:sp macro="" textlink="">
          <xdr:nvSpPr>
            <xdr:cNvPr id="94" name="ChaveDeFórmulaPosterior">
              <a:extLst>
                <a:ext uri="{FF2B5EF4-FFF2-40B4-BE49-F238E27FC236}">
                  <a16:creationId xmlns:a16="http://schemas.microsoft.com/office/drawing/2014/main" id="{947645F6-3091-4F76-B921-D6079A65ABA1}"/>
                </a:ext>
              </a:extLst>
            </xdr:cNvPr>
            <xdr:cNvSpPr/>
          </xdr:nvSpPr>
          <xdr:spPr>
            <a:xfrm rot="5400000">
              <a:off x="9207945" y="6645021"/>
              <a:ext cx="121918" cy="196189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95" name="txt_BalãoDeFórmulaSuperior" descr="Operador&#10;">
              <a:extLst>
                <a:ext uri="{FF2B5EF4-FFF2-40B4-BE49-F238E27FC236}">
                  <a16:creationId xmlns:a16="http://schemas.microsoft.com/office/drawing/2014/main" id="{0D8BE35B-527B-442E-89EB-593205C2635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885207" y="6402998"/>
              <a:ext cx="791566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Operador</a:t>
              </a:r>
            </a:p>
          </xdr:txBody>
        </xdr:sp>
        <xdr:sp macro="" textlink="">
          <xdr:nvSpPr>
            <xdr:cNvPr id="96" name="ChaveDeFórmulaPosterior">
              <a:extLst>
                <a:ext uri="{FF2B5EF4-FFF2-40B4-BE49-F238E27FC236}">
                  <a16:creationId xmlns:a16="http://schemas.microsoft.com/office/drawing/2014/main" id="{384C7773-A90A-48A9-805B-7053E9C54613}"/>
                </a:ext>
              </a:extLst>
            </xdr:cNvPr>
            <xdr:cNvSpPr/>
          </xdr:nvSpPr>
          <xdr:spPr>
            <a:xfrm rot="16200000">
              <a:off x="8791631" y="6974379"/>
              <a:ext cx="121918" cy="482647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97" name="txt_BalãoDeFórmulaSuperior" descr="Referência de célula&#10;&#10;">
              <a:extLst>
                <a:ext uri="{FF2B5EF4-FFF2-40B4-BE49-F238E27FC236}">
                  <a16:creationId xmlns:a16="http://schemas.microsoft.com/office/drawing/2014/main" id="{8D543EA8-C227-4707-8765-45E578D42B5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439597" y="7293605"/>
              <a:ext cx="819067" cy="404103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Referência de célula</a:t>
              </a:r>
            </a:p>
          </xdr:txBody>
        </xdr:sp>
        <xdr:sp macro="" textlink="">
          <xdr:nvSpPr>
            <xdr:cNvPr id="98" name="ChaveDeFórmulaPosterior">
              <a:extLst>
                <a:ext uri="{FF2B5EF4-FFF2-40B4-BE49-F238E27FC236}">
                  <a16:creationId xmlns:a16="http://schemas.microsoft.com/office/drawing/2014/main" id="{9DD03541-A7DC-442C-B7E3-22998DAE4E16}"/>
                </a:ext>
              </a:extLst>
            </xdr:cNvPr>
            <xdr:cNvSpPr/>
          </xdr:nvSpPr>
          <xdr:spPr>
            <a:xfrm rot="16200000">
              <a:off x="9638165" y="6973189"/>
              <a:ext cx="121918" cy="485028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99" name="txt_BalãoDeFórmulaSuperior" descr="Referência de célula&#10;&#10;">
              <a:extLst>
                <a:ext uri="{FF2B5EF4-FFF2-40B4-BE49-F238E27FC236}">
                  <a16:creationId xmlns:a16="http://schemas.microsoft.com/office/drawing/2014/main" id="{EBCCD2CA-AAB6-45CF-AA59-121BF1EDA6D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9284821" y="7293605"/>
              <a:ext cx="821686" cy="404103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Referência de célula</a:t>
              </a:r>
            </a:p>
          </xdr:txBody>
        </xdr:sp>
        <xdr:sp macro="" textlink="">
          <xdr:nvSpPr>
            <xdr:cNvPr id="100" name="txt_Fórmula" descr="=10*20 &#10;">
              <a:extLst>
                <a:ext uri="{FF2B5EF4-FFF2-40B4-BE49-F238E27FC236}">
                  <a16:creationId xmlns:a16="http://schemas.microsoft.com/office/drawing/2014/main" id="{60CF3E89-F503-4529-87A6-2F032CFAD18B}"/>
                </a:ext>
              </a:extLst>
            </xdr:cNvPr>
            <xdr:cNvSpPr txBox="1"/>
          </xdr:nvSpPr>
          <xdr:spPr>
            <a:xfrm>
              <a:off x="10369130" y="6663836"/>
              <a:ext cx="2034043" cy="5029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t"/>
            <a:lstStyle/>
            <a:p>
              <a:pPr marL="0" marR="0" rtl="0">
                <a:spcBef>
                  <a:spcPts val="0"/>
                </a:spcBef>
                <a:spcAft>
                  <a:spcPts val="0"/>
                </a:spcAft>
              </a:pPr>
              <a:r>
                <a:rPr lang="pt-br" sz="3600">
                  <a:solidFill>
                    <a:srgbClr val="000000"/>
                  </a:solidFill>
                  <a:effectLst/>
                  <a:latin typeface="Courier New" panose="02070309020205020404" pitchFamily="49" charset="0"/>
                  <a:ea typeface="Times New Roman" panose="02020603050405020304" pitchFamily="18" charset="0"/>
                </a:rPr>
                <a:t>=10+20 </a:t>
              </a:r>
              <a:endParaRPr lang="en-US" sz="3600">
                <a:effectLst/>
                <a:latin typeface="Times New Roman" panose="02020603050405020304" pitchFamily="18" charset="0"/>
                <a:ea typeface="Times New Roman" panose="02020603050405020304" pitchFamily="18" charset="0"/>
              </a:endParaRPr>
            </a:p>
          </xdr:txBody>
        </xdr:sp>
        <xdr:sp macro="" textlink="">
          <xdr:nvSpPr>
            <xdr:cNvPr id="101" name="ChaveDeFórmulaPosterior">
              <a:extLst>
                <a:ext uri="{FF2B5EF4-FFF2-40B4-BE49-F238E27FC236}">
                  <a16:creationId xmlns:a16="http://schemas.microsoft.com/office/drawing/2014/main" id="{1E2962F9-CDE5-4E77-9E6F-157142A76A21}"/>
                </a:ext>
              </a:extLst>
            </xdr:cNvPr>
            <xdr:cNvSpPr/>
          </xdr:nvSpPr>
          <xdr:spPr>
            <a:xfrm rot="5400000">
              <a:off x="11262049" y="6643189"/>
              <a:ext cx="121918" cy="199853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102" name="txt_BalãoDeFórmulaSuperior" descr="Operador&#10;">
              <a:extLst>
                <a:ext uri="{FF2B5EF4-FFF2-40B4-BE49-F238E27FC236}">
                  <a16:creationId xmlns:a16="http://schemas.microsoft.com/office/drawing/2014/main" id="{639C4892-BBB3-4B3B-974A-12C16E34635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935757" y="6402998"/>
              <a:ext cx="797209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Operador</a:t>
              </a:r>
            </a:p>
          </xdr:txBody>
        </xdr:sp>
        <xdr:sp macro="" textlink="">
          <xdr:nvSpPr>
            <xdr:cNvPr id="103" name="ChaveDeFórmulaPosterior">
              <a:extLst>
                <a:ext uri="{FF2B5EF4-FFF2-40B4-BE49-F238E27FC236}">
                  <a16:creationId xmlns:a16="http://schemas.microsoft.com/office/drawing/2014/main" id="{9BEAFD1F-49EF-40CB-B050-CC67400D68B0}"/>
                </a:ext>
              </a:extLst>
            </xdr:cNvPr>
            <xdr:cNvSpPr/>
          </xdr:nvSpPr>
          <xdr:spPr>
            <a:xfrm rot="16200000">
              <a:off x="10843170" y="6973646"/>
              <a:ext cx="121918" cy="484113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104" name="txt_BalãoDeFórmulaSuperior" descr="Constante&#10;">
              <a:extLst>
                <a:ext uri="{FF2B5EF4-FFF2-40B4-BE49-F238E27FC236}">
                  <a16:creationId xmlns:a16="http://schemas.microsoft.com/office/drawing/2014/main" id="{36F8C64C-3DCB-40F0-83B0-B02A62F4E40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490330" y="7293605"/>
              <a:ext cx="820679" cy="404103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Constante</a:t>
              </a:r>
            </a:p>
          </xdr:txBody>
        </xdr:sp>
        <xdr:sp macro="" textlink="">
          <xdr:nvSpPr>
            <xdr:cNvPr id="105" name="ChaveDeFórmulaPosterior">
              <a:extLst>
                <a:ext uri="{FF2B5EF4-FFF2-40B4-BE49-F238E27FC236}">
                  <a16:creationId xmlns:a16="http://schemas.microsoft.com/office/drawing/2014/main" id="{DF384CC7-8F0C-4317-B580-8C248CD6F565}"/>
                </a:ext>
              </a:extLst>
            </xdr:cNvPr>
            <xdr:cNvSpPr/>
          </xdr:nvSpPr>
          <xdr:spPr>
            <a:xfrm rot="16200000">
              <a:off x="11694101" y="6973189"/>
              <a:ext cx="121918" cy="485027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106" name="txt_BalãoDeFórmulaSuperior" descr="Constante&#10;">
              <a:extLst>
                <a:ext uri="{FF2B5EF4-FFF2-40B4-BE49-F238E27FC236}">
                  <a16:creationId xmlns:a16="http://schemas.microsoft.com/office/drawing/2014/main" id="{A57F29FC-AA13-4B24-BCFB-66E6F1E0064E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1340758" y="7293605"/>
              <a:ext cx="821685" cy="404103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Constante</a:t>
              </a:r>
            </a:p>
          </xdr:txBody>
        </xdr:sp>
      </xdr:grpSp>
      <xdr:grpSp>
        <xdr:nvGrpSpPr>
          <xdr:cNvPr id="67" name="Grupo 171">
            <a:extLst>
              <a:ext uri="{FF2B5EF4-FFF2-40B4-BE49-F238E27FC236}">
                <a16:creationId xmlns:a16="http://schemas.microsoft.com/office/drawing/2014/main" id="{5A7F98E7-383D-442B-B635-A454585DB5B6}"/>
              </a:ext>
            </a:extLst>
          </xdr:cNvPr>
          <xdr:cNvGrpSpPr/>
        </xdr:nvGrpSpPr>
        <xdr:grpSpPr>
          <a:xfrm>
            <a:off x="8257510" y="8164390"/>
            <a:ext cx="3790306" cy="1789235"/>
            <a:chOff x="8257510" y="8164390"/>
            <a:chExt cx="3790306" cy="1789235"/>
          </a:xfrm>
        </xdr:grpSpPr>
        <xdr:sp macro="" textlink="">
          <xdr:nvSpPr>
            <xdr:cNvPr id="86" name="txt_Fórmula" descr="=SOMA(A1:A10)&#10;">
              <a:extLst>
                <a:ext uri="{FF2B5EF4-FFF2-40B4-BE49-F238E27FC236}">
                  <a16:creationId xmlns:a16="http://schemas.microsoft.com/office/drawing/2014/main" id="{DAC563B8-62B9-4319-93D7-166DA2C23442}"/>
                </a:ext>
              </a:extLst>
            </xdr:cNvPr>
            <xdr:cNvSpPr txBox="1"/>
          </xdr:nvSpPr>
          <xdr:spPr>
            <a:xfrm>
              <a:off x="8257510" y="8447209"/>
              <a:ext cx="3790306" cy="5029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t"/>
            <a:lstStyle/>
            <a:p>
              <a:pPr marL="0" marR="0" rtl="0">
                <a:spcBef>
                  <a:spcPts val="0"/>
                </a:spcBef>
                <a:spcAft>
                  <a:spcPts val="0"/>
                </a:spcAft>
              </a:pPr>
              <a:r>
                <a:rPr lang="pt-br" sz="3600">
                  <a:solidFill>
                    <a:srgbClr val="000000"/>
                  </a:solidFill>
                  <a:effectLst/>
                  <a:latin typeface="Courier New" panose="02070309020205020404" pitchFamily="49" charset="0"/>
                  <a:ea typeface="Times New Roman" panose="02020603050405020304" pitchFamily="18" charset="0"/>
                </a:rPr>
                <a:t>=SOMA(A1:A10)</a:t>
              </a:r>
              <a:endParaRPr lang="en-US" sz="3600">
                <a:effectLst/>
                <a:latin typeface="Times New Roman" panose="02020603050405020304" pitchFamily="18" charset="0"/>
                <a:ea typeface="Times New Roman" panose="02020603050405020304" pitchFamily="18" charset="0"/>
              </a:endParaRPr>
            </a:p>
          </xdr:txBody>
        </xdr:sp>
        <xdr:sp macro="" textlink="">
          <xdr:nvSpPr>
            <xdr:cNvPr id="87" name="ChaveDeFórmulaPosterior">
              <a:extLst>
                <a:ext uri="{FF2B5EF4-FFF2-40B4-BE49-F238E27FC236}">
                  <a16:creationId xmlns:a16="http://schemas.microsoft.com/office/drawing/2014/main" id="{A743057E-E584-4832-B8D2-97AD97FC86D0}"/>
                </a:ext>
              </a:extLst>
            </xdr:cNvPr>
            <xdr:cNvSpPr/>
          </xdr:nvSpPr>
          <xdr:spPr>
            <a:xfrm rot="5400000">
              <a:off x="9009234" y="8018508"/>
              <a:ext cx="121918" cy="972000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88" name="txt_BalãoDeFórmulaSuperior" descr="Função&#10;">
              <a:extLst>
                <a:ext uri="{FF2B5EF4-FFF2-40B4-BE49-F238E27FC236}">
                  <a16:creationId xmlns:a16="http://schemas.microsoft.com/office/drawing/2014/main" id="{C42A5895-1982-488F-B68F-C6C9607649F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721896" y="8164390"/>
              <a:ext cx="719605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Função</a:t>
              </a:r>
            </a:p>
          </xdr:txBody>
        </xdr:sp>
        <xdr:sp macro="" textlink="">
          <xdr:nvSpPr>
            <xdr:cNvPr id="89" name="ChaveDeFórmulaPosterior">
              <a:extLst>
                <a:ext uri="{FF2B5EF4-FFF2-40B4-BE49-F238E27FC236}">
                  <a16:creationId xmlns:a16="http://schemas.microsoft.com/office/drawing/2014/main" id="{A26D1447-8CE7-49C5-8C57-552B71918BC1}"/>
                </a:ext>
              </a:extLst>
            </xdr:cNvPr>
            <xdr:cNvSpPr/>
          </xdr:nvSpPr>
          <xdr:spPr>
            <a:xfrm rot="16200000">
              <a:off x="10639269" y="8209016"/>
              <a:ext cx="121918" cy="1594774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90" name="ChaveDeFórmulaPosterior">
              <a:extLst>
                <a:ext uri="{FF2B5EF4-FFF2-40B4-BE49-F238E27FC236}">
                  <a16:creationId xmlns:a16="http://schemas.microsoft.com/office/drawing/2014/main" id="{DBFD598C-5601-4C6F-B101-409A5C9E374E}"/>
                </a:ext>
              </a:extLst>
            </xdr:cNvPr>
            <xdr:cNvSpPr/>
          </xdr:nvSpPr>
          <xdr:spPr>
            <a:xfrm rot="5400000">
              <a:off x="10639269" y="7694666"/>
              <a:ext cx="121918" cy="1594774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91" name="txt_BalãoDeFórmulaSuperior" descr="Argumento&#10;">
              <a:extLst>
                <a:ext uri="{FF2B5EF4-FFF2-40B4-BE49-F238E27FC236}">
                  <a16:creationId xmlns:a16="http://schemas.microsoft.com/office/drawing/2014/main" id="{50389D3F-81C1-4395-8546-FF1D7D3D411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198141" y="8164390"/>
              <a:ext cx="1005616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Argumento</a:t>
              </a:r>
            </a:p>
          </xdr:txBody>
        </xdr:sp>
        <xdr:sp macro="" textlink="">
          <xdr:nvSpPr>
            <xdr:cNvPr id="92" name="Caixa de texto 2" descr="Um intervalo de células tem uma célula inicial, um sinal de dois-pontos e uma célula final. Ao selecionar um intervalo de células para uma fórmula, o Excel adiciona automaticamente os dois-pontos.&#10;">
              <a:extLst>
                <a:ext uri="{FF2B5EF4-FFF2-40B4-BE49-F238E27FC236}">
                  <a16:creationId xmlns:a16="http://schemas.microsoft.com/office/drawing/2014/main" id="{6666C456-A9DE-49E8-8AEF-5AA580D14933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691537" y="9112879"/>
              <a:ext cx="3300413" cy="840746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t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Um intervalo de células tem uma célula inicial, um sinal de dois-pontos e</a:t>
              </a:r>
              <a:r>
                <a:rPr lang="pt-br" sz="1100" baseline="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 uma célula final. Ao selecionar um intervalo de células para uma fórmula, o Excel adiciona automaticamente os dois-pontos.</a:t>
              </a:r>
              <a:endParaRPr lang="en-US" sz="1100">
                <a:effectLst/>
                <a:latin typeface="+mn-lt"/>
                <a:ea typeface="Calibri" panose="020F0502020204030204" pitchFamily="34" charset="0"/>
                <a:cs typeface="Times New Roman" panose="02020603050405020304" pitchFamily="18" charset="0"/>
              </a:endParaRPr>
            </a:p>
            <a:p>
              <a:pPr marL="0" marR="0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 </a:t>
              </a:r>
            </a:p>
          </xdr:txBody>
        </xdr:sp>
      </xdr:grpSp>
      <xdr:grpSp>
        <xdr:nvGrpSpPr>
          <xdr:cNvPr id="68" name="Grupo 172">
            <a:extLst>
              <a:ext uri="{FF2B5EF4-FFF2-40B4-BE49-F238E27FC236}">
                <a16:creationId xmlns:a16="http://schemas.microsoft.com/office/drawing/2014/main" id="{0FF25FC2-29AF-45DD-8FAA-68E746AFB806}"/>
              </a:ext>
            </a:extLst>
          </xdr:cNvPr>
          <xdr:cNvGrpSpPr/>
        </xdr:nvGrpSpPr>
        <xdr:grpSpPr>
          <a:xfrm>
            <a:off x="8257510" y="10012240"/>
            <a:ext cx="7026077" cy="2141660"/>
            <a:chOff x="8257510" y="10012240"/>
            <a:chExt cx="7026077" cy="2141660"/>
          </a:xfrm>
        </xdr:grpSpPr>
        <xdr:sp macro="" textlink="">
          <xdr:nvSpPr>
            <xdr:cNvPr id="69" name="txt_Fórmula" descr="=SOMA(A1:A10;C1:C10)&#10;">
              <a:extLst>
                <a:ext uri="{FF2B5EF4-FFF2-40B4-BE49-F238E27FC236}">
                  <a16:creationId xmlns:a16="http://schemas.microsoft.com/office/drawing/2014/main" id="{A9BCA61A-FB06-4D49-8889-4BECC48F4013}"/>
                </a:ext>
              </a:extLst>
            </xdr:cNvPr>
            <xdr:cNvSpPr txBox="1"/>
          </xdr:nvSpPr>
          <xdr:spPr>
            <a:xfrm>
              <a:off x="8257510" y="10628434"/>
              <a:ext cx="5687090" cy="5029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t"/>
            <a:lstStyle/>
            <a:p>
              <a:pPr marL="0" marR="0" rtl="0">
                <a:spcBef>
                  <a:spcPts val="0"/>
                </a:spcBef>
                <a:spcAft>
                  <a:spcPts val="0"/>
                </a:spcAft>
              </a:pPr>
              <a:r>
                <a:rPr lang="pt-br" sz="3600">
                  <a:solidFill>
                    <a:srgbClr val="000000"/>
                  </a:solidFill>
                  <a:effectLst/>
                  <a:latin typeface="Courier New" panose="02070309020205020404" pitchFamily="49" charset="0"/>
                  <a:ea typeface="Times New Roman" panose="02020603050405020304" pitchFamily="18" charset="0"/>
                </a:rPr>
                <a:t>=SOMA(A1:A10;C1:C10)</a:t>
              </a:r>
              <a:endParaRPr lang="en-US" sz="3600">
                <a:effectLst/>
                <a:latin typeface="Times New Roman" panose="02020603050405020304" pitchFamily="18" charset="0"/>
                <a:ea typeface="Times New Roman" panose="02020603050405020304" pitchFamily="18" charset="0"/>
              </a:endParaRPr>
            </a:p>
          </xdr:txBody>
        </xdr:sp>
        <xdr:sp macro="" textlink="">
          <xdr:nvSpPr>
            <xdr:cNvPr id="70" name="ChaveDeFórmulaPosterior">
              <a:extLst>
                <a:ext uri="{FF2B5EF4-FFF2-40B4-BE49-F238E27FC236}">
                  <a16:creationId xmlns:a16="http://schemas.microsoft.com/office/drawing/2014/main" id="{68945BE8-1C24-4C4B-B91D-3A8EF54DA7F6}"/>
                </a:ext>
              </a:extLst>
            </xdr:cNvPr>
            <xdr:cNvSpPr/>
          </xdr:nvSpPr>
          <xdr:spPr>
            <a:xfrm rot="5400000">
              <a:off x="9018759" y="10199733"/>
              <a:ext cx="121918" cy="972000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71" name="txt_BalãoDeFórmulaSuperior" descr="Função&#10;">
              <a:extLst>
                <a:ext uri="{FF2B5EF4-FFF2-40B4-BE49-F238E27FC236}">
                  <a16:creationId xmlns:a16="http://schemas.microsoft.com/office/drawing/2014/main" id="{5FD78F0B-4510-4346-928C-C41EEC3620D2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721896" y="10345615"/>
              <a:ext cx="719605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Função</a:t>
              </a:r>
            </a:p>
          </xdr:txBody>
        </xdr:sp>
        <xdr:sp macro="" textlink="">
          <xdr:nvSpPr>
            <xdr:cNvPr id="72" name="ChaveDeFórmulaPosterior">
              <a:extLst>
                <a:ext uri="{FF2B5EF4-FFF2-40B4-BE49-F238E27FC236}">
                  <a16:creationId xmlns:a16="http://schemas.microsoft.com/office/drawing/2014/main" id="{DF6E9B9B-AB1E-47E7-BC72-62CF73EB5409}"/>
                </a:ext>
              </a:extLst>
            </xdr:cNvPr>
            <xdr:cNvSpPr/>
          </xdr:nvSpPr>
          <xdr:spPr>
            <a:xfrm rot="5400000">
              <a:off x="10677369" y="9875891"/>
              <a:ext cx="121918" cy="1594774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73" name="txt_BalãoDeFórmulaSuperior" descr="Argumento&#10;">
              <a:extLst>
                <a:ext uri="{FF2B5EF4-FFF2-40B4-BE49-F238E27FC236}">
                  <a16:creationId xmlns:a16="http://schemas.microsoft.com/office/drawing/2014/main" id="{90E60706-82C6-4279-95DD-7533D87C11C1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198141" y="10345615"/>
              <a:ext cx="1005616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Argumento</a:t>
              </a:r>
            </a:p>
          </xdr:txBody>
        </xdr:sp>
        <xdr:sp macro="" textlink="">
          <xdr:nvSpPr>
            <xdr:cNvPr id="74" name="ChaveDeFórmulaPosterior">
              <a:extLst>
                <a:ext uri="{FF2B5EF4-FFF2-40B4-BE49-F238E27FC236}">
                  <a16:creationId xmlns:a16="http://schemas.microsoft.com/office/drawing/2014/main" id="{1686A214-9AAA-4C98-8601-4E04EBC13FA7}"/>
                </a:ext>
              </a:extLst>
            </xdr:cNvPr>
            <xdr:cNvSpPr/>
          </xdr:nvSpPr>
          <xdr:spPr>
            <a:xfrm rot="5400000">
              <a:off x="12601419" y="9875891"/>
              <a:ext cx="121918" cy="1594774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75" name="txt_BalãoDeFórmulaSuperior" descr="Argumento&#10;">
              <a:extLst>
                <a:ext uri="{FF2B5EF4-FFF2-40B4-BE49-F238E27FC236}">
                  <a16:creationId xmlns:a16="http://schemas.microsoft.com/office/drawing/2014/main" id="{59869FB4-BD49-4833-9E5F-59DC171272AC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122191" y="10345615"/>
              <a:ext cx="1005616" cy="25717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Argumento</a:t>
              </a:r>
            </a:p>
          </xdr:txBody>
        </xdr:sp>
        <xdr:sp macro="" textlink="">
          <xdr:nvSpPr>
            <xdr:cNvPr id="76" name="ChaveDeFórmulaPosterior">
              <a:extLst>
                <a:ext uri="{FF2B5EF4-FFF2-40B4-BE49-F238E27FC236}">
                  <a16:creationId xmlns:a16="http://schemas.microsoft.com/office/drawing/2014/main" id="{000DCC9C-11CE-4C57-A744-F96968D7C3B1}"/>
                </a:ext>
              </a:extLst>
            </xdr:cNvPr>
            <xdr:cNvSpPr/>
          </xdr:nvSpPr>
          <xdr:spPr>
            <a:xfrm rot="16200000">
              <a:off x="10677369" y="10399766"/>
              <a:ext cx="121918" cy="1594774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77" name="Caixa de texto 2" descr="Um intervalo de células">
              <a:extLst>
                <a:ext uri="{FF2B5EF4-FFF2-40B4-BE49-F238E27FC236}">
                  <a16:creationId xmlns:a16="http://schemas.microsoft.com/office/drawing/2014/main" id="{0319B866-1558-4B03-946A-1A613DB9ED6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9954522" y="11303630"/>
              <a:ext cx="1620397" cy="27877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t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Um intervalo de células</a:t>
              </a:r>
            </a:p>
            <a:p>
              <a:pPr marL="0" marR="0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 </a:t>
              </a:r>
            </a:p>
          </xdr:txBody>
        </xdr:sp>
        <xdr:sp macro="" textlink="">
          <xdr:nvSpPr>
            <xdr:cNvPr id="78" name="ChaveDeFórmulaPosterior">
              <a:extLst>
                <a:ext uri="{FF2B5EF4-FFF2-40B4-BE49-F238E27FC236}">
                  <a16:creationId xmlns:a16="http://schemas.microsoft.com/office/drawing/2014/main" id="{FDAFDF3C-EFA0-4D4C-96E2-F24B37D01849}"/>
                </a:ext>
              </a:extLst>
            </xdr:cNvPr>
            <xdr:cNvSpPr/>
          </xdr:nvSpPr>
          <xdr:spPr>
            <a:xfrm rot="16200000">
              <a:off x="12610944" y="10399766"/>
              <a:ext cx="121918" cy="1594774"/>
            </a:xfrm>
            <a:prstGeom prst="leftBrac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rtl="0"/>
              <a:endParaRPr lang="en-US"/>
            </a:p>
          </xdr:txBody>
        </xdr:sp>
        <xdr:sp macro="" textlink="">
          <xdr:nvSpPr>
            <xdr:cNvPr id="79" name="Caixa de texto 2" descr="Outro intervalo de células">
              <a:extLst>
                <a:ext uri="{FF2B5EF4-FFF2-40B4-BE49-F238E27FC236}">
                  <a16:creationId xmlns:a16="http://schemas.microsoft.com/office/drawing/2014/main" id="{FC553577-095D-4D76-97F0-0A541799C10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1792534" y="11303630"/>
              <a:ext cx="1773422" cy="27877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t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Outro intervalo de células</a:t>
              </a:r>
            </a:p>
            <a:p>
              <a:pPr marL="0" marR="0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+mn-lt"/>
                  <a:ea typeface="Calibri" panose="020F0502020204030204" pitchFamily="34" charset="0"/>
                  <a:cs typeface="Times New Roman" panose="02020603050405020304" pitchFamily="18" charset="0"/>
                </a:rPr>
                <a:t> </a:t>
              </a:r>
            </a:p>
          </xdr:txBody>
        </xdr:sp>
        <xdr:sp macro="" textlink="">
          <xdr:nvSpPr>
            <xdr:cNvPr id="80" name="txt_BalãoDeFórmulaSuperior" descr="Some o seguinte:&#10;">
              <a:extLst>
                <a:ext uri="{FF2B5EF4-FFF2-40B4-BE49-F238E27FC236}">
                  <a16:creationId xmlns:a16="http://schemas.microsoft.com/office/drawing/2014/main" id="{B32B12C4-A8E6-4058-9C17-E072F4980EC5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1636416" y="10012240"/>
              <a:ext cx="2729639" cy="25717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algn="ctr" rtl="0"/>
              <a:r>
                <a:rPr lang="pt-PT" altLang="zh-CN" sz="1100" b="0" i="0" u="none" strike="noStrike" baseline="0">
                  <a:latin typeface="+mn-lt"/>
                  <a:ea typeface="+mn-ea"/>
                  <a:cs typeface="+mn-cs"/>
                </a:rPr>
                <a:t>Vários argumentos separados por vírgulas</a:t>
              </a:r>
              <a:endParaRPr lang="en-US" altLang="zh-CN" sz="1100" b="0" i="0" u="none" strike="noStrike" baseline="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81" name="Seta de Crédito Adicional" descr="Seta">
              <a:extLst>
                <a:ext uri="{FF2B5EF4-FFF2-40B4-BE49-F238E27FC236}">
                  <a16:creationId xmlns:a16="http://schemas.microsoft.com/office/drawing/2014/main" id="{A55691E0-3099-4573-8236-C62802D51C09}"/>
                </a:ext>
              </a:extLst>
            </xdr:cNvPr>
            <xdr:cNvSpPr/>
          </xdr:nvSpPr>
          <xdr:spPr>
            <a:xfrm rot="16200000">
              <a:off x="11425246" y="10436986"/>
              <a:ext cx="1009649" cy="462029"/>
            </a:xfrm>
            <a:prstGeom prst="arc">
              <a:avLst>
                <a:gd name="adj1" fmla="val 15011426"/>
                <a:gd name="adj2" fmla="val 20561228"/>
              </a:avLst>
            </a:prstGeom>
            <a:ln w="19050">
              <a:solidFill>
                <a:schemeClr val="accent2">
                  <a:lumMod val="60000"/>
                  <a:lumOff val="40000"/>
                </a:schemeClr>
              </a:solidFill>
              <a:head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 rtl="0"/>
              <a:endParaRPr lang="en-US" sz="1100"/>
            </a:p>
          </xdr:txBody>
        </xdr:sp>
        <xdr:sp macro="" textlink="">
          <xdr:nvSpPr>
            <xdr:cNvPr id="82" name="txt_BalãoDeFórmulaSuperior" descr="Parêntese de abertura&#10;&#10;">
              <a:extLst>
                <a:ext uri="{FF2B5EF4-FFF2-40B4-BE49-F238E27FC236}">
                  <a16:creationId xmlns:a16="http://schemas.microsoft.com/office/drawing/2014/main" id="{ED3749A1-0854-4C46-9736-1B827613D139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8740816" y="11698165"/>
              <a:ext cx="2729639" cy="25717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Parêntese de abertura</a:t>
              </a:r>
            </a:p>
          </xdr:txBody>
        </xdr:sp>
        <xdr:sp macro="" textlink="">
          <xdr:nvSpPr>
            <xdr:cNvPr id="83" name="Seta de Crédito Adicional" descr="Seta">
              <a:extLst>
                <a:ext uri="{FF2B5EF4-FFF2-40B4-BE49-F238E27FC236}">
                  <a16:creationId xmlns:a16="http://schemas.microsoft.com/office/drawing/2014/main" id="{40523C18-CC86-4BDA-AC31-56DEF95290FE}"/>
                </a:ext>
              </a:extLst>
            </xdr:cNvPr>
            <xdr:cNvSpPr/>
          </xdr:nvSpPr>
          <xdr:spPr>
            <a:xfrm rot="16200000" flipH="1">
              <a:off x="9577396" y="11027536"/>
              <a:ext cx="1009649" cy="462029"/>
            </a:xfrm>
            <a:prstGeom prst="arc">
              <a:avLst>
                <a:gd name="adj1" fmla="val 15011426"/>
                <a:gd name="adj2" fmla="val 20561228"/>
              </a:avLst>
            </a:prstGeom>
            <a:ln w="19050">
              <a:solidFill>
                <a:schemeClr val="accent2">
                  <a:lumMod val="60000"/>
                  <a:lumOff val="40000"/>
                </a:schemeClr>
              </a:solidFill>
              <a:head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 rtl="0"/>
              <a:endParaRPr lang="en-US" sz="1100"/>
            </a:p>
          </xdr:txBody>
        </xdr:sp>
        <xdr:sp macro="" textlink="">
          <xdr:nvSpPr>
            <xdr:cNvPr id="84" name="txt_BalãoDeFórmulaSuperior" descr="Parêntese de fechamento O Excel normalmente adiciona isso para você ao pressionar Enter.&#10;&#10;">
              <a:extLst>
                <a:ext uri="{FF2B5EF4-FFF2-40B4-BE49-F238E27FC236}">
                  <a16:creationId xmlns:a16="http://schemas.microsoft.com/office/drawing/2014/main" id="{AA39DEA2-29E2-47A6-9007-29AC8EE9623B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280984" y="11698165"/>
              <a:ext cx="3002603" cy="45573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rtlCol="0" anchor="ctr" anchorCtr="0">
              <a:noAutofit/>
            </a:bodyPr>
            <a:lstStyle/>
            <a:p>
              <a:pPr marL="0" marR="0" algn="ctr" rtl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pt-br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Parêntese de fechamento. O Excel normalmente adiciona isso para você ao </a:t>
              </a:r>
              <a:r>
                <a:rPr lang="pt-br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pressionar </a:t>
              </a:r>
              <a:r>
                <a:rPr lang="pt-br" sz="1100" b="1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Enter</a:t>
              </a:r>
              <a:r>
                <a:rPr lang="pt-br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.</a:t>
              </a:r>
              <a:endPara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endParaRPr>
            </a:p>
          </xdr:txBody>
        </xdr:sp>
        <xdr:sp macro="" textlink="">
          <xdr:nvSpPr>
            <xdr:cNvPr id="85" name="Seta de Crédito Adicional" descr="Seta">
              <a:extLst>
                <a:ext uri="{FF2B5EF4-FFF2-40B4-BE49-F238E27FC236}">
                  <a16:creationId xmlns:a16="http://schemas.microsoft.com/office/drawing/2014/main" id="{3A132930-C6BC-473D-90E6-008BC3B6E77B}"/>
                </a:ext>
              </a:extLst>
            </xdr:cNvPr>
            <xdr:cNvSpPr/>
          </xdr:nvSpPr>
          <xdr:spPr>
            <a:xfrm rot="3731154">
              <a:off x="12794276" y="11050117"/>
              <a:ext cx="1340711" cy="462029"/>
            </a:xfrm>
            <a:prstGeom prst="arc">
              <a:avLst>
                <a:gd name="adj1" fmla="val 15011426"/>
                <a:gd name="adj2" fmla="val 20616247"/>
              </a:avLst>
            </a:prstGeom>
            <a:ln w="19050">
              <a:solidFill>
                <a:schemeClr val="accent2">
                  <a:lumMod val="60000"/>
                  <a:lumOff val="40000"/>
                </a:schemeClr>
              </a:solidFill>
              <a:head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 rtl="0"/>
              <a:endParaRPr lang="en-US" sz="1100"/>
            </a:p>
          </xdr:txBody>
        </xdr:sp>
      </xdr:grp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</xdr:row>
      <xdr:rowOff>107577</xdr:rowOff>
    </xdr:from>
    <xdr:to>
      <xdr:col>9</xdr:col>
      <xdr:colOff>133350</xdr:colOff>
      <xdr:row>24</xdr:row>
      <xdr:rowOff>109257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A891AC5A-A6C2-44B3-A9F7-0D94BF35A8E6}"/>
            </a:ext>
          </a:extLst>
        </xdr:cNvPr>
        <xdr:cNvGrpSpPr/>
      </xdr:nvGrpSpPr>
      <xdr:grpSpPr>
        <a:xfrm>
          <a:off x="152400" y="307602"/>
          <a:ext cx="5467350" cy="4516530"/>
          <a:chOff x="0" y="0"/>
          <a:chExt cx="5489256" cy="4371974"/>
        </a:xfrm>
      </xdr:grpSpPr>
      <xdr:sp macro="" textlink="">
        <xdr:nvSpPr>
          <xdr:cNvPr id="3" name="Plano de Fundo" descr="Plano de Fundo">
            <a:extLst>
              <a:ext uri="{FF2B5EF4-FFF2-40B4-BE49-F238E27FC236}">
                <a16:creationId xmlns:a16="http://schemas.microsoft.com/office/drawing/2014/main" id="{A5FFB5EC-67C5-4DCE-AD92-39C602DA6044}"/>
              </a:ext>
            </a:extLst>
          </xdr:cNvPr>
          <xdr:cNvSpPr/>
        </xdr:nvSpPr>
        <xdr:spPr>
          <a:xfrm>
            <a:off x="0" y="0"/>
            <a:ext cx="5455351" cy="437197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4" name="Etapa" descr="Adicionar números como um especialista">
            <a:extLst>
              <a:ext uri="{FF2B5EF4-FFF2-40B4-BE49-F238E27FC236}">
                <a16:creationId xmlns:a16="http://schemas.microsoft.com/office/drawing/2014/main" id="{83A95DC3-F4D9-4595-AA28-F616DDFEF876}"/>
              </a:ext>
            </a:extLst>
          </xdr:cNvPr>
          <xdr:cNvSpPr txBox="1"/>
        </xdr:nvSpPr>
        <xdr:spPr>
          <a:xfrm>
            <a:off x="184560" y="52778"/>
            <a:ext cx="5138357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4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Adição</a:t>
            </a: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, quanto </a:t>
            </a:r>
            <a:r>
              <a:rPr lang="pt-BR" sz="4400" b="1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+</a:t>
            </a: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 melhor!!!</a:t>
            </a:r>
          </a:p>
        </xdr:txBody>
      </xdr:sp>
      <xdr:cxnSp macro="">
        <xdr:nvCxnSpPr>
          <xdr:cNvPr id="5" name="Linha inferior" descr="Linha decorativa">
            <a:extLst>
              <a:ext uri="{FF2B5EF4-FFF2-40B4-BE49-F238E27FC236}">
                <a16:creationId xmlns:a16="http://schemas.microsoft.com/office/drawing/2014/main" id="{F6A087BD-9BB4-4813-A118-A3846C974E04}"/>
              </a:ext>
            </a:extLst>
          </xdr:cNvPr>
          <xdr:cNvCxnSpPr>
            <a:cxnSpLocks/>
          </xdr:cNvCxnSpPr>
        </xdr:nvCxnSpPr>
        <xdr:spPr>
          <a:xfrm>
            <a:off x="52825" y="4132900"/>
            <a:ext cx="5166325" cy="22662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01E9B87B-079D-4FCA-ACB6-4A982DF37206}"/>
              </a:ext>
            </a:extLst>
          </xdr:cNvPr>
          <xdr:cNvSpPr txBox="1"/>
        </xdr:nvSpPr>
        <xdr:spPr>
          <a:xfrm>
            <a:off x="74990" y="902898"/>
            <a:ext cx="5247927" cy="3070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Nesta atividade vamos aplicar os conceitos de: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Adição em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Adição em intervalo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Adição entre tabelas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Adição entre intervalo de dados</a:t>
            </a: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Sobre formas de soma de dados</a:t>
            </a: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Se você já trabalha com o Excel, com toda a certeza do mundo já deve conhecer outras maneiras de efetuar a soma de valores no Excel. Abordaremos estes conceitos em capítulos posteriores.</a:t>
            </a:r>
          </a:p>
        </xdr:txBody>
      </xdr:sp>
      <xdr:cxnSp macro="">
        <xdr:nvCxnSpPr>
          <xdr:cNvPr id="7" name="Linha inferior" descr="Linha decorativa">
            <a:extLst>
              <a:ext uri="{FF2B5EF4-FFF2-40B4-BE49-F238E27FC236}">
                <a16:creationId xmlns:a16="http://schemas.microsoft.com/office/drawing/2014/main" id="{4BFD2C64-3C01-4A73-B233-8B3A636B2E40}"/>
              </a:ext>
            </a:extLst>
          </xdr:cNvPr>
          <xdr:cNvCxnSpPr>
            <a:cxnSpLocks/>
          </xdr:cNvCxnSpPr>
        </xdr:nvCxnSpPr>
        <xdr:spPr>
          <a:xfrm flipV="1">
            <a:off x="143451" y="704813"/>
            <a:ext cx="5094567" cy="11646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FA67F017-16E2-4372-A5B4-5D0FE1289D23}"/>
              </a:ext>
            </a:extLst>
          </xdr:cNvPr>
          <xdr:cNvSpPr txBox="1"/>
        </xdr:nvSpPr>
        <xdr:spPr>
          <a:xfrm>
            <a:off x="3460448" y="2255446"/>
            <a:ext cx="2028808" cy="382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0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Não</a:t>
            </a:r>
            <a:r>
              <a:rPr lang="pt-BR" sz="10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esqueça do sinal de igualdade no começo da fórmula</a:t>
            </a:r>
            <a:endParaRPr lang="pt-BR" sz="10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oneCell">
    <xdr:from>
      <xdr:col>6</xdr:col>
      <xdr:colOff>342900</xdr:colOff>
      <xdr:row>8</xdr:row>
      <xdr:rowOff>66675</xdr:rowOff>
    </xdr:from>
    <xdr:to>
      <xdr:col>8</xdr:col>
      <xdr:colOff>38100</xdr:colOff>
      <xdr:row>12</xdr:row>
      <xdr:rowOff>180975</xdr:rowOff>
    </xdr:to>
    <xdr:pic>
      <xdr:nvPicPr>
        <xdr:cNvPr id="12" name="Gráfico 11" descr="Pausa">
          <a:extLst>
            <a:ext uri="{FF2B5EF4-FFF2-40B4-BE49-F238E27FC236}">
              <a16:creationId xmlns:a16="http://schemas.microsoft.com/office/drawing/2014/main" id="{01722027-B180-4CDB-BD33-CD352C23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5400000">
          <a:off x="4000500" y="1590675"/>
          <a:ext cx="914400" cy="9144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9</xdr:col>
      <xdr:colOff>95250</xdr:colOff>
      <xdr:row>23</xdr:row>
      <xdr:rowOff>171449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A04C7FC5-08DE-4B2B-AB52-8B8074A880AA}"/>
            </a:ext>
          </a:extLst>
        </xdr:cNvPr>
        <xdr:cNvGrpSpPr/>
      </xdr:nvGrpSpPr>
      <xdr:grpSpPr>
        <a:xfrm>
          <a:off x="38100" y="38100"/>
          <a:ext cx="5543550" cy="4819649"/>
          <a:chOff x="0" y="0"/>
          <a:chExt cx="5565761" cy="4371974"/>
        </a:xfrm>
      </xdr:grpSpPr>
      <xdr:sp macro="" textlink="">
        <xdr:nvSpPr>
          <xdr:cNvPr id="3" name="Plano de Fundo" descr="Plano de Fundo">
            <a:extLst>
              <a:ext uri="{FF2B5EF4-FFF2-40B4-BE49-F238E27FC236}">
                <a16:creationId xmlns:a16="http://schemas.microsoft.com/office/drawing/2014/main" id="{5E0BD549-5133-4C35-83C6-8EBC81DA5B0D}"/>
              </a:ext>
            </a:extLst>
          </xdr:cNvPr>
          <xdr:cNvSpPr/>
        </xdr:nvSpPr>
        <xdr:spPr>
          <a:xfrm>
            <a:off x="0" y="0"/>
            <a:ext cx="5455351" cy="437197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4" name="Etapa" descr="Adicionar números como um especialista">
            <a:extLst>
              <a:ext uri="{FF2B5EF4-FFF2-40B4-BE49-F238E27FC236}">
                <a16:creationId xmlns:a16="http://schemas.microsoft.com/office/drawing/2014/main" id="{3A3A1621-5CD0-4D60-A06E-D55AC937B6CB}"/>
              </a:ext>
            </a:extLst>
          </xdr:cNvPr>
          <xdr:cNvSpPr txBox="1"/>
        </xdr:nvSpPr>
        <xdr:spPr>
          <a:xfrm>
            <a:off x="143448" y="43555"/>
            <a:ext cx="5422313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4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Subtração</a:t>
            </a: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, </a:t>
            </a:r>
            <a:r>
              <a:rPr lang="pt-BR" sz="16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muito </a:t>
            </a:r>
            <a:r>
              <a:rPr lang="pt-BR" sz="2800" b="1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mais</a:t>
            </a:r>
            <a:r>
              <a:rPr lang="pt-BR" sz="16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 com </a:t>
            </a:r>
            <a:r>
              <a:rPr lang="pt-BR" sz="1400" b="0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menos</a:t>
            </a:r>
            <a:r>
              <a:rPr lang="pt-BR" sz="16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...</a:t>
            </a:r>
            <a:endParaRPr lang="pt-BR" sz="2200" b="0" i="0" u="none" strike="noStrike" kern="0" cap="none" spc="0" normalizeH="0" baseline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endParaRPr>
          </a:p>
        </xdr:txBody>
      </xdr:sp>
      <xdr:cxnSp macro="">
        <xdr:nvCxnSpPr>
          <xdr:cNvPr id="5" name="Linha inferior" descr="Linha decorativa">
            <a:extLst>
              <a:ext uri="{FF2B5EF4-FFF2-40B4-BE49-F238E27FC236}">
                <a16:creationId xmlns:a16="http://schemas.microsoft.com/office/drawing/2014/main" id="{8A33B86F-C064-4473-837A-CE935A0A3063}"/>
              </a:ext>
            </a:extLst>
          </xdr:cNvPr>
          <xdr:cNvCxnSpPr>
            <a:cxnSpLocks/>
          </xdr:cNvCxnSpPr>
        </xdr:nvCxnSpPr>
        <xdr:spPr>
          <a:xfrm>
            <a:off x="14572" y="4280477"/>
            <a:ext cx="5166325" cy="22662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93E88A1D-8D1F-4280-BFA4-9DA7895A2F5C}"/>
              </a:ext>
            </a:extLst>
          </xdr:cNvPr>
          <xdr:cNvSpPr txBox="1"/>
        </xdr:nvSpPr>
        <xdr:spPr>
          <a:xfrm>
            <a:off x="46301" y="709201"/>
            <a:ext cx="5247927" cy="33818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Nesta atividade vamos aplicar os conceitos de: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Subtração em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Subtração em intervalo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Subtração entre tabelas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Subtração entre intervalo de dados</a:t>
            </a: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Sobre Subtração</a:t>
            </a: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Fazer uma continha de subtração no Excel é algo simples, mas tem muitas pessoas que não sabem como fazer e o meu objetivo aqui é mostrar como é fácil aprender e dominar todas as operações básicas de matemáticas para criar as melhores e mais profissionais planilhas no Excel, mesmo que nesse exato momento você ainda não saiba como fazer.</a:t>
            </a:r>
          </a:p>
        </xdr:txBody>
      </xdr:sp>
      <xdr:cxnSp macro="">
        <xdr:nvCxnSpPr>
          <xdr:cNvPr id="7" name="Linha inferior" descr="Linha decorativa">
            <a:extLst>
              <a:ext uri="{FF2B5EF4-FFF2-40B4-BE49-F238E27FC236}">
                <a16:creationId xmlns:a16="http://schemas.microsoft.com/office/drawing/2014/main" id="{4E311C1B-854B-4AEB-B2FB-52C6611E5478}"/>
              </a:ext>
            </a:extLst>
          </xdr:cNvPr>
          <xdr:cNvCxnSpPr>
            <a:cxnSpLocks/>
          </xdr:cNvCxnSpPr>
        </xdr:nvCxnSpPr>
        <xdr:spPr>
          <a:xfrm flipV="1">
            <a:off x="133888" y="612577"/>
            <a:ext cx="5094567" cy="11646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DFFBB2C1-C16A-4025-B90A-51EE8C3536E7}"/>
              </a:ext>
            </a:extLst>
          </xdr:cNvPr>
          <xdr:cNvSpPr txBox="1"/>
        </xdr:nvSpPr>
        <xdr:spPr>
          <a:xfrm>
            <a:off x="3326564" y="2077531"/>
            <a:ext cx="2028808" cy="382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0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Não</a:t>
            </a:r>
            <a:r>
              <a:rPr lang="pt-BR" sz="10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esqueça do sinal de igualdade no começo da fórmula</a:t>
            </a:r>
            <a:endParaRPr lang="pt-BR" sz="10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</xdr:grpSp>
    <xdr:clientData/>
  </xdr:twoCellAnchor>
  <xdr:twoCellAnchor editAs="oneCell">
    <xdr:from>
      <xdr:col>6</xdr:col>
      <xdr:colOff>38100</xdr:colOff>
      <xdr:row>7</xdr:row>
      <xdr:rowOff>9525</xdr:rowOff>
    </xdr:from>
    <xdr:to>
      <xdr:col>7</xdr:col>
      <xdr:colOff>342900</xdr:colOff>
      <xdr:row>11</xdr:row>
      <xdr:rowOff>104775</xdr:rowOff>
    </xdr:to>
    <xdr:pic>
      <xdr:nvPicPr>
        <xdr:cNvPr id="9" name="Gráfico 8" descr="Pausa">
          <a:extLst>
            <a:ext uri="{FF2B5EF4-FFF2-40B4-BE49-F238E27FC236}">
              <a16:creationId xmlns:a16="http://schemas.microsoft.com/office/drawing/2014/main" id="{8EDF17F3-2DED-4BE3-9AC5-0920A542E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5400000">
          <a:off x="3695700" y="1343025"/>
          <a:ext cx="914400" cy="914400"/>
        </a:xfrm>
        <a:prstGeom prst="rect">
          <a:avLst/>
        </a:prstGeom>
      </xdr:spPr>
    </xdr:pic>
    <xdr:clientData/>
  </xdr:twoCellAnchor>
  <xdr:twoCellAnchor editAs="absolute">
    <xdr:from>
      <xdr:col>14</xdr:col>
      <xdr:colOff>942977</xdr:colOff>
      <xdr:row>2</xdr:row>
      <xdr:rowOff>19049</xdr:rowOff>
    </xdr:from>
    <xdr:to>
      <xdr:col>18</xdr:col>
      <xdr:colOff>333376</xdr:colOff>
      <xdr:row>8</xdr:row>
      <xdr:rowOff>190500</xdr:rowOff>
    </xdr:to>
    <xdr:grpSp>
      <xdr:nvGrpSpPr>
        <xdr:cNvPr id="11" name="CRÉDITO ADICIONAL" descr="CRÉDITO ADICIONAL&#10;&#10;">
          <a:extLst>
            <a:ext uri="{FF2B5EF4-FFF2-40B4-BE49-F238E27FC236}">
              <a16:creationId xmlns:a16="http://schemas.microsoft.com/office/drawing/2014/main" id="{147D3600-7EB5-4077-B77C-70BB06EA784E}"/>
            </a:ext>
          </a:extLst>
        </xdr:cNvPr>
        <xdr:cNvGrpSpPr/>
      </xdr:nvGrpSpPr>
      <xdr:grpSpPr>
        <a:xfrm>
          <a:off x="10306052" y="400049"/>
          <a:ext cx="2285999" cy="1514476"/>
          <a:chOff x="9039281" y="3895724"/>
          <a:chExt cx="2272650" cy="1514476"/>
        </a:xfrm>
      </xdr:grpSpPr>
      <xdr:sp macro="" textlink="">
        <xdr:nvSpPr>
          <xdr:cNvPr id="12" name="Etapa" descr="CRÉDITO ADICIONAL&#10;Para elevar um número a determinada potência, use o símbolo de circunflexo (^), como =A1^A2. Para inseri-lo, pressione Shift+~, ao lado da cedilha.&#10;">
            <a:extLst>
              <a:ext uri="{FF2B5EF4-FFF2-40B4-BE49-F238E27FC236}">
                <a16:creationId xmlns:a16="http://schemas.microsoft.com/office/drawing/2014/main" id="{077CB32B-5349-4DFE-9AE9-EB8E26A2B3C1}"/>
              </a:ext>
            </a:extLst>
          </xdr:cNvPr>
          <xdr:cNvSpPr txBox="1"/>
        </xdr:nvSpPr>
        <xdr:spPr>
          <a:xfrm>
            <a:off x="9648643" y="3895724"/>
            <a:ext cx="1663288" cy="1514476"/>
          </a:xfrm>
          <a:prstGeom prst="rect">
            <a:avLst/>
          </a:prstGeom>
          <a:solidFill>
            <a:schemeClr val="bg1">
              <a:alpha val="63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200" b="1" kern="0">
                <a:solidFill>
                  <a:schemeClr val="accent4"/>
                </a:solidFill>
                <a:latin typeface="+mj-lt"/>
                <a:ea typeface="Segoe UI" pitchFamily="34" charset="0"/>
                <a:cs typeface="Segoe UI" panose="020B0502040204020203" pitchFamily="34" charset="0"/>
              </a:rPr>
              <a:t>Salário líquido</a:t>
            </a:r>
            <a:endParaRPr lang="en-US" sz="1200" b="1">
              <a:solidFill>
                <a:schemeClr val="accent4"/>
              </a:solidFill>
              <a:latin typeface="+mj-lt"/>
              <a:ea typeface="Segoe UI" pitchFamily="34" charset="0"/>
              <a:cs typeface="Segoe UI" panose="020B0502040204020203" pitchFamily="34" charset="0"/>
            </a:endParaRPr>
          </a:p>
          <a:p>
            <a:pPr rtl="0" eaLnBrk="1" fontAlgn="auto" latinLnBrk="0" hangingPunct="1"/>
            <a:r>
              <a:rPr lang="pt-BR" sz="11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 você é assalariado, todo mês haverá alguns descontos em sua folha de pagamento. Um deles é o INSS e se você faltar, também terá desconto.</a:t>
            </a:r>
            <a:endParaRPr lang="pt-br" sz="1100" b="0" i="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3" name="Faixa de opções de crédito adicional" descr="Dinheiro">
            <a:extLst>
              <a:ext uri="{FF2B5EF4-FFF2-40B4-BE49-F238E27FC236}">
                <a16:creationId xmlns:a16="http://schemas.microsoft.com/office/drawing/2014/main" id="{758147F3-4B54-4FF2-8CEF-20EA86D572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05659" y="3950551"/>
            <a:ext cx="437168" cy="439736"/>
          </a:xfrm>
          <a:prstGeom prst="rect">
            <a:avLst/>
          </a:prstGeom>
        </xdr:spPr>
      </xdr:pic>
      <xdr:sp macro="" textlink="">
        <xdr:nvSpPr>
          <xdr:cNvPr id="14" name="Seta de Crédito Adicional" descr="Seta">
            <a:extLst>
              <a:ext uri="{FF2B5EF4-FFF2-40B4-BE49-F238E27FC236}">
                <a16:creationId xmlns:a16="http://schemas.microsoft.com/office/drawing/2014/main" id="{493E5443-48B8-405C-A92A-7964D797973C}"/>
              </a:ext>
            </a:extLst>
          </xdr:cNvPr>
          <xdr:cNvSpPr/>
        </xdr:nvSpPr>
        <xdr:spPr>
          <a:xfrm rot="5917924" flipH="1" flipV="1">
            <a:off x="9012009" y="4170647"/>
            <a:ext cx="462029" cy="407486"/>
          </a:xfrm>
          <a:prstGeom prst="arc">
            <a:avLst>
              <a:gd name="adj1" fmla="val 15011426"/>
              <a:gd name="adj2" fmla="val 672396"/>
            </a:avLst>
          </a:prstGeom>
          <a:ln>
            <a:headEnd type="triangle"/>
          </a:ln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 rtl="0"/>
            <a:endParaRPr lang="en-US" sz="1100"/>
          </a:p>
        </xdr:txBody>
      </xdr:sp>
    </xdr:grpSp>
    <xdr:clientData/>
  </xdr:twoCellAnchor>
  <xdr:twoCellAnchor>
    <xdr:from>
      <xdr:col>12</xdr:col>
      <xdr:colOff>28575</xdr:colOff>
      <xdr:row>17</xdr:row>
      <xdr:rowOff>95249</xdr:rowOff>
    </xdr:from>
    <xdr:to>
      <xdr:col>12</xdr:col>
      <xdr:colOff>800099</xdr:colOff>
      <xdr:row>24</xdr:row>
      <xdr:rowOff>104996</xdr:rowOff>
    </xdr:to>
    <xdr:sp macro="" textlink="">
      <xdr:nvSpPr>
        <xdr:cNvPr id="15" name="ChaveDeFórmulaPosterior">
          <a:extLst>
            <a:ext uri="{FF2B5EF4-FFF2-40B4-BE49-F238E27FC236}">
              <a16:creationId xmlns:a16="http://schemas.microsoft.com/office/drawing/2014/main" id="{F4B76F6E-1E50-4879-989B-F8EF466164CD}"/>
            </a:ext>
          </a:extLst>
        </xdr:cNvPr>
        <xdr:cNvSpPr/>
      </xdr:nvSpPr>
      <xdr:spPr>
        <a:xfrm rot="10800000">
          <a:off x="7658100" y="3562349"/>
          <a:ext cx="771524" cy="1362297"/>
        </a:xfrm>
        <a:prstGeom prst="leftBrace">
          <a:avLst>
            <a:gd name="adj1" fmla="val 10293"/>
            <a:gd name="adj2" fmla="val 5719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rtl="0"/>
          <a:endParaRPr lang="en-US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28575</xdr:colOff>
      <xdr:row>24</xdr:row>
      <xdr:rowOff>190499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8F05E7A-B5A5-4303-B183-EA5BF8BCDDED}"/>
            </a:ext>
          </a:extLst>
        </xdr:cNvPr>
        <xdr:cNvGrpSpPr/>
      </xdr:nvGrpSpPr>
      <xdr:grpSpPr>
        <a:xfrm>
          <a:off x="0" y="0"/>
          <a:ext cx="4972050" cy="4876799"/>
          <a:chOff x="0" y="0"/>
          <a:chExt cx="4848523" cy="4371974"/>
        </a:xfrm>
      </xdr:grpSpPr>
      <xdr:sp macro="" textlink="">
        <xdr:nvSpPr>
          <xdr:cNvPr id="4" name="Plano de Fundo" descr="Plano de Fundo">
            <a:extLst>
              <a:ext uri="{FF2B5EF4-FFF2-40B4-BE49-F238E27FC236}">
                <a16:creationId xmlns:a16="http://schemas.microsoft.com/office/drawing/2014/main" id="{EB442658-9A2D-4502-A829-B5843C40097D}"/>
              </a:ext>
            </a:extLst>
          </xdr:cNvPr>
          <xdr:cNvSpPr/>
        </xdr:nvSpPr>
        <xdr:spPr>
          <a:xfrm>
            <a:off x="0" y="0"/>
            <a:ext cx="4848523" cy="437197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5" name="Etapa" descr="Adicionar números como um especialista">
            <a:extLst>
              <a:ext uri="{FF2B5EF4-FFF2-40B4-BE49-F238E27FC236}">
                <a16:creationId xmlns:a16="http://schemas.microsoft.com/office/drawing/2014/main" id="{6B6B1EDB-37E9-4E65-A30F-217376CBC66F}"/>
              </a:ext>
            </a:extLst>
          </xdr:cNvPr>
          <xdr:cNvSpPr txBox="1"/>
        </xdr:nvSpPr>
        <xdr:spPr>
          <a:xfrm>
            <a:off x="143448" y="43555"/>
            <a:ext cx="3978275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0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Multiplicação</a:t>
            </a: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, </a:t>
            </a:r>
            <a:r>
              <a:rPr lang="pt-BR" sz="16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o uso preciso do asterisco 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(não existe 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asteris</a:t>
            </a:r>
            <a:r>
              <a:rPr lang="pt-BR" sz="1100" b="1" i="0" u="none" strike="noStrike" kern="0" cap="none" spc="0" normalizeH="0" baseline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TICO</a:t>
            </a: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)</a:t>
            </a:r>
            <a:endParaRPr lang="pt-BR" sz="2200" b="0" i="0" u="none" strike="noStrike" kern="0" cap="none" spc="0" normalizeH="0" baseline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endParaRPr>
          </a:p>
        </xdr:txBody>
      </xdr:sp>
      <xdr:cxnSp macro="">
        <xdr:nvCxnSpPr>
          <xdr:cNvPr id="6" name="Linha inferior" descr="Linha decorativa">
            <a:extLst>
              <a:ext uri="{FF2B5EF4-FFF2-40B4-BE49-F238E27FC236}">
                <a16:creationId xmlns:a16="http://schemas.microsoft.com/office/drawing/2014/main" id="{9AF1C187-E643-498F-9C2D-63193C4F152B}"/>
              </a:ext>
            </a:extLst>
          </xdr:cNvPr>
          <xdr:cNvCxnSpPr>
            <a:cxnSpLocks/>
          </xdr:cNvCxnSpPr>
        </xdr:nvCxnSpPr>
        <xdr:spPr>
          <a:xfrm flipV="1">
            <a:off x="14572" y="4260968"/>
            <a:ext cx="4729330" cy="19509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A3443638-AB62-4C78-A764-378CA145AF5E}"/>
              </a:ext>
            </a:extLst>
          </xdr:cNvPr>
          <xdr:cNvSpPr txBox="1"/>
        </xdr:nvSpPr>
        <xdr:spPr>
          <a:xfrm>
            <a:off x="46302" y="709201"/>
            <a:ext cx="4677902" cy="35256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Nesta atividade vamos aplicar os conceitos de: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Multiplicação em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Multiplicação em intervalo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Multiplicação entre tabelas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Multiplicação entre intervalo de dados</a:t>
            </a: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Dica Especial</a:t>
            </a: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Quando </a:t>
            </a:r>
            <a:r>
              <a:rPr lang="pt-BR" sz="13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multiplicamos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dois números inteiros, um </a:t>
            </a:r>
            <a:r>
              <a:rPr lang="pt-BR" sz="13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negativo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por um </a:t>
            </a:r>
            <a:r>
              <a:rPr lang="pt-BR" sz="13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positivo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, o resultado é um número </a:t>
            </a:r>
            <a:r>
              <a:rPr lang="pt-BR" sz="13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negativo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.</a:t>
            </a:r>
          </a:p>
          <a:p>
            <a:pPr rtl="0" eaLnBrk="1" fontAlgn="auto" latinLnBrk="0" hangingPunct="1"/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Exemplo: Qual é o valor de (-2) * (+8)</a:t>
            </a: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(-2) é o oposto de (+2) , ou seja, -2 = - (+2):</a:t>
            </a: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- (+2) * (+8) = -(+16) = -16</a:t>
            </a:r>
          </a:p>
          <a:p>
            <a:pPr rtl="0" eaLnBrk="1" fontAlgn="auto" latinLnBrk="0" hangingPunct="1"/>
            <a:endParaRPr lang="pt-BR" sz="11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rtl="0" eaLnBrk="1" fontAlgn="auto" latinLnBrk="0" hangingPunct="1"/>
            <a:r>
              <a:rPr lang="pt-BR" sz="11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A expressão usada acima é apenas um exemplo, no Excel toda essa didatica é totalmente resumida em pouquíssimos passos.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	</a:t>
            </a:r>
          </a:p>
        </xdr:txBody>
      </xdr:sp>
      <xdr:cxnSp macro="">
        <xdr:nvCxnSpPr>
          <xdr:cNvPr id="8" name="Linha inferior" descr="Linha decorativa">
            <a:extLst>
              <a:ext uri="{FF2B5EF4-FFF2-40B4-BE49-F238E27FC236}">
                <a16:creationId xmlns:a16="http://schemas.microsoft.com/office/drawing/2014/main" id="{14E431CC-FAEF-4718-BABB-2E4D2E85D504}"/>
              </a:ext>
            </a:extLst>
          </xdr:cNvPr>
          <xdr:cNvCxnSpPr>
            <a:cxnSpLocks/>
          </xdr:cNvCxnSpPr>
        </xdr:nvCxnSpPr>
        <xdr:spPr>
          <a:xfrm flipV="1">
            <a:off x="133888" y="613576"/>
            <a:ext cx="4657256" cy="10648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466725</xdr:colOff>
      <xdr:row>6</xdr:row>
      <xdr:rowOff>133350</xdr:rowOff>
    </xdr:from>
    <xdr:to>
      <xdr:col>21</xdr:col>
      <xdr:colOff>371475</xdr:colOff>
      <xdr:row>11</xdr:row>
      <xdr:rowOff>76200</xdr:rowOff>
    </xdr:to>
    <xdr:sp macro="" textlink="">
      <xdr:nvSpPr>
        <xdr:cNvPr id="10" name="Etapa" descr="CRÉDITO ADICIONAL&#10;Para elevar um número a determinada potência, use o símbolo de circunflexo (^), como =A1^A2. Para inseri-lo, pressione Shift+~, ao lado da cedilha.&#10;">
          <a:extLst>
            <a:ext uri="{FF2B5EF4-FFF2-40B4-BE49-F238E27FC236}">
              <a16:creationId xmlns:a16="http://schemas.microsoft.com/office/drawing/2014/main" id="{75DB6921-7819-434F-A68B-CC34895A0D26}"/>
            </a:ext>
          </a:extLst>
        </xdr:cNvPr>
        <xdr:cNvSpPr txBox="1"/>
      </xdr:nvSpPr>
      <xdr:spPr>
        <a:xfrm>
          <a:off x="11619139" y="1325336"/>
          <a:ext cx="2952750" cy="895350"/>
        </a:xfrm>
        <a:prstGeom prst="rect">
          <a:avLst/>
        </a:prstGeom>
        <a:solidFill>
          <a:schemeClr val="bg1">
            <a:alpha val="63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200" b="1" kern="0">
              <a:solidFill>
                <a:schemeClr val="accent4"/>
              </a:solidFill>
              <a:latin typeface="+mj-lt"/>
              <a:ea typeface="Segoe UI" pitchFamily="34" charset="0"/>
              <a:cs typeface="Segoe UI" panose="020B0502040204020203" pitchFamily="34" charset="0"/>
            </a:rPr>
            <a:t>Total</a:t>
          </a:r>
          <a:endParaRPr lang="en-US" sz="1200" b="1">
            <a:solidFill>
              <a:schemeClr val="accent4"/>
            </a:solidFill>
            <a:latin typeface="+mj-lt"/>
            <a:ea typeface="Segoe UI" pitchFamily="34" charset="0"/>
            <a:cs typeface="Segoe UI" panose="020B0502040204020203" pitchFamily="34" charset="0"/>
          </a:endParaRPr>
        </a:p>
        <a:p>
          <a:pPr rtl="0" eaLnBrk="1" fontAlgn="auto" latinLnBrk="0" hangingPunct="1"/>
          <a:r>
            <a:rPr lang="pt-BR" sz="1100" b="0" i="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Ex.: [@[Preço Unitário]]*[@[Vendas Realizadas]]</a:t>
          </a:r>
          <a:endParaRPr lang="pt-br" sz="1100" b="0" i="0" kern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17679</xdr:colOff>
      <xdr:row>6</xdr:row>
      <xdr:rowOff>92558</xdr:rowOff>
    </xdr:from>
    <xdr:to>
      <xdr:col>17</xdr:col>
      <xdr:colOff>197813</xdr:colOff>
      <xdr:row>9</xdr:row>
      <xdr:rowOff>145411</xdr:rowOff>
    </xdr:to>
    <xdr:sp macro="" textlink="">
      <xdr:nvSpPr>
        <xdr:cNvPr id="9" name="Seta de Crédito Adicional" descr="Seta">
          <a:extLst>
            <a:ext uri="{FF2B5EF4-FFF2-40B4-BE49-F238E27FC236}">
              <a16:creationId xmlns:a16="http://schemas.microsoft.com/office/drawing/2014/main" id="{A25C594A-796D-4BF9-8C8D-A6188EC62EFA}"/>
            </a:ext>
          </a:extLst>
        </xdr:cNvPr>
        <xdr:cNvSpPr/>
      </xdr:nvSpPr>
      <xdr:spPr>
        <a:xfrm rot="8132977">
          <a:off x="11170093" y="1284544"/>
          <a:ext cx="789734" cy="624353"/>
        </a:xfrm>
        <a:prstGeom prst="arc">
          <a:avLst>
            <a:gd name="adj1" fmla="val 15011426"/>
            <a:gd name="adj2" fmla="val 672396"/>
          </a:avLst>
        </a:prstGeom>
        <a:ln>
          <a:head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 rtl="0"/>
          <a:endParaRPr lang="en-US" sz="1100"/>
        </a:p>
      </xdr:txBody>
    </xdr:sp>
    <xdr:clientData/>
  </xdr:twoCellAnchor>
  <xdr:twoCellAnchor>
    <xdr:from>
      <xdr:col>16</xdr:col>
      <xdr:colOff>555171</xdr:colOff>
      <xdr:row>12</xdr:row>
      <xdr:rowOff>81643</xdr:rowOff>
    </xdr:from>
    <xdr:to>
      <xdr:col>21</xdr:col>
      <xdr:colOff>478971</xdr:colOff>
      <xdr:row>17</xdr:row>
      <xdr:rowOff>4082</xdr:rowOff>
    </xdr:to>
    <xdr:sp macro="" textlink="">
      <xdr:nvSpPr>
        <xdr:cNvPr id="11" name="Etapa" descr="CRÉDITO ADICIONAL&#10;Para elevar um número a determinada potência, use o símbolo de circunflexo (^), como =A1^A2. Para inseri-lo, pressione Shift+~, ao lado da cedilha.&#10;">
          <a:extLst>
            <a:ext uri="{FF2B5EF4-FFF2-40B4-BE49-F238E27FC236}">
              <a16:creationId xmlns:a16="http://schemas.microsoft.com/office/drawing/2014/main" id="{30FA70D1-F174-4B70-9754-523E246AAD5B}"/>
            </a:ext>
          </a:extLst>
        </xdr:cNvPr>
        <xdr:cNvSpPr txBox="1"/>
      </xdr:nvSpPr>
      <xdr:spPr>
        <a:xfrm>
          <a:off x="11707585" y="2465614"/>
          <a:ext cx="2971800" cy="896711"/>
        </a:xfrm>
        <a:prstGeom prst="rect">
          <a:avLst/>
        </a:prstGeom>
        <a:solidFill>
          <a:schemeClr val="bg1">
            <a:alpha val="63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pt-BR" sz="1200" b="1" kern="0">
              <a:solidFill>
                <a:schemeClr val="accent4"/>
              </a:solidFill>
              <a:latin typeface="+mj-lt"/>
              <a:ea typeface="Segoe UI" pitchFamily="34" charset="0"/>
              <a:cs typeface="Segoe UI" panose="020B0502040204020203" pitchFamily="34" charset="0"/>
            </a:rPr>
            <a:t>Total</a:t>
          </a:r>
          <a:endParaRPr lang="en-US" sz="1200" b="1">
            <a:solidFill>
              <a:schemeClr val="accent4"/>
            </a:solidFill>
            <a:latin typeface="+mj-lt"/>
            <a:ea typeface="Segoe UI" pitchFamily="34" charset="0"/>
            <a:cs typeface="Segoe UI" panose="020B0502040204020203" pitchFamily="34" charset="0"/>
          </a:endParaRPr>
        </a:p>
        <a:p>
          <a:pPr rtl="0" eaLnBrk="1" fontAlgn="auto" latinLnBrk="0" hangingPunct="1"/>
          <a:r>
            <a:rPr lang="pt-BR" sz="1100" b="0" i="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Ex.: Preço Unitário * Vendas Realizadas</a:t>
          </a:r>
        </a:p>
        <a:p>
          <a:pPr rtl="0" eaLnBrk="1" fontAlgn="auto" latinLnBrk="0" hangingPunct="1"/>
          <a:r>
            <a:rPr lang="pt-BR" sz="1100" b="0" i="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C2 * D2</a:t>
          </a:r>
          <a:endParaRPr lang="pt-br" sz="1100" b="0" i="0" kern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72110</xdr:colOff>
      <xdr:row>13</xdr:row>
      <xdr:rowOff>107527</xdr:rowOff>
    </xdr:from>
    <xdr:to>
      <xdr:col>17</xdr:col>
      <xdr:colOff>165158</xdr:colOff>
      <xdr:row>16</xdr:row>
      <xdr:rowOff>150855</xdr:rowOff>
    </xdr:to>
    <xdr:sp macro="" textlink="">
      <xdr:nvSpPr>
        <xdr:cNvPr id="12" name="Seta de Crédito Adicional" descr="Seta">
          <a:extLst>
            <a:ext uri="{FF2B5EF4-FFF2-40B4-BE49-F238E27FC236}">
              <a16:creationId xmlns:a16="http://schemas.microsoft.com/office/drawing/2014/main" id="{8BD320B2-5F4F-4D66-B250-B891E03D8FF8}"/>
            </a:ext>
          </a:extLst>
        </xdr:cNvPr>
        <xdr:cNvSpPr/>
      </xdr:nvSpPr>
      <xdr:spPr>
        <a:xfrm rot="8132977">
          <a:off x="11224524" y="2692884"/>
          <a:ext cx="702648" cy="625714"/>
        </a:xfrm>
        <a:prstGeom prst="arc">
          <a:avLst>
            <a:gd name="adj1" fmla="val 15011426"/>
            <a:gd name="adj2" fmla="val 672396"/>
          </a:avLst>
        </a:prstGeom>
        <a:ln>
          <a:head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 rtl="0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8</xdr:col>
      <xdr:colOff>110290</xdr:colOff>
      <xdr:row>25</xdr:row>
      <xdr:rowOff>76199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A436A35C-0B41-427B-A2AF-745C13A14A57}"/>
            </a:ext>
          </a:extLst>
        </xdr:cNvPr>
        <xdr:cNvGrpSpPr/>
      </xdr:nvGrpSpPr>
      <xdr:grpSpPr>
        <a:xfrm>
          <a:off x="152400" y="152400"/>
          <a:ext cx="4834690" cy="4933949"/>
          <a:chOff x="0" y="0"/>
          <a:chExt cx="4848523" cy="4371974"/>
        </a:xfrm>
      </xdr:grpSpPr>
      <xdr:sp macro="" textlink="">
        <xdr:nvSpPr>
          <xdr:cNvPr id="3" name="Plano de Fundo" descr="Plano de Fundo">
            <a:extLst>
              <a:ext uri="{FF2B5EF4-FFF2-40B4-BE49-F238E27FC236}">
                <a16:creationId xmlns:a16="http://schemas.microsoft.com/office/drawing/2014/main" id="{351E6CE6-CE75-4A79-8559-F63315DD1DFB}"/>
              </a:ext>
            </a:extLst>
          </xdr:cNvPr>
          <xdr:cNvSpPr/>
        </xdr:nvSpPr>
        <xdr:spPr>
          <a:xfrm>
            <a:off x="0" y="0"/>
            <a:ext cx="4848523" cy="437197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4" name="Etapa" descr="Adicionar números como um especialista">
            <a:extLst>
              <a:ext uri="{FF2B5EF4-FFF2-40B4-BE49-F238E27FC236}">
                <a16:creationId xmlns:a16="http://schemas.microsoft.com/office/drawing/2014/main" id="{652F373A-AA22-41FD-A462-4EF0FFB68FF9}"/>
              </a:ext>
            </a:extLst>
          </xdr:cNvPr>
          <xdr:cNvSpPr txBox="1"/>
        </xdr:nvSpPr>
        <xdr:spPr>
          <a:xfrm>
            <a:off x="143448" y="43555"/>
            <a:ext cx="4700326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400" b="1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Divisão</a:t>
            </a: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,</a:t>
            </a:r>
            <a:r>
              <a:rPr lang="pt-BR" sz="1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 matemática e metaforicamente falando: </a:t>
            </a:r>
            <a:r>
              <a:rPr lang="pt-BR" sz="1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Ensinar</a:t>
            </a:r>
            <a:r>
              <a:rPr lang="pt-BR" sz="1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 é </a:t>
            </a:r>
            <a:r>
              <a:rPr lang="pt-BR" sz="1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divisão</a:t>
            </a:r>
            <a:r>
              <a:rPr lang="pt-BR" sz="1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 e </a:t>
            </a:r>
            <a:r>
              <a:rPr lang="pt-BR" sz="1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aprender</a:t>
            </a:r>
            <a:r>
              <a:rPr lang="pt-BR" sz="1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 é multiplicação</a:t>
            </a:r>
          </a:p>
        </xdr:txBody>
      </xdr:sp>
      <xdr:cxnSp macro="">
        <xdr:nvCxnSpPr>
          <xdr:cNvPr id="5" name="Linha inferior" descr="Linha decorativa">
            <a:extLst>
              <a:ext uri="{FF2B5EF4-FFF2-40B4-BE49-F238E27FC236}">
                <a16:creationId xmlns:a16="http://schemas.microsoft.com/office/drawing/2014/main" id="{33C2EC66-6ED1-46F1-9F08-3DA7673F14EF}"/>
              </a:ext>
            </a:extLst>
          </xdr:cNvPr>
          <xdr:cNvCxnSpPr>
            <a:cxnSpLocks/>
          </xdr:cNvCxnSpPr>
        </xdr:nvCxnSpPr>
        <xdr:spPr>
          <a:xfrm flipV="1">
            <a:off x="14572" y="4260968"/>
            <a:ext cx="4729330" cy="19509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B77864ED-AD53-45AE-9493-CEF0391072EF}"/>
              </a:ext>
            </a:extLst>
          </xdr:cNvPr>
          <xdr:cNvSpPr txBox="1"/>
        </xdr:nvSpPr>
        <xdr:spPr>
          <a:xfrm>
            <a:off x="46302" y="709201"/>
            <a:ext cx="4677902" cy="2239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6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Nesta atividade vamos aplicar os conceitos de: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Divisão em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Divisão em intervalo de dados</a:t>
            </a: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Dica Especial</a:t>
            </a: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200" b="0" i="0" u="none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Bom, como você deve se lembrar lá das aulas de matemática, é terminantemente proibido dividir qualquer valor por 0. Essa é uma lei fundamental da matemática. Portanto, caso você tente essa divisão, o Excel irá retornar o seguinte erro:</a:t>
            </a:r>
          </a:p>
          <a:p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algn="r"/>
            <a:r>
              <a:rPr lang="pt-BR" sz="1300" b="0" i="1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Fica a dica!</a:t>
            </a:r>
          </a:p>
          <a:p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rtl="0" eaLnBrk="1" fontAlgn="auto" latinLnBrk="0" hangingPunct="1"/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	</a:t>
            </a:r>
          </a:p>
        </xdr:txBody>
      </xdr:sp>
      <xdr:cxnSp macro="">
        <xdr:nvCxnSpPr>
          <xdr:cNvPr id="7" name="Linha inferior" descr="Linha decorativa">
            <a:extLst>
              <a:ext uri="{FF2B5EF4-FFF2-40B4-BE49-F238E27FC236}">
                <a16:creationId xmlns:a16="http://schemas.microsoft.com/office/drawing/2014/main" id="{291513DA-FF3E-49C8-B557-5930FB8EC23D}"/>
              </a:ext>
            </a:extLst>
          </xdr:cNvPr>
          <xdr:cNvCxnSpPr>
            <a:cxnSpLocks/>
          </xdr:cNvCxnSpPr>
        </xdr:nvCxnSpPr>
        <xdr:spPr>
          <a:xfrm flipV="1">
            <a:off x="133888" y="613576"/>
            <a:ext cx="4657256" cy="10648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80D99EB6-289D-43B6-8EEF-722839818D9C}"/>
              </a:ext>
            </a:extLst>
          </xdr:cNvPr>
          <xdr:cNvSpPr txBox="1"/>
        </xdr:nvSpPr>
        <xdr:spPr>
          <a:xfrm>
            <a:off x="1345409" y="2979590"/>
            <a:ext cx="2026536" cy="6158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rtl="0" eaLnBrk="1" fontAlgn="auto" latinLnBrk="0" hangingPunct="1"/>
            <a:r>
              <a:rPr lang="pt-BR" sz="3600" b="0" i="0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#DIV/0</a:t>
            </a: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38100</xdr:colOff>
      <xdr:row>23</xdr:row>
      <xdr:rowOff>1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B134450C-60EA-46B6-AA73-8175A479BA08}"/>
            </a:ext>
          </a:extLst>
        </xdr:cNvPr>
        <xdr:cNvGrpSpPr/>
      </xdr:nvGrpSpPr>
      <xdr:grpSpPr>
        <a:xfrm>
          <a:off x="0" y="0"/>
          <a:ext cx="10401300" cy="4381501"/>
          <a:chOff x="0" y="171450"/>
          <a:chExt cx="10342418" cy="4381501"/>
        </a:xfrm>
      </xdr:grpSpPr>
      <xdr:sp macro="" textlink="">
        <xdr:nvSpPr>
          <xdr:cNvPr id="3" name="Plano de Fundo" descr="Plano de Fundo">
            <a:extLst>
              <a:ext uri="{FF2B5EF4-FFF2-40B4-BE49-F238E27FC236}">
                <a16:creationId xmlns:a16="http://schemas.microsoft.com/office/drawing/2014/main" id="{7A096876-15FB-4A07-AF06-B4257D56ED93}"/>
              </a:ext>
            </a:extLst>
          </xdr:cNvPr>
          <xdr:cNvSpPr/>
        </xdr:nvSpPr>
        <xdr:spPr>
          <a:xfrm>
            <a:off x="0" y="190500"/>
            <a:ext cx="10342418" cy="4333875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 rtl="0"/>
            <a:endParaRPr lang="en-US" sz="1100"/>
          </a:p>
        </xdr:txBody>
      </xdr:sp>
      <xdr:sp macro="" textlink="">
        <xdr:nvSpPr>
          <xdr:cNvPr id="4" name="Etapa" descr="Adicionar números como um especialista">
            <a:extLst>
              <a:ext uri="{FF2B5EF4-FFF2-40B4-BE49-F238E27FC236}">
                <a16:creationId xmlns:a16="http://schemas.microsoft.com/office/drawing/2014/main" id="{E6942196-F1C0-4287-88A6-94CC5E9CB637}"/>
              </a:ext>
            </a:extLst>
          </xdr:cNvPr>
          <xdr:cNvSpPr txBox="1"/>
        </xdr:nvSpPr>
        <xdr:spPr>
          <a:xfrm>
            <a:off x="183823" y="348053"/>
            <a:ext cx="7108907" cy="6318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DESAFIO DO CAPÍTULO 03 - FÓRMULAS MATEMÁTICAS</a:t>
            </a:r>
          </a:p>
        </xdr:txBody>
      </xdr:sp>
      <xdr:sp macro="" textlink="">
        <xdr:nvSpPr>
          <xdr:cNvPr id="5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AD5AE051-C73A-49C0-90A7-7ACCAA5EF6EF}"/>
              </a:ext>
            </a:extLst>
          </xdr:cNvPr>
          <xdr:cNvSpPr txBox="1"/>
        </xdr:nvSpPr>
        <xdr:spPr>
          <a:xfrm>
            <a:off x="93740" y="1026722"/>
            <a:ext cx="10214041" cy="32976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4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Esta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atividade existe para você colocar em prática todo o conhecimento adquirido ao longo deste capítulo. Nós, Professores, vamos dar todo o suporte e apoio possível para que você consiga chegar ao final deste desafio, porém, queremos que você consiga desenvolver esta atividade sozinho e nos apresente apenas o resultado final.</a:t>
            </a:r>
          </a:p>
          <a:p>
            <a:pPr lvl="0" rtl="0">
              <a:defRPr/>
            </a:pPr>
            <a:endParaRPr lang="pt-BR" sz="14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algn="ctr" rtl="0">
              <a:defRPr/>
            </a:pP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A seguir os detalhes para elaboração deste surpreendente exercício, </a:t>
            </a:r>
            <a:r>
              <a:rPr lang="pt-BR" sz="1400" b="1" i="0" kern="1200" baseline="0">
                <a:solidFill>
                  <a:srgbClr val="FF0000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use e abuse de toda a sua criatividade!!!</a:t>
            </a:r>
            <a:endParaRPr lang="pt-BR" sz="14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11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4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Ingredientes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(Vamos precisar de:)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Alguns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operadores matemáticos;</a:t>
            </a:r>
            <a:endParaRPr lang="pt-BR" sz="13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Uma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Criatividade 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Concentração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sym typeface="Wingdings" panose="05000000000000000000" pitchFamily="2" charset="2"/>
              </a:rPr>
              <a:t>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Paciência (totalmente opcional)</a:t>
            </a:r>
          </a:p>
          <a:p>
            <a:pPr lvl="0" rtl="0">
              <a:defRPr/>
            </a:pPr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cxnSp macro="">
        <xdr:nvCxnSpPr>
          <xdr:cNvPr id="6" name="Linha inferior" descr="Linha decorativa">
            <a:extLst>
              <a:ext uri="{FF2B5EF4-FFF2-40B4-BE49-F238E27FC236}">
                <a16:creationId xmlns:a16="http://schemas.microsoft.com/office/drawing/2014/main" id="{0C1F105B-008A-4296-9A18-07DDDFF32F88}"/>
              </a:ext>
            </a:extLst>
          </xdr:cNvPr>
          <xdr:cNvCxnSpPr>
            <a:cxnSpLocks/>
          </xdr:cNvCxnSpPr>
        </xdr:nvCxnSpPr>
        <xdr:spPr>
          <a:xfrm flipV="1">
            <a:off x="142879" y="885825"/>
            <a:ext cx="9993453" cy="21134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7" name="Gráfico 6" descr="Cabeça com Engrenagens">
            <a:extLst>
              <a:ext uri="{FF2B5EF4-FFF2-40B4-BE49-F238E27FC236}">
                <a16:creationId xmlns:a16="http://schemas.microsoft.com/office/drawing/2014/main" id="{65E954DD-EBDF-4221-96C6-055E39049A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flipH="1">
            <a:off x="9434945" y="190500"/>
            <a:ext cx="691862" cy="695325"/>
          </a:xfrm>
          <a:prstGeom prst="rect">
            <a:avLst/>
          </a:prstGeom>
        </xdr:spPr>
      </xdr:pic>
      <xdr:sp macro="" textlink="">
        <xdr:nvSpPr>
          <xdr:cNvPr id="8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B13C6F27-14A9-4E7E-989E-B01549768F7E}"/>
              </a:ext>
            </a:extLst>
          </xdr:cNvPr>
          <xdr:cNvSpPr txBox="1"/>
        </xdr:nvSpPr>
        <xdr:spPr>
          <a:xfrm>
            <a:off x="4822470" y="2388799"/>
            <a:ext cx="5237662" cy="21641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400" b="1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Modo</a:t>
            </a:r>
            <a:r>
              <a:rPr lang="pt-BR" sz="1400" b="1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de Preparo</a:t>
            </a:r>
            <a:r>
              <a:rPr lang="pt-BR" sz="14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 (Como fazer)</a:t>
            </a:r>
          </a:p>
          <a:p>
            <a:pPr lvl="0" rtl="0">
              <a:defRPr/>
            </a:pPr>
            <a:endParaRPr lang="pt-BR" sz="800" b="0" i="0" kern="120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 Selecione o conteúdo do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 intervalo de dados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Converta o intervalo de dados em uma tabela</a:t>
            </a:r>
          </a:p>
          <a:p>
            <a:pPr lvl="0" rtl="0">
              <a:defRPr/>
            </a:pPr>
            <a:r>
              <a:rPr lang="pt-BR" sz="13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</a:t>
            </a:r>
            <a:r>
              <a:rPr lang="pt-BR" sz="18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300" b="0" i="0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  <a:sym typeface="Wingdings" panose="05000000000000000000" pitchFamily="2" charset="2"/>
              </a:rPr>
              <a:t>Nomeie a sua tabela, "seja esperto ao nomear"</a:t>
            </a:r>
          </a:p>
          <a:p>
            <a:pPr lvl="0" rtl="0">
              <a:defRPr/>
            </a:pPr>
            <a:endParaRPr lang="pt-BR" sz="13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  <a:sym typeface="Wingdings" panose="05000000000000000000" pitchFamily="2" charset="2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  <a:p>
            <a:pPr lvl="0" rtl="0">
              <a:defRPr/>
            </a:pPr>
            <a:endParaRPr lang="pt-BR" sz="700" b="0" i="0" kern="1200" baseline="0">
              <a:solidFill>
                <a:schemeClr val="dk1"/>
              </a:solidFill>
              <a:effectLst/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cxnSp macro="">
        <xdr:nvCxnSpPr>
          <xdr:cNvPr id="9" name="Linha inferior" descr="Linha decorativa">
            <a:extLst>
              <a:ext uri="{FF2B5EF4-FFF2-40B4-BE49-F238E27FC236}">
                <a16:creationId xmlns:a16="http://schemas.microsoft.com/office/drawing/2014/main" id="{7B4F6027-34E1-490C-82DF-1F1EEE146D83}"/>
              </a:ext>
            </a:extLst>
          </xdr:cNvPr>
          <xdr:cNvCxnSpPr>
            <a:cxnSpLocks/>
          </xdr:cNvCxnSpPr>
        </xdr:nvCxnSpPr>
        <xdr:spPr>
          <a:xfrm flipV="1">
            <a:off x="4532993" y="2628900"/>
            <a:ext cx="5237" cy="1354514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0" name="Gráfico 9" descr="Cérebro na cabeça">
            <a:extLst>
              <a:ext uri="{FF2B5EF4-FFF2-40B4-BE49-F238E27FC236}">
                <a16:creationId xmlns:a16="http://schemas.microsoft.com/office/drawing/2014/main" id="{00AE3E50-C441-42E6-BAF9-B814D7D76D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838334" y="171450"/>
            <a:ext cx="691336" cy="694800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66675</xdr:rowOff>
    </xdr:from>
    <xdr:to>
      <xdr:col>12</xdr:col>
      <xdr:colOff>38100</xdr:colOff>
      <xdr:row>32</xdr:row>
      <xdr:rowOff>176211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1C377E9-ED07-2365-EC0E-B384D6ACC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38099</xdr:colOff>
      <xdr:row>0</xdr:row>
      <xdr:rowOff>104774</xdr:rowOff>
    </xdr:from>
    <xdr:to>
      <xdr:col>24</xdr:col>
      <xdr:colOff>389000</xdr:colOff>
      <xdr:row>0</xdr:row>
      <xdr:rowOff>952499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1F0906C6-E2C9-085C-90BA-9C414B546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25874" y="104774"/>
          <a:ext cx="1570101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147638</xdr:colOff>
      <xdr:row>0</xdr:row>
      <xdr:rowOff>990600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5B22CF1-6924-16B2-8D2A-2BCA5F8A3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5913" cy="9906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D50FA03-6D1D-4D25-AA7D-A742BE71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DB6BD59-E30E-44E5-8E91-C558DA91C055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[FUNÇÕES ESSENCIAIS]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6CC68BA-5163-49D0-901C-94A8A455AA90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04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26</xdr:row>
      <xdr:rowOff>133350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AC1AE6FE-5145-4E74-AF35-D8DD78B3D5A5}"/>
            </a:ext>
          </a:extLst>
        </xdr:cNvPr>
        <xdr:cNvGrpSpPr/>
      </xdr:nvGrpSpPr>
      <xdr:grpSpPr>
        <a:xfrm>
          <a:off x="6076950" y="495300"/>
          <a:ext cx="5733288" cy="4591050"/>
          <a:chOff x="333375" y="276185"/>
          <a:chExt cx="5695950" cy="4572000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84696C74-1143-42DE-A0A2-3E469EE19E86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67EA6C87-78AC-48F5-922F-BC1357C86FAF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CC804EE8-18ED-4AA4-9FD9-4032DAC350EF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6C493AD3-2185-4381-8675-2AE2BCB21EC5}"/>
                </a:ext>
              </a:extLst>
            </xdr:cNvPr>
            <xdr:cNvCxnSpPr>
              <a:cxnSpLocks/>
            </xdr:cNvCxnSpPr>
          </xdr:nvCxnSpPr>
          <xdr:spPr>
            <a:xfrm>
              <a:off x="174970" y="418628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EDE1F9CE-4354-4FC1-BA1D-E3C1C521CF5D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51DC6A26-B1FA-4D36-948A-E09308833C8D}"/>
              </a:ext>
            </a:extLst>
          </xdr:cNvPr>
          <xdr:cNvSpPr txBox="1"/>
        </xdr:nvSpPr>
        <xdr:spPr>
          <a:xfrm>
            <a:off x="451745" y="994458"/>
            <a:ext cx="5284985" cy="951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Neste capítulo vamos aprender sobre as funções essenciais do Excel. Tais funções se utilizadas de forma correta, encurtarão todo um processo que em geral perde-se muito tempo.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4BF6AF17-D28C-44C8-8B58-57B747D4E2E1}"/>
              </a:ext>
            </a:extLst>
          </xdr:cNvPr>
          <xdr:cNvGrpSpPr/>
        </xdr:nvGrpSpPr>
        <xdr:grpSpPr>
          <a:xfrm>
            <a:off x="552388" y="2141663"/>
            <a:ext cx="5220101" cy="596207"/>
            <a:chOff x="619002" y="8161463"/>
            <a:chExt cx="5186234" cy="596207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E6A3B7F5-24D0-4943-9453-03592262854D}"/>
                </a:ext>
              </a:extLst>
            </xdr:cNvPr>
            <xdr:cNvSpPr txBox="1"/>
          </xdr:nvSpPr>
          <xdr:spPr>
            <a:xfrm>
              <a:off x="1026697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Soma e SomarProduto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4517B231-9E91-46AD-A257-3F0C72E2DB1A}"/>
                </a:ext>
              </a:extLst>
            </xdr:cNvPr>
            <xdr:cNvSpPr/>
          </xdr:nvSpPr>
          <xdr:spPr>
            <a:xfrm>
              <a:off x="619002" y="816146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2EEECCE9-A079-488D-9DE0-87AAEC49F80C}"/>
              </a:ext>
            </a:extLst>
          </xdr:cNvPr>
          <xdr:cNvGrpSpPr/>
        </xdr:nvGrpSpPr>
        <xdr:grpSpPr>
          <a:xfrm>
            <a:off x="552388" y="2684587"/>
            <a:ext cx="5220100" cy="596208"/>
            <a:chOff x="619002" y="8161462"/>
            <a:chExt cx="5186233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EC4E128F-94E7-4958-9D70-CF2AFB6D0770}"/>
                </a:ext>
              </a:extLst>
            </xdr:cNvPr>
            <xdr:cNvSpPr txBox="1"/>
          </xdr:nvSpPr>
          <xdr:spPr>
            <a:xfrm>
              <a:off x="1026696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Média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87EC7475-94CE-4121-A785-2C31E9C9D0D3}"/>
                </a:ext>
              </a:extLst>
            </xdr:cNvPr>
            <xdr:cNvSpPr/>
          </xdr:nvSpPr>
          <xdr:spPr>
            <a:xfrm>
              <a:off x="619002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E9201A02-8FCD-4066-A4B1-95EDCCE2C653}"/>
              </a:ext>
            </a:extLst>
          </xdr:cNvPr>
          <xdr:cNvGrpSpPr/>
        </xdr:nvGrpSpPr>
        <xdr:grpSpPr>
          <a:xfrm>
            <a:off x="571252" y="3256048"/>
            <a:ext cx="5220102" cy="596207"/>
            <a:chOff x="647206" y="8170948"/>
            <a:chExt cx="5186235" cy="596207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BA7C6A0C-E84C-4A9A-8314-01EA1E3D7CD8}"/>
                </a:ext>
              </a:extLst>
            </xdr:cNvPr>
            <xdr:cNvSpPr txBox="1"/>
          </xdr:nvSpPr>
          <xdr:spPr>
            <a:xfrm>
              <a:off x="1054902" y="8212906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Máximo e Mínimo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C19EC377-7976-4CA4-B38E-0879481F5911}"/>
                </a:ext>
              </a:extLst>
            </xdr:cNvPr>
            <xdr:cNvSpPr/>
          </xdr:nvSpPr>
          <xdr:spPr>
            <a:xfrm>
              <a:off x="647206" y="81709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E54831FD-9410-4708-AE53-2839F1863876}"/>
              </a:ext>
            </a:extLst>
          </xdr:cNvPr>
          <xdr:cNvGrpSpPr/>
        </xdr:nvGrpSpPr>
        <xdr:grpSpPr>
          <a:xfrm>
            <a:off x="561851" y="3808537"/>
            <a:ext cx="5220101" cy="596208"/>
            <a:chOff x="628403" y="8161462"/>
            <a:chExt cx="5186234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C876C9A8-3B22-47F1-9FA7-AD93BF09615B}"/>
                </a:ext>
              </a:extLst>
            </xdr:cNvPr>
            <xdr:cNvSpPr txBox="1"/>
          </xdr:nvSpPr>
          <xdr:spPr>
            <a:xfrm>
              <a:off x="1036098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Cont.Núm | Contar.Vazio | Cont.Valores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5090E65D-95C0-4273-993A-6C2433B4B37F}"/>
                </a:ext>
              </a:extLst>
            </xdr:cNvPr>
            <xdr:cNvSpPr/>
          </xdr:nvSpPr>
          <xdr:spPr>
            <a:xfrm>
              <a:off x="628403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21168</xdr:rowOff>
    </xdr:from>
    <xdr:to>
      <xdr:col>2</xdr:col>
      <xdr:colOff>421105</xdr:colOff>
      <xdr:row>8</xdr:row>
      <xdr:rowOff>30079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B1F7EEE5-2028-40E8-A1DA-50F978EE9EF2}"/>
            </a:ext>
          </a:extLst>
        </xdr:cNvPr>
        <xdr:cNvGrpSpPr/>
      </xdr:nvGrpSpPr>
      <xdr:grpSpPr>
        <a:xfrm>
          <a:off x="142875" y="211668"/>
          <a:ext cx="2059405" cy="1447186"/>
          <a:chOff x="3693583" y="1344084"/>
          <a:chExt cx="4792133" cy="3143250"/>
        </a:xfrm>
      </xdr:grpSpPr>
      <xdr:pic>
        <xdr:nvPicPr>
          <xdr:cNvPr id="5" name="Imagem 4" descr="Resultado de imagem para ORÃAMENTO DOMÃSTICO">
            <a:extLst>
              <a:ext uri="{FF2B5EF4-FFF2-40B4-BE49-F238E27FC236}">
                <a16:creationId xmlns:a16="http://schemas.microsoft.com/office/drawing/2014/main" id="{F276A7B2-0437-4FA0-8C9C-930F569AB1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93583" y="1344084"/>
            <a:ext cx="4792133" cy="3143250"/>
          </a:xfrm>
          <a:prstGeom prst="round2DiagRect">
            <a:avLst>
              <a:gd name="adj1" fmla="val 9260"/>
              <a:gd name="adj2" fmla="val 0"/>
            </a:avLst>
          </a:prstGeom>
          <a:ln w="88900" cap="sq">
            <a:solidFill>
              <a:srgbClr val="FFFFFF"/>
            </a:solidFill>
            <a:miter lim="800000"/>
          </a:ln>
          <a:effectLst>
            <a:outerShdw blurRad="254000" algn="tl" rotWithShape="0">
              <a:srgbClr val="000000">
                <a:alpha val="43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98C3F116-2A51-4FF5-A215-0808719E3F57}"/>
              </a:ext>
            </a:extLst>
          </xdr:cNvPr>
          <xdr:cNvSpPr txBox="1"/>
        </xdr:nvSpPr>
        <xdr:spPr>
          <a:xfrm>
            <a:off x="3746501" y="3767667"/>
            <a:ext cx="4662677" cy="645583"/>
          </a:xfrm>
          <a:prstGeom prst="round2DiagRect">
            <a:avLst>
              <a:gd name="adj1" fmla="val 4945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pt-BR" sz="1200">
                <a:latin typeface="Berlin Sans FB" panose="020E0602020502020306" pitchFamily="34" charset="0"/>
              </a:rPr>
              <a:t>ORÇAMENTO DOMÉSTICO</a:t>
            </a: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56164</xdr:colOff>
      <xdr:row>1</xdr:row>
      <xdr:rowOff>4152</xdr:rowOff>
    </xdr:from>
    <xdr:to>
      <xdr:col>18</xdr:col>
      <xdr:colOff>491688</xdr:colOff>
      <xdr:row>10</xdr:row>
      <xdr:rowOff>153983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5DCD978-0E13-4FE9-A2AB-A913120ED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212148</xdr:colOff>
      <xdr:row>11</xdr:row>
      <xdr:rowOff>355023</xdr:rowOff>
    </xdr:from>
    <xdr:to>
      <xdr:col>8</xdr:col>
      <xdr:colOff>535998</xdr:colOff>
      <xdr:row>21</xdr:row>
      <xdr:rowOff>66098</xdr:rowOff>
    </xdr:to>
    <xdr:grpSp>
      <xdr:nvGrpSpPr>
        <xdr:cNvPr id="6" name="Grupo 105">
          <a:extLst>
            <a:ext uri="{FF2B5EF4-FFF2-40B4-BE49-F238E27FC236}">
              <a16:creationId xmlns:a16="http://schemas.microsoft.com/office/drawing/2014/main" id="{2D78B728-B8EB-4A1A-85F1-628736EE9F44}"/>
            </a:ext>
          </a:extLst>
        </xdr:cNvPr>
        <xdr:cNvGrpSpPr/>
      </xdr:nvGrpSpPr>
      <xdr:grpSpPr>
        <a:xfrm>
          <a:off x="212148" y="2602923"/>
          <a:ext cx="6000750" cy="1863725"/>
          <a:chOff x="333375" y="276185"/>
          <a:chExt cx="5695950" cy="2416418"/>
        </a:xfrm>
      </xdr:grpSpPr>
      <xdr:grpSp>
        <xdr:nvGrpSpPr>
          <xdr:cNvPr id="7" name="Instrução Adicionar números">
            <a:extLst>
              <a:ext uri="{FF2B5EF4-FFF2-40B4-BE49-F238E27FC236}">
                <a16:creationId xmlns:a16="http://schemas.microsoft.com/office/drawing/2014/main" id="{B35EF385-43BE-4860-9637-EAF46DA32ABC}"/>
              </a:ext>
            </a:extLst>
          </xdr:cNvPr>
          <xdr:cNvGrpSpPr/>
        </xdr:nvGrpSpPr>
        <xdr:grpSpPr>
          <a:xfrm>
            <a:off x="333375" y="276185"/>
            <a:ext cx="5695950" cy="2416418"/>
            <a:chOff x="0" y="9584"/>
            <a:chExt cx="5695950" cy="2441589"/>
          </a:xfrm>
        </xdr:grpSpPr>
        <xdr:sp macro="" textlink="">
          <xdr:nvSpPr>
            <xdr:cNvPr id="11" name="Plano de Fundo" descr="Plano de Fundo">
              <a:extLst>
                <a:ext uri="{FF2B5EF4-FFF2-40B4-BE49-F238E27FC236}">
                  <a16:creationId xmlns:a16="http://schemas.microsoft.com/office/drawing/2014/main" id="{1991EF15-AF37-415A-8C01-8BFEF796D3C5}"/>
                </a:ext>
              </a:extLst>
            </xdr:cNvPr>
            <xdr:cNvSpPr/>
          </xdr:nvSpPr>
          <xdr:spPr>
            <a:xfrm>
              <a:off x="0" y="9584"/>
              <a:ext cx="5695950" cy="244158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12" name="Etapa" descr="Noções básicas: fazer cálculos no Excel&#10;">
              <a:extLst>
                <a:ext uri="{FF2B5EF4-FFF2-40B4-BE49-F238E27FC236}">
                  <a16:creationId xmlns:a16="http://schemas.microsoft.com/office/drawing/2014/main" id="{439FA3D8-F4A0-4979-80C9-38CBF6F66B6C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13" name="Linha superior" descr="Linha decorativa">
              <a:extLst>
                <a:ext uri="{FF2B5EF4-FFF2-40B4-BE49-F238E27FC236}">
                  <a16:creationId xmlns:a16="http://schemas.microsoft.com/office/drawing/2014/main" id="{7A18C1D1-4BAE-4A6A-A25E-4CB601311D5F}"/>
                </a:ext>
              </a:extLst>
            </xdr:cNvPr>
            <xdr:cNvCxnSpPr>
              <a:cxnSpLocks/>
            </xdr:cNvCxnSpPr>
          </xdr:nvCxnSpPr>
          <xdr:spPr>
            <a:xfrm>
              <a:off x="174977" y="909554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372C6359-6D95-4901-A9D0-552A07F1DD1F}"/>
              </a:ext>
            </a:extLst>
          </xdr:cNvPr>
          <xdr:cNvSpPr txBox="1"/>
        </xdr:nvSpPr>
        <xdr:spPr>
          <a:xfrm>
            <a:off x="442289" y="1274979"/>
            <a:ext cx="5284985" cy="9511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Calcular a média salarial dos funcionário da Yto Nihon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650196</xdr:colOff>
      <xdr:row>12</xdr:row>
      <xdr:rowOff>47625</xdr:rowOff>
    </xdr:from>
    <xdr:to>
      <xdr:col>21</xdr:col>
      <xdr:colOff>523873</xdr:colOff>
      <xdr:row>20</xdr:row>
      <xdr:rowOff>38101</xdr:rowOff>
    </xdr:to>
    <xdr:grpSp>
      <xdr:nvGrpSpPr>
        <xdr:cNvPr id="8" name="CRÉDITO ADICIONAL" descr="CRÉDITO ADICIONAL&#10;&#10;">
          <a:extLst>
            <a:ext uri="{FF2B5EF4-FFF2-40B4-BE49-F238E27FC236}">
              <a16:creationId xmlns:a16="http://schemas.microsoft.com/office/drawing/2014/main" id="{0392066E-2AF3-45B7-8718-D3BAFB3FCB0B}"/>
            </a:ext>
          </a:extLst>
        </xdr:cNvPr>
        <xdr:cNvGrpSpPr/>
      </xdr:nvGrpSpPr>
      <xdr:grpSpPr>
        <a:xfrm>
          <a:off x="9870396" y="2571750"/>
          <a:ext cx="6684052" cy="1514476"/>
          <a:chOff x="8823970" y="3895724"/>
          <a:chExt cx="6645023" cy="1514476"/>
        </a:xfrm>
      </xdr:grpSpPr>
      <xdr:sp macro="" textlink="">
        <xdr:nvSpPr>
          <xdr:cNvPr id="9" name="Etapa" descr="CRÉDITO ADICIONAL&#10;Para elevar um número a determinada potência, use o símbolo de circunflexo (^), como =A1^A2. Para inseri-lo, pressione Shift+~, ao lado da cedilha.&#10;">
            <a:extLst>
              <a:ext uri="{FF2B5EF4-FFF2-40B4-BE49-F238E27FC236}">
                <a16:creationId xmlns:a16="http://schemas.microsoft.com/office/drawing/2014/main" id="{083A882B-7E30-40EA-BD1B-7D3C03A9488D}"/>
              </a:ext>
            </a:extLst>
          </xdr:cNvPr>
          <xdr:cNvSpPr txBox="1"/>
        </xdr:nvSpPr>
        <xdr:spPr>
          <a:xfrm>
            <a:off x="9768427" y="3895724"/>
            <a:ext cx="5700566" cy="1514476"/>
          </a:xfrm>
          <a:prstGeom prst="rect">
            <a:avLst/>
          </a:prstGeom>
          <a:solidFill>
            <a:schemeClr val="bg1">
              <a:alpha val="63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 rtl="0">
              <a:defRPr/>
            </a:pPr>
            <a:r>
              <a:rPr lang="pt-BR" sz="1800" b="1" kern="0">
                <a:solidFill>
                  <a:srgbClr val="FF0000"/>
                </a:solidFill>
                <a:latin typeface="+mj-lt"/>
                <a:ea typeface="Segoe UI" pitchFamily="34" charset="0"/>
                <a:cs typeface="Segoe UI" panose="020B0502040204020203" pitchFamily="34" charset="0"/>
              </a:rPr>
              <a:t>Nesta atividade vamos usar as funções Máximo</a:t>
            </a:r>
            <a:r>
              <a:rPr lang="pt-BR" sz="1800" b="1" kern="0" baseline="0">
                <a:solidFill>
                  <a:srgbClr val="FF0000"/>
                </a:solidFill>
                <a:latin typeface="+mj-lt"/>
                <a:ea typeface="Segoe UI" pitchFamily="34" charset="0"/>
                <a:cs typeface="Segoe UI" panose="020B0502040204020203" pitchFamily="34" charset="0"/>
              </a:rPr>
              <a:t> e Mínimo</a:t>
            </a:r>
            <a:endParaRPr lang="en-US" sz="1800" b="1">
              <a:solidFill>
                <a:srgbClr val="FF0000"/>
              </a:solidFill>
              <a:latin typeface="+mj-lt"/>
              <a:ea typeface="Segoe UI" pitchFamily="34" charset="0"/>
              <a:cs typeface="Segoe UI" panose="020B0502040204020203" pitchFamily="34" charset="0"/>
            </a:endParaRPr>
          </a:p>
          <a:p>
            <a:pPr rtl="0" eaLnBrk="1" fontAlgn="auto" latinLnBrk="0" hangingPunct="1"/>
            <a:r>
              <a:rPr lang="pt-BR" sz="1600" b="0" i="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Será necessário descobrir quais foram as máximas e mínimas vendas por trimestre e por fim descobrir qual foi o valor máximo e mínimo ao longo do ano.</a:t>
            </a:r>
            <a:endParaRPr lang="pt-br" sz="1100" b="0" i="0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0" name="Faixa de opções de crédito adicional" descr="Dinheiro">
            <a:extLst>
              <a:ext uri="{FF2B5EF4-FFF2-40B4-BE49-F238E27FC236}">
                <a16:creationId xmlns:a16="http://schemas.microsoft.com/office/drawing/2014/main" id="{97BB1336-9FBE-418A-A78C-06AA193698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8887774" y="4198200"/>
            <a:ext cx="817175" cy="821975"/>
          </a:xfrm>
          <a:prstGeom prst="rect">
            <a:avLst/>
          </a:prstGeom>
        </xdr:spPr>
      </xdr:pic>
      <xdr:sp macro="" textlink="">
        <xdr:nvSpPr>
          <xdr:cNvPr id="11" name="Seta de Crédito Adicional" descr="Seta">
            <a:extLst>
              <a:ext uri="{FF2B5EF4-FFF2-40B4-BE49-F238E27FC236}">
                <a16:creationId xmlns:a16="http://schemas.microsoft.com/office/drawing/2014/main" id="{F34CB428-0305-48B4-BC2E-28F2B8B6F86E}"/>
              </a:ext>
            </a:extLst>
          </xdr:cNvPr>
          <xdr:cNvSpPr/>
        </xdr:nvSpPr>
        <xdr:spPr>
          <a:xfrm rot="8215083" flipH="1" flipV="1">
            <a:off x="8823970" y="4083726"/>
            <a:ext cx="459331" cy="409879"/>
          </a:xfrm>
          <a:prstGeom prst="arc">
            <a:avLst>
              <a:gd name="adj1" fmla="val 15011426"/>
              <a:gd name="adj2" fmla="val 672396"/>
            </a:avLst>
          </a:prstGeom>
          <a:ln>
            <a:solidFill>
              <a:srgbClr val="FF0000"/>
            </a:solidFill>
            <a:headEnd type="triangle"/>
          </a:ln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 rtl="0"/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219075</xdr:colOff>
      <xdr:row>1</xdr:row>
      <xdr:rowOff>38100</xdr:rowOff>
    </xdr:from>
    <xdr:to>
      <xdr:col>20</xdr:col>
      <xdr:colOff>533400</xdr:colOff>
      <xdr:row>15</xdr:row>
      <xdr:rowOff>104775</xdr:rowOff>
    </xdr:to>
    <xdr:grpSp>
      <xdr:nvGrpSpPr>
        <xdr:cNvPr id="3" name="Grupo 105">
          <a:extLst>
            <a:ext uri="{FF2B5EF4-FFF2-40B4-BE49-F238E27FC236}">
              <a16:creationId xmlns:a16="http://schemas.microsoft.com/office/drawing/2014/main" id="{7F044B6F-8F1B-4B1D-896E-668ED1ECB73B}"/>
            </a:ext>
          </a:extLst>
        </xdr:cNvPr>
        <xdr:cNvGrpSpPr/>
      </xdr:nvGrpSpPr>
      <xdr:grpSpPr>
        <a:xfrm>
          <a:off x="4705350" y="238125"/>
          <a:ext cx="7277100" cy="2867025"/>
          <a:chOff x="333375" y="276185"/>
          <a:chExt cx="5695950" cy="3717249"/>
        </a:xfrm>
      </xdr:grpSpPr>
      <xdr:grpSp>
        <xdr:nvGrpSpPr>
          <xdr:cNvPr id="5" name="Instrução Adicionar números">
            <a:extLst>
              <a:ext uri="{FF2B5EF4-FFF2-40B4-BE49-F238E27FC236}">
                <a16:creationId xmlns:a16="http://schemas.microsoft.com/office/drawing/2014/main" id="{9BF7E7F1-0148-4D3C-8996-2E29D7D5003C}"/>
              </a:ext>
            </a:extLst>
          </xdr:cNvPr>
          <xdr:cNvGrpSpPr/>
        </xdr:nvGrpSpPr>
        <xdr:grpSpPr>
          <a:xfrm>
            <a:off x="333375" y="276185"/>
            <a:ext cx="5695950" cy="3692550"/>
            <a:chOff x="0" y="9584"/>
            <a:chExt cx="5695950" cy="3731014"/>
          </a:xfrm>
        </xdr:grpSpPr>
        <xdr:sp macro="" textlink="">
          <xdr:nvSpPr>
            <xdr:cNvPr id="7" name="Plano de Fundo" descr="Plano de Fundo">
              <a:extLst>
                <a:ext uri="{FF2B5EF4-FFF2-40B4-BE49-F238E27FC236}">
                  <a16:creationId xmlns:a16="http://schemas.microsoft.com/office/drawing/2014/main" id="{9089783D-744D-47D6-A5D8-F7C8AADC508E}"/>
                </a:ext>
              </a:extLst>
            </xdr:cNvPr>
            <xdr:cNvSpPr/>
          </xdr:nvSpPr>
          <xdr:spPr>
            <a:xfrm>
              <a:off x="0" y="9584"/>
              <a:ext cx="5695950" cy="373101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8" name="Etapa" descr="Noções básicas: fazer cálculos no Excel&#10;">
              <a:extLst>
                <a:ext uri="{FF2B5EF4-FFF2-40B4-BE49-F238E27FC236}">
                  <a16:creationId xmlns:a16="http://schemas.microsoft.com/office/drawing/2014/main" id="{F780EF7F-5384-4FD6-BF34-37DB76B5A496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Nestas atividades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9" name="Linha superior" descr="Linha decorativa">
              <a:extLst>
                <a:ext uri="{FF2B5EF4-FFF2-40B4-BE49-F238E27FC236}">
                  <a16:creationId xmlns:a16="http://schemas.microsoft.com/office/drawing/2014/main" id="{520CA0CF-FEB6-463B-9E28-5386D18636EC}"/>
                </a:ext>
              </a:extLst>
            </xdr:cNvPr>
            <xdr:cNvCxnSpPr>
              <a:cxnSpLocks/>
            </xdr:cNvCxnSpPr>
          </xdr:nvCxnSpPr>
          <xdr:spPr>
            <a:xfrm>
              <a:off x="174977" y="909554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CB00DC0E-9D28-4214-B0B7-F580261C925E}"/>
              </a:ext>
            </a:extLst>
          </xdr:cNvPr>
          <xdr:cNvSpPr txBox="1"/>
        </xdr:nvSpPr>
        <xdr:spPr>
          <a:xfrm>
            <a:off x="442289" y="1274979"/>
            <a:ext cx="5284985" cy="27184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Quantos clientes pagaram?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Quantos clientes são devedores?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Quantos clientes temos?</a:t>
            </a:r>
            <a:endPara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Com base nos questionamentos acima, vamos utilizar as funções: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 Cont.núm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 Contar.vazio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- Cont.valores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Aguarde orientações do seu professor para praticar esta atividade.</a:t>
            </a:r>
          </a:p>
        </xdr:txBody>
      </xdr:sp>
    </xdr:grpSp>
    <xdr:clientData/>
  </xdr:twoCellAnchor>
  <xdr:twoCellAnchor editAs="oneCell">
    <xdr:from>
      <xdr:col>18</xdr:col>
      <xdr:colOff>209549</xdr:colOff>
      <xdr:row>0</xdr:row>
      <xdr:rowOff>47624</xdr:rowOff>
    </xdr:from>
    <xdr:to>
      <xdr:col>19</xdr:col>
      <xdr:colOff>523874</xdr:colOff>
      <xdr:row>4</xdr:row>
      <xdr:rowOff>171449</xdr:rowOff>
    </xdr:to>
    <xdr:pic>
      <xdr:nvPicPr>
        <xdr:cNvPr id="10" name="Gráfico 9" descr="Time">
          <a:extLst>
            <a:ext uri="{FF2B5EF4-FFF2-40B4-BE49-F238E27FC236}">
              <a16:creationId xmlns:a16="http://schemas.microsoft.com/office/drawing/2014/main" id="{8E3BCE56-9492-4572-B025-6EBC1D1AC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39399" y="47624"/>
          <a:ext cx="923925" cy="9239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181034</xdr:colOff>
      <xdr:row>0</xdr:row>
      <xdr:rowOff>228600</xdr:rowOff>
    </xdr:from>
    <xdr:to>
      <xdr:col>2</xdr:col>
      <xdr:colOff>523875</xdr:colOff>
      <xdr:row>8</xdr:row>
      <xdr:rowOff>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52D1333-6505-4073-9EDD-DF11D751E2A8}"/>
            </a:ext>
          </a:extLst>
        </xdr:cNvPr>
        <xdr:cNvGrpSpPr/>
      </xdr:nvGrpSpPr>
      <xdr:grpSpPr>
        <a:xfrm>
          <a:off x="181034" y="228600"/>
          <a:ext cx="2269008" cy="1358900"/>
          <a:chOff x="266759" y="676275"/>
          <a:chExt cx="3162241" cy="2095499"/>
        </a:xfrm>
      </xdr:grpSpPr>
      <xdr:pic>
        <xdr:nvPicPr>
          <xdr:cNvPr id="2" name="Imagem 1" descr="Imagem relacionada">
            <a:extLst>
              <a:ext uri="{FF2B5EF4-FFF2-40B4-BE49-F238E27FC236}">
                <a16:creationId xmlns:a16="http://schemas.microsoft.com/office/drawing/2014/main" id="{D16C3E21-08BD-4822-9660-85712C9F7C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759" y="676275"/>
            <a:ext cx="3162241" cy="2095499"/>
          </a:xfrm>
          <a:prstGeom prst="round2DiagRect">
            <a:avLst>
              <a:gd name="adj1" fmla="val 16667"/>
              <a:gd name="adj2" fmla="val 0"/>
            </a:avLst>
          </a:prstGeom>
          <a:ln w="88900" cap="sq">
            <a:solidFill>
              <a:srgbClr val="FFFFFF"/>
            </a:solidFill>
            <a:miter lim="800000"/>
          </a:ln>
          <a:effectLst>
            <a:outerShdw blurRad="254000" algn="tl" rotWithShape="0">
              <a:srgbClr val="000000">
                <a:alpha val="43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CaixaDeTexto 2">
            <a:extLst>
              <a:ext uri="{FF2B5EF4-FFF2-40B4-BE49-F238E27FC236}">
                <a16:creationId xmlns:a16="http://schemas.microsoft.com/office/drawing/2014/main" id="{61FA99EB-9EA9-4C7D-8192-CBE8286D55DA}"/>
              </a:ext>
            </a:extLst>
          </xdr:cNvPr>
          <xdr:cNvSpPr txBox="1"/>
        </xdr:nvSpPr>
        <xdr:spPr>
          <a:xfrm>
            <a:off x="428625" y="2333625"/>
            <a:ext cx="2747355" cy="399522"/>
          </a:xfrm>
          <a:prstGeom prst="round2DiagRect">
            <a:avLst>
              <a:gd name="adj1" fmla="val 4945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pt-BR" sz="1200">
                <a:latin typeface="Berlin Sans FB" panose="020E0602020502020306" pitchFamily="34" charset="0"/>
              </a:rPr>
              <a:t>CUSTOS</a:t>
            </a:r>
            <a:r>
              <a:rPr lang="pt-BR" sz="1200" baseline="0">
                <a:latin typeface="Berlin Sans FB" panose="020E0602020502020306" pitchFamily="34" charset="0"/>
              </a:rPr>
              <a:t> DE ESCRITÓRIO</a:t>
            </a:r>
            <a:endParaRPr lang="pt-BR" sz="1200">
              <a:latin typeface="Berlin Sans FB" panose="020E0602020502020306" pitchFamily="34" charset="0"/>
            </a:endParaRPr>
          </a:p>
        </xdr:txBody>
      </xdr:sp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257175</xdr:colOff>
      <xdr:row>0</xdr:row>
      <xdr:rowOff>142875</xdr:rowOff>
    </xdr:from>
    <xdr:to>
      <xdr:col>15</xdr:col>
      <xdr:colOff>408110</xdr:colOff>
      <xdr:row>10</xdr:row>
      <xdr:rowOff>57150</xdr:rowOff>
    </xdr:to>
    <xdr:grpSp>
      <xdr:nvGrpSpPr>
        <xdr:cNvPr id="3" name="Grupo 105">
          <a:extLst>
            <a:ext uri="{FF2B5EF4-FFF2-40B4-BE49-F238E27FC236}">
              <a16:creationId xmlns:a16="http://schemas.microsoft.com/office/drawing/2014/main" id="{6B50D135-CF01-4BD0-82B9-F5E9308B42D0}"/>
            </a:ext>
          </a:extLst>
        </xdr:cNvPr>
        <xdr:cNvGrpSpPr/>
      </xdr:nvGrpSpPr>
      <xdr:grpSpPr>
        <a:xfrm>
          <a:off x="4105275" y="142875"/>
          <a:ext cx="7275635" cy="1838325"/>
          <a:chOff x="333375" y="276185"/>
          <a:chExt cx="5695950" cy="2383485"/>
        </a:xfrm>
      </xdr:grpSpPr>
      <xdr:grpSp>
        <xdr:nvGrpSpPr>
          <xdr:cNvPr id="4" name="Instrução Adicionar números">
            <a:extLst>
              <a:ext uri="{FF2B5EF4-FFF2-40B4-BE49-F238E27FC236}">
                <a16:creationId xmlns:a16="http://schemas.microsoft.com/office/drawing/2014/main" id="{386DC633-5C8A-4169-ACB4-A873F503867C}"/>
              </a:ext>
            </a:extLst>
          </xdr:cNvPr>
          <xdr:cNvGrpSpPr/>
        </xdr:nvGrpSpPr>
        <xdr:grpSpPr>
          <a:xfrm>
            <a:off x="333375" y="276185"/>
            <a:ext cx="5695950" cy="2358786"/>
            <a:chOff x="0" y="9584"/>
            <a:chExt cx="5695950" cy="2383357"/>
          </a:xfrm>
        </xdr:grpSpPr>
        <xdr:sp macro="" textlink="">
          <xdr:nvSpPr>
            <xdr:cNvPr id="6" name="Plano de Fundo" descr="Plano de Fundo">
              <a:extLst>
                <a:ext uri="{FF2B5EF4-FFF2-40B4-BE49-F238E27FC236}">
                  <a16:creationId xmlns:a16="http://schemas.microsoft.com/office/drawing/2014/main" id="{CAF3D295-F940-4F8A-971E-A9AC12C11929}"/>
                </a:ext>
              </a:extLst>
            </xdr:cNvPr>
            <xdr:cNvSpPr/>
          </xdr:nvSpPr>
          <xdr:spPr>
            <a:xfrm>
              <a:off x="0" y="9584"/>
              <a:ext cx="5695950" cy="2383357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7" name="Etapa" descr="Noções básicas: fazer cálculos no Excel&#10;">
              <a:extLst>
                <a:ext uri="{FF2B5EF4-FFF2-40B4-BE49-F238E27FC236}">
                  <a16:creationId xmlns:a16="http://schemas.microsoft.com/office/drawing/2014/main" id="{0B64B202-5130-4256-A110-FD6372185952}"/>
                </a:ext>
              </a:extLst>
            </xdr:cNvPr>
            <xdr:cNvSpPr txBox="1"/>
          </xdr:nvSpPr>
          <xdr:spPr>
            <a:xfrm>
              <a:off x="184433" y="118697"/>
              <a:ext cx="1418485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Desafio Filiais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8" name="Linha superior" descr="Linha decorativa">
              <a:extLst>
                <a:ext uri="{FF2B5EF4-FFF2-40B4-BE49-F238E27FC236}">
                  <a16:creationId xmlns:a16="http://schemas.microsoft.com/office/drawing/2014/main" id="{67EA4018-7A6B-435E-B562-05C2D1CCC3B7}"/>
                </a:ext>
              </a:extLst>
            </xdr:cNvPr>
            <xdr:cNvCxnSpPr>
              <a:cxnSpLocks/>
            </xdr:cNvCxnSpPr>
          </xdr:nvCxnSpPr>
          <xdr:spPr>
            <a:xfrm>
              <a:off x="174977" y="909554"/>
              <a:ext cx="1793257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80EF426A-3D13-4976-96EA-458B2DB35CE2}"/>
              </a:ext>
            </a:extLst>
          </xdr:cNvPr>
          <xdr:cNvSpPr txBox="1"/>
        </xdr:nvSpPr>
        <xdr:spPr>
          <a:xfrm>
            <a:off x="442289" y="1274979"/>
            <a:ext cx="5284985" cy="13846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Agora que você aprendeu e conheceu funções essenciais para o seu dia a dia, chegou a hora de colocar em prática todo esse conhecimento adquirido.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Precisamos de um relatório resumo com base nas informações da tabela filiais 2018.</a:t>
            </a:r>
          </a:p>
        </xdr:txBody>
      </xdr:sp>
    </xdr:grpSp>
    <xdr:clientData/>
  </xdr:twoCellAnchor>
  <xdr:twoCellAnchor editAs="oneCell">
    <xdr:from>
      <xdr:col>14</xdr:col>
      <xdr:colOff>171451</xdr:colOff>
      <xdr:row>1</xdr:row>
      <xdr:rowOff>19051</xdr:rowOff>
    </xdr:from>
    <xdr:to>
      <xdr:col>15</xdr:col>
      <xdr:colOff>447675</xdr:colOff>
      <xdr:row>4</xdr:row>
      <xdr:rowOff>158233</xdr:rowOff>
    </xdr:to>
    <xdr:pic>
      <xdr:nvPicPr>
        <xdr:cNvPr id="2" name="Imagem 1" descr="Resultado de imagem para relatÃ³rio icone">
          <a:extLst>
            <a:ext uri="{FF2B5EF4-FFF2-40B4-BE49-F238E27FC236}">
              <a16:creationId xmlns:a16="http://schemas.microsoft.com/office/drawing/2014/main" id="{72D1F4E9-A66B-4CE1-8CE2-EE14A19A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1" y="209551"/>
          <a:ext cx="885824" cy="729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</xdr:row>
      <xdr:rowOff>0</xdr:rowOff>
    </xdr:from>
    <xdr:to>
      <xdr:col>6</xdr:col>
      <xdr:colOff>314325</xdr:colOff>
      <xdr:row>8</xdr:row>
      <xdr:rowOff>180974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AE7CD3D4-69BF-4239-81DE-E842BD276465}"/>
            </a:ext>
          </a:extLst>
        </xdr:cNvPr>
        <xdr:cNvGrpSpPr/>
      </xdr:nvGrpSpPr>
      <xdr:grpSpPr>
        <a:xfrm>
          <a:off x="161925" y="190500"/>
          <a:ext cx="3114675" cy="1571624"/>
          <a:chOff x="323850" y="504824"/>
          <a:chExt cx="2733675" cy="1435179"/>
        </a:xfrm>
      </xdr:grpSpPr>
      <xdr:pic>
        <xdr:nvPicPr>
          <xdr:cNvPr id="2" name="Imagem 1" descr="Resultado de imagem para METAS VENDAS">
            <a:extLst>
              <a:ext uri="{FF2B5EF4-FFF2-40B4-BE49-F238E27FC236}">
                <a16:creationId xmlns:a16="http://schemas.microsoft.com/office/drawing/2014/main" id="{E376E3E5-C659-4A7F-834F-78D6A1EE0B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3850" y="504824"/>
            <a:ext cx="2733675" cy="1435179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CaixaDeTexto 2">
            <a:extLst>
              <a:ext uri="{FF2B5EF4-FFF2-40B4-BE49-F238E27FC236}">
                <a16:creationId xmlns:a16="http://schemas.microsoft.com/office/drawing/2014/main" id="{53401247-FC9D-4A9D-BCD9-79B6301969CF}"/>
              </a:ext>
            </a:extLst>
          </xdr:cNvPr>
          <xdr:cNvSpPr txBox="1"/>
        </xdr:nvSpPr>
        <xdr:spPr>
          <a:xfrm>
            <a:off x="428626" y="1514475"/>
            <a:ext cx="2457450" cy="399522"/>
          </a:xfrm>
          <a:prstGeom prst="round2DiagRect">
            <a:avLst>
              <a:gd name="adj1" fmla="val 49454"/>
              <a:gd name="adj2" fmla="val 0"/>
            </a:avLst>
          </a:prstGeom>
          <a:solidFill>
            <a:schemeClr val="bg1">
              <a:alpha val="69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pt-BR" sz="1800">
                <a:latin typeface="Berlin Sans FB" panose="020E0602020502020306" pitchFamily="34" charset="0"/>
              </a:rPr>
              <a:t>METAS 2019</a:t>
            </a:r>
          </a:p>
        </xdr:txBody>
      </xdr:sp>
    </xdr:grpSp>
    <xdr:clientData/>
  </xdr:twoCellAnchor>
  <xdr:twoCellAnchor>
    <xdr:from>
      <xdr:col>0</xdr:col>
      <xdr:colOff>85725</xdr:colOff>
      <xdr:row>10</xdr:row>
      <xdr:rowOff>19050</xdr:rowOff>
    </xdr:from>
    <xdr:to>
      <xdr:col>6</xdr:col>
      <xdr:colOff>219075</xdr:colOff>
      <xdr:row>14</xdr:row>
      <xdr:rowOff>190499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BF67721-229D-4570-9378-9814A51DA352}"/>
            </a:ext>
          </a:extLst>
        </xdr:cNvPr>
        <xdr:cNvSpPr txBox="1"/>
      </xdr:nvSpPr>
      <xdr:spPr>
        <a:xfrm>
          <a:off x="85725" y="1971675"/>
          <a:ext cx="2552700" cy="942974"/>
        </a:xfrm>
        <a:prstGeom prst="round2DiagRect">
          <a:avLst>
            <a:gd name="adj1" fmla="val 49454"/>
            <a:gd name="adj2" fmla="val 0"/>
          </a:avLst>
        </a:prstGeom>
        <a:solidFill>
          <a:schemeClr val="bg1">
            <a:alpha val="69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a meta principal de um capitão</a:t>
          </a:r>
        </a:p>
        <a:p>
          <a:pPr algn="ctr"/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fosse preservar seu barco, </a:t>
          </a:r>
        </a:p>
        <a:p>
          <a:pPr algn="ctr"/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ele o conservaria no porto para sempre.</a:t>
          </a:r>
          <a:endParaRPr lang="pt-BR" sz="1800">
            <a:latin typeface="Berlin Sans FB" panose="020E0602020502020306" pitchFamily="34" charset="0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728F9A6-B95B-4C3C-BC42-276783338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266700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2803B86-299B-4D69-9474-3B3AEFFF26F1}"/>
            </a:ext>
          </a:extLst>
        </xdr:cNvPr>
        <xdr:cNvSpPr txBox="1"/>
      </xdr:nvSpPr>
      <xdr:spPr>
        <a:xfrm flipH="1">
          <a:off x="193866" y="1139631"/>
          <a:ext cx="5559234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TRATAMENTO DE NÚMEROS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81E451F-6862-4C83-801E-1F66A81C7FD4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05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23</xdr:row>
      <xdr:rowOff>76199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A148B897-2C8D-43A6-A301-520B2D1B4E55}"/>
            </a:ext>
          </a:extLst>
        </xdr:cNvPr>
        <xdr:cNvGrpSpPr/>
      </xdr:nvGrpSpPr>
      <xdr:grpSpPr>
        <a:xfrm>
          <a:off x="6088774" y="495300"/>
          <a:ext cx="5746426" cy="3962399"/>
          <a:chOff x="333375" y="276185"/>
          <a:chExt cx="5695950" cy="3945958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BC125D9B-5DD1-4A22-B1F1-1F2E3C7E577B}"/>
              </a:ext>
            </a:extLst>
          </xdr:cNvPr>
          <xdr:cNvGrpSpPr/>
        </xdr:nvGrpSpPr>
        <xdr:grpSpPr>
          <a:xfrm>
            <a:off x="333375" y="276185"/>
            <a:ext cx="5695950" cy="3945958"/>
            <a:chOff x="0" y="9584"/>
            <a:chExt cx="5695950" cy="3987062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8ACB309A-4F0B-449D-BDD6-5EACB01C21BC}"/>
                </a:ext>
              </a:extLst>
            </xdr:cNvPr>
            <xdr:cNvSpPr/>
          </xdr:nvSpPr>
          <xdr:spPr>
            <a:xfrm>
              <a:off x="0" y="9584"/>
              <a:ext cx="5695950" cy="3987062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645003AA-48D8-4AE6-BB31-F444CEADBDE9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938E88B4-CC55-4CB1-A264-9F8C62CDDFB7}"/>
                </a:ext>
              </a:extLst>
            </xdr:cNvPr>
            <xdr:cNvCxnSpPr>
              <a:cxnSpLocks/>
            </xdr:cNvCxnSpPr>
          </xdr:nvCxnSpPr>
          <xdr:spPr>
            <a:xfrm>
              <a:off x="203359" y="3774163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E2C78B7E-F1B9-4E37-BB25-1B99F7720ED0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0FBDA136-6539-4EAF-B831-5D3E93885E44}"/>
              </a:ext>
            </a:extLst>
          </xdr:cNvPr>
          <xdr:cNvSpPr txBox="1"/>
        </xdr:nvSpPr>
        <xdr:spPr>
          <a:xfrm>
            <a:off x="451745" y="994458"/>
            <a:ext cx="5284985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Neste capítulo vamos aprender a fazer o correto tratamento de valores numéricos no Excel utilizando funções de arredondamento.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DA7FF02D-3CC8-482B-B964-8A6E3514693F}"/>
              </a:ext>
            </a:extLst>
          </xdr:cNvPr>
          <xdr:cNvGrpSpPr/>
        </xdr:nvGrpSpPr>
        <xdr:grpSpPr>
          <a:xfrm>
            <a:off x="561851" y="1676874"/>
            <a:ext cx="5220101" cy="596208"/>
            <a:chOff x="628404" y="7696674"/>
            <a:chExt cx="5186234" cy="596208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73B4FD04-087C-4F43-84B4-324917D3F708}"/>
                </a:ext>
              </a:extLst>
            </xdr:cNvPr>
            <xdr:cNvSpPr txBox="1"/>
          </xdr:nvSpPr>
          <xdr:spPr>
            <a:xfrm>
              <a:off x="1036099" y="7738633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Arred, Arredondar para baixo e Arredondar para cima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69EA213A-EF51-4419-9B46-90928A6ACEAC}"/>
                </a:ext>
              </a:extLst>
            </xdr:cNvPr>
            <xdr:cNvSpPr/>
          </xdr:nvSpPr>
          <xdr:spPr>
            <a:xfrm>
              <a:off x="628404" y="7696674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C246E5CD-5255-410E-B4BF-C86289F7EF73}"/>
              </a:ext>
            </a:extLst>
          </xdr:cNvPr>
          <xdr:cNvGrpSpPr/>
        </xdr:nvGrpSpPr>
        <xdr:grpSpPr>
          <a:xfrm>
            <a:off x="561851" y="2219799"/>
            <a:ext cx="5220099" cy="596208"/>
            <a:chOff x="628404" y="7696674"/>
            <a:chExt cx="5186232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EA8A4D77-EA9B-4B4B-8806-7B7E4B319C04}"/>
                </a:ext>
              </a:extLst>
            </xdr:cNvPr>
            <xdr:cNvSpPr txBox="1"/>
          </xdr:nvSpPr>
          <xdr:spPr>
            <a:xfrm>
              <a:off x="1036097" y="7738633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Truncar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BA42419B-6E50-40AD-ACC2-D309D9EF83F0}"/>
                </a:ext>
              </a:extLst>
            </xdr:cNvPr>
            <xdr:cNvSpPr/>
          </xdr:nvSpPr>
          <xdr:spPr>
            <a:xfrm>
              <a:off x="628404" y="7696674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219706CB-937B-4AB6-A0AD-7D94E2340A4B}"/>
              </a:ext>
            </a:extLst>
          </xdr:cNvPr>
          <xdr:cNvGrpSpPr/>
        </xdr:nvGrpSpPr>
        <xdr:grpSpPr>
          <a:xfrm>
            <a:off x="580715" y="2791259"/>
            <a:ext cx="5220102" cy="596208"/>
            <a:chOff x="656608" y="7706159"/>
            <a:chExt cx="5186235" cy="596208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BD83C557-0F27-4CA6-903C-219CD343ACB8}"/>
                </a:ext>
              </a:extLst>
            </xdr:cNvPr>
            <xdr:cNvSpPr txBox="1"/>
          </xdr:nvSpPr>
          <xdr:spPr>
            <a:xfrm>
              <a:off x="1064304" y="7748118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Int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6C39C4D6-16C1-475B-BA12-15850EF018BB}"/>
                </a:ext>
              </a:extLst>
            </xdr:cNvPr>
            <xdr:cNvSpPr/>
          </xdr:nvSpPr>
          <xdr:spPr>
            <a:xfrm>
              <a:off x="656608" y="7706159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BEA4CD2A-4F15-406C-A29D-51AF23F5B291}"/>
              </a:ext>
            </a:extLst>
          </xdr:cNvPr>
          <xdr:cNvGrpSpPr/>
        </xdr:nvGrpSpPr>
        <xdr:grpSpPr>
          <a:xfrm>
            <a:off x="571314" y="3343749"/>
            <a:ext cx="5220100" cy="596208"/>
            <a:chOff x="637805" y="7696674"/>
            <a:chExt cx="5186233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B8052778-7599-4FC5-8103-0BA8A25E5340}"/>
                </a:ext>
              </a:extLst>
            </xdr:cNvPr>
            <xdr:cNvSpPr txBox="1"/>
          </xdr:nvSpPr>
          <xdr:spPr>
            <a:xfrm>
              <a:off x="1045499" y="7738633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Abs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F9EB555E-5B41-4DFC-8F17-DAF288907F63}"/>
                </a:ext>
              </a:extLst>
            </xdr:cNvPr>
            <xdr:cNvSpPr/>
          </xdr:nvSpPr>
          <xdr:spPr>
            <a:xfrm>
              <a:off x="637805" y="7696674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507726</xdr:colOff>
      <xdr:row>0</xdr:row>
      <xdr:rowOff>76200</xdr:rowOff>
    </xdr:from>
    <xdr:to>
      <xdr:col>3</xdr:col>
      <xdr:colOff>223631</xdr:colOff>
      <xdr:row>3</xdr:row>
      <xdr:rowOff>149086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53CE33A-8CAE-4D66-BF24-7BDEF86E8DED}"/>
            </a:ext>
          </a:extLst>
        </xdr:cNvPr>
        <xdr:cNvSpPr txBox="1"/>
      </xdr:nvSpPr>
      <xdr:spPr>
        <a:xfrm>
          <a:off x="507726" y="76200"/>
          <a:ext cx="2507144" cy="644386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/>
            <a:t>Informações</a:t>
          </a:r>
          <a:r>
            <a:rPr lang="pt-BR" sz="1400" baseline="0"/>
            <a:t> desta atividade</a:t>
          </a:r>
        </a:p>
        <a:p>
          <a:pPr algn="ctr"/>
          <a:endParaRPr lang="pt-BR" sz="1000" baseline="0"/>
        </a:p>
        <a:p>
          <a:pPr algn="ctr"/>
          <a:r>
            <a:rPr lang="pt-BR" sz="1000"/>
            <a:t>Usar a função arred na média final de peças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455545</xdr:colOff>
      <xdr:row>1</xdr:row>
      <xdr:rowOff>124239</xdr:rowOff>
    </xdr:from>
    <xdr:to>
      <xdr:col>10</xdr:col>
      <xdr:colOff>496957</xdr:colOff>
      <xdr:row>12</xdr:row>
      <xdr:rowOff>108088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B3210731-2307-42A9-8B2B-7B979B290C9A}"/>
            </a:ext>
          </a:extLst>
        </xdr:cNvPr>
        <xdr:cNvGrpSpPr/>
      </xdr:nvGrpSpPr>
      <xdr:grpSpPr>
        <a:xfrm>
          <a:off x="5484745" y="314739"/>
          <a:ext cx="3775212" cy="2174599"/>
          <a:chOff x="333375" y="276185"/>
          <a:chExt cx="2956240" cy="2803374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CDCE2760-D4DC-4775-AD98-27F941413CCD}"/>
              </a:ext>
            </a:extLst>
          </xdr:cNvPr>
          <xdr:cNvGrpSpPr/>
        </xdr:nvGrpSpPr>
        <xdr:grpSpPr>
          <a:xfrm>
            <a:off x="333375" y="276185"/>
            <a:ext cx="2839547" cy="2778675"/>
            <a:chOff x="0" y="9584"/>
            <a:chExt cx="2839547" cy="2807619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FBBDEAE4-645C-4A40-931F-F734D2D52096}"/>
                </a:ext>
              </a:extLst>
            </xdr:cNvPr>
            <xdr:cNvSpPr/>
          </xdr:nvSpPr>
          <xdr:spPr>
            <a:xfrm>
              <a:off x="0" y="9584"/>
              <a:ext cx="2839547" cy="280761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ADAF85CF-5902-4E7A-BDA3-F453973CD042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AF63FBED-E747-42AB-8959-B81559D59CA0}"/>
                </a:ext>
              </a:extLst>
            </xdr:cNvPr>
            <xdr:cNvCxnSpPr>
              <a:cxnSpLocks/>
            </xdr:cNvCxnSpPr>
          </xdr:nvCxnSpPr>
          <xdr:spPr>
            <a:xfrm>
              <a:off x="174977" y="90955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6317EC90-0F3E-42C9-A273-35D388620861}"/>
              </a:ext>
            </a:extLst>
          </xdr:cNvPr>
          <xdr:cNvSpPr txBox="1"/>
        </xdr:nvSpPr>
        <xdr:spPr>
          <a:xfrm>
            <a:off x="442289" y="1274979"/>
            <a:ext cx="2847326" cy="18045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Arrendondar para baixo o total de descontos, 2 dig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Arredondar para cima o total de acréscimos, 2 dig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1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Utilizaremos nesta atividade as funções</a:t>
            </a: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 ARREDONDAR.PARA.BAIXO e ARREDONDAR.PARA.CIMA</a:t>
            </a:r>
          </a:p>
        </xdr:txBody>
      </xdr:sp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188722</xdr:colOff>
      <xdr:row>3</xdr:row>
      <xdr:rowOff>103954</xdr:rowOff>
    </xdr:from>
    <xdr:to>
      <xdr:col>8</xdr:col>
      <xdr:colOff>330868</xdr:colOff>
      <xdr:row>10</xdr:row>
      <xdr:rowOff>546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69234229-C639-4E21-88FD-CF81ECA47DBE}"/>
            </a:ext>
          </a:extLst>
        </xdr:cNvPr>
        <xdr:cNvGrpSpPr/>
      </xdr:nvGrpSpPr>
      <xdr:grpSpPr>
        <a:xfrm>
          <a:off x="2970022" y="675454"/>
          <a:ext cx="5057046" cy="1230092"/>
          <a:chOff x="333375" y="276185"/>
          <a:chExt cx="2956240" cy="1593107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D7FA4030-84CB-42DF-9D2D-77DBDFA45311}"/>
              </a:ext>
            </a:extLst>
          </xdr:cNvPr>
          <xdr:cNvGrpSpPr/>
        </xdr:nvGrpSpPr>
        <xdr:grpSpPr>
          <a:xfrm>
            <a:off x="333375" y="276185"/>
            <a:ext cx="2839547" cy="1593107"/>
            <a:chOff x="0" y="9584"/>
            <a:chExt cx="2839547" cy="1609702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A03E8475-A023-4F4D-A264-3E89E0B8FCA2}"/>
                </a:ext>
              </a:extLst>
            </xdr:cNvPr>
            <xdr:cNvSpPr/>
          </xdr:nvSpPr>
          <xdr:spPr>
            <a:xfrm>
              <a:off x="0" y="9584"/>
              <a:ext cx="2839547" cy="1609702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831C44A8-ADAE-4BBD-B8EA-9E692FC444FF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096592B4-DCC4-476B-930D-BCC472237E5C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8FC97FFE-E585-4708-9617-7E736A548AF9}"/>
              </a:ext>
            </a:extLst>
          </xdr:cNvPr>
          <xdr:cNvSpPr txBox="1"/>
        </xdr:nvSpPr>
        <xdr:spPr>
          <a:xfrm>
            <a:off x="442289" y="1139133"/>
            <a:ext cx="2847326" cy="5449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Utilizar a função INT para arredondar os valores de entrada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Obs.: Arredonda um número para baixo até o inteiro mais próximo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405847</xdr:colOff>
      <xdr:row>3</xdr:row>
      <xdr:rowOff>16566</xdr:rowOff>
    </xdr:from>
    <xdr:to>
      <xdr:col>12</xdr:col>
      <xdr:colOff>281610</xdr:colOff>
      <xdr:row>15</xdr:row>
      <xdr:rowOff>16565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4A288057-035B-4A99-BD25-56D537A82D63}"/>
            </a:ext>
          </a:extLst>
        </xdr:cNvPr>
        <xdr:cNvGrpSpPr/>
      </xdr:nvGrpSpPr>
      <xdr:grpSpPr>
        <a:xfrm>
          <a:off x="5587447" y="588066"/>
          <a:ext cx="5247863" cy="2285999"/>
          <a:chOff x="333375" y="276186"/>
          <a:chExt cx="2959533" cy="2963919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B24A1A27-C68B-4084-9215-F28359898E01}"/>
              </a:ext>
            </a:extLst>
          </xdr:cNvPr>
          <xdr:cNvGrpSpPr/>
        </xdr:nvGrpSpPr>
        <xdr:grpSpPr>
          <a:xfrm>
            <a:off x="333375" y="276186"/>
            <a:ext cx="2959533" cy="2963919"/>
            <a:chOff x="0" y="9585"/>
            <a:chExt cx="2959533" cy="2994794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EC154C5B-E8DE-4871-B693-ACA6FA930432}"/>
                </a:ext>
              </a:extLst>
            </xdr:cNvPr>
            <xdr:cNvSpPr/>
          </xdr:nvSpPr>
          <xdr:spPr>
            <a:xfrm>
              <a:off x="0" y="9585"/>
              <a:ext cx="2959533" cy="299479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50D40F1A-9B24-4205-B9DB-202FBBD4812A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8A7B3E0D-1350-40C7-B717-FD7FEBD3B75F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73ED67DC-8C51-4A6D-B94A-833BD46336B5}"/>
              </a:ext>
            </a:extLst>
          </xdr:cNvPr>
          <xdr:cNvSpPr txBox="1"/>
        </xdr:nvSpPr>
        <xdr:spPr>
          <a:xfrm>
            <a:off x="442289" y="1139133"/>
            <a:ext cx="2847326" cy="2025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* Vamos utilizar a função ABS para retornar o valor absoluto de um número, sem sinal</a:t>
            </a: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pt-BR" sz="1100" b="0" i="0" kern="1200">
                <a:solidFill>
                  <a:sysClr val="windowText" lastClr="000000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aritmética, o valor absoluto de qualquer número se refere a sua magnitude e não ao sinal que pode ter, seja ele positivo ou negativo.</a:t>
            </a:r>
            <a:br>
              <a:rPr lang="pt-BR" sz="110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</a:br>
            <a:br>
              <a:rPr lang="pt-BR" sz="110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</a:br>
            <a:r>
              <a:rPr lang="pt-BR" sz="1100" b="0" i="0" kern="1200">
                <a:solidFill>
                  <a:sysClr val="windowText" lastClr="000000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O valor absoluto de -2 ou +2 é o mesmo número 2. Vale destacar que todos os números exceto o 0 (zero) são positivos ou negativos, mas o valor absoluto de um número é sempre positivo. Em termos matemáticos, o valor absoluto é uma operação que permite qualquer número tornar-se positivo.</a:t>
            </a:r>
            <a:br>
              <a:rPr lang="pt-BR" sz="110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</a:b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A901ED9-F275-4739-ADA6-51FC4884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193864</xdr:colOff>
      <xdr:row>5</xdr:row>
      <xdr:rowOff>187131</xdr:rowOff>
    </xdr:from>
    <xdr:to>
      <xdr:col>10</xdr:col>
      <xdr:colOff>123824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F8D0903-7803-4BDC-8428-B811556C852F}"/>
            </a:ext>
          </a:extLst>
        </xdr:cNvPr>
        <xdr:cNvSpPr txBox="1"/>
      </xdr:nvSpPr>
      <xdr:spPr>
        <a:xfrm flipH="1">
          <a:off x="193864" y="1139631"/>
          <a:ext cx="6025960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CÁLCULOS DE DATA E HORA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7645347-36DE-4D7E-813F-7017D399FA21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06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26</xdr:row>
      <xdr:rowOff>133350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3A118F44-DD0F-4A29-9519-78DCE38CFFDF}"/>
            </a:ext>
          </a:extLst>
        </xdr:cNvPr>
        <xdr:cNvGrpSpPr/>
      </xdr:nvGrpSpPr>
      <xdr:grpSpPr>
        <a:xfrm>
          <a:off x="6076950" y="495300"/>
          <a:ext cx="5733288" cy="4591050"/>
          <a:chOff x="333375" y="276185"/>
          <a:chExt cx="5695950" cy="4572000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4BB52447-2890-446A-9879-062CD8CB4857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6F344A12-DC7F-4526-877E-8507F819A142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EA972EE3-C81A-4A72-9D83-8BC0DA318833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AD32FC9A-1976-45B9-90F3-B504D5048E99}"/>
                </a:ext>
              </a:extLst>
            </xdr:cNvPr>
            <xdr:cNvCxnSpPr>
              <a:cxnSpLocks/>
            </xdr:cNvCxnSpPr>
          </xdr:nvCxnSpPr>
          <xdr:spPr>
            <a:xfrm>
              <a:off x="174970" y="418628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8A9F100E-EF5D-416E-B33B-47AD63508FBB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752937EA-C3B6-4213-9267-F20A5FB74A76}"/>
              </a:ext>
            </a:extLst>
          </xdr:cNvPr>
          <xdr:cNvSpPr txBox="1"/>
        </xdr:nvSpPr>
        <xdr:spPr>
          <a:xfrm>
            <a:off x="451745" y="994458"/>
            <a:ext cx="5284985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Você sabia que é totalmente possível fazer cálculos entre datas e números no Excel? Vou mais além nisso, você sabia que muitos usuários perdem tempo criando fórmulas e funções mirabolantes sendo que basta fazer um cálculo simples? Você vai aprender tudo isso neste capítulo.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D32F6AA1-57FF-47B5-95EE-6F0357A5A900}"/>
              </a:ext>
            </a:extLst>
          </xdr:cNvPr>
          <xdr:cNvGrpSpPr/>
        </xdr:nvGrpSpPr>
        <xdr:grpSpPr>
          <a:xfrm>
            <a:off x="552388" y="2141663"/>
            <a:ext cx="5220101" cy="596207"/>
            <a:chOff x="619002" y="8161463"/>
            <a:chExt cx="5186234" cy="596207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F3B36FC6-814E-4A2B-BBBF-D63D3A707785}"/>
                </a:ext>
              </a:extLst>
            </xdr:cNvPr>
            <xdr:cNvSpPr txBox="1"/>
          </xdr:nvSpPr>
          <xdr:spPr>
            <a:xfrm>
              <a:off x="1026697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Calculo entre datas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24FDDC88-29C4-4842-A5BB-6B5B07BE402B}"/>
                </a:ext>
              </a:extLst>
            </xdr:cNvPr>
            <xdr:cNvSpPr/>
          </xdr:nvSpPr>
          <xdr:spPr>
            <a:xfrm>
              <a:off x="619002" y="816146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6B3A6008-5A40-4C46-A2E9-422CDEBB5369}"/>
              </a:ext>
            </a:extLst>
          </xdr:cNvPr>
          <xdr:cNvGrpSpPr/>
        </xdr:nvGrpSpPr>
        <xdr:grpSpPr>
          <a:xfrm>
            <a:off x="552388" y="2684587"/>
            <a:ext cx="5220100" cy="596208"/>
            <a:chOff x="619002" y="8161462"/>
            <a:chExt cx="5186233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9C72AF26-B40F-45F3-A1F5-8A5C92D1BDE1}"/>
                </a:ext>
              </a:extLst>
            </xdr:cNvPr>
            <xdr:cNvSpPr txBox="1"/>
          </xdr:nvSpPr>
          <xdr:spPr>
            <a:xfrm>
              <a:off x="1026696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Calculo entre datas e valores numéricos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9BF4EBE2-9120-49A5-B21F-0B917F8B4CBD}"/>
                </a:ext>
              </a:extLst>
            </xdr:cNvPr>
            <xdr:cNvSpPr/>
          </xdr:nvSpPr>
          <xdr:spPr>
            <a:xfrm>
              <a:off x="619002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14D5CF5A-9198-4897-B857-5CFE31B00919}"/>
              </a:ext>
            </a:extLst>
          </xdr:cNvPr>
          <xdr:cNvGrpSpPr/>
        </xdr:nvGrpSpPr>
        <xdr:grpSpPr>
          <a:xfrm>
            <a:off x="571252" y="3256048"/>
            <a:ext cx="5220102" cy="596207"/>
            <a:chOff x="647206" y="8170948"/>
            <a:chExt cx="5186235" cy="596207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57D2434F-3BB8-4D8C-B4DA-F4CE2B370B59}"/>
                </a:ext>
              </a:extLst>
            </xdr:cNvPr>
            <xdr:cNvSpPr txBox="1"/>
          </xdr:nvSpPr>
          <xdr:spPr>
            <a:xfrm>
              <a:off x="1054902" y="8212906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Entendendo a formatação de números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A09A7F52-4B5F-4BCF-9A3C-E724EE619644}"/>
                </a:ext>
              </a:extLst>
            </xdr:cNvPr>
            <xdr:cNvSpPr/>
          </xdr:nvSpPr>
          <xdr:spPr>
            <a:xfrm>
              <a:off x="647206" y="81709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E6309A49-8B70-4E94-A2AB-1CB413801E86}"/>
              </a:ext>
            </a:extLst>
          </xdr:cNvPr>
          <xdr:cNvGrpSpPr/>
        </xdr:nvGrpSpPr>
        <xdr:grpSpPr>
          <a:xfrm>
            <a:off x="561851" y="3808537"/>
            <a:ext cx="5220101" cy="596208"/>
            <a:chOff x="628403" y="8161462"/>
            <a:chExt cx="5186234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1AA4124F-14C6-48B4-BBC2-D88ECC8A3B72}"/>
                </a:ext>
              </a:extLst>
            </xdr:cNvPr>
            <xdr:cNvSpPr txBox="1"/>
          </xdr:nvSpPr>
          <xdr:spPr>
            <a:xfrm>
              <a:off x="1036098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O que o Excel realmente entende quando fazemos cálculos entre formatações distintas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9E9C4829-0BEE-4CCA-9F16-AF718E19442D}"/>
                </a:ext>
              </a:extLst>
            </xdr:cNvPr>
            <xdr:cNvSpPr/>
          </xdr:nvSpPr>
          <xdr:spPr>
            <a:xfrm>
              <a:off x="628403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333375</xdr:colOff>
      <xdr:row>1</xdr:row>
      <xdr:rowOff>157369</xdr:rowOff>
    </xdr:from>
    <xdr:to>
      <xdr:col>17</xdr:col>
      <xdr:colOff>73820</xdr:colOff>
      <xdr:row>15</xdr:row>
      <xdr:rowOff>57150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CAB77B70-97A8-4AD9-9063-3D00690EF76B}"/>
            </a:ext>
          </a:extLst>
        </xdr:cNvPr>
        <xdr:cNvGrpSpPr/>
      </xdr:nvGrpSpPr>
      <xdr:grpSpPr>
        <a:xfrm>
          <a:off x="3381375" y="347869"/>
          <a:ext cx="7303295" cy="2566781"/>
          <a:chOff x="333374" y="276186"/>
          <a:chExt cx="2836537" cy="337655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CEED4113-5994-4E32-ACF0-9D5B85F302EC}"/>
              </a:ext>
            </a:extLst>
          </xdr:cNvPr>
          <xdr:cNvGrpSpPr/>
        </xdr:nvGrpSpPr>
        <xdr:grpSpPr>
          <a:xfrm>
            <a:off x="333374" y="276186"/>
            <a:ext cx="2836537" cy="3364020"/>
            <a:chOff x="-1" y="9585"/>
            <a:chExt cx="2836537" cy="3399062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D0ABEC94-A695-4D85-97D2-4DEB4CD76707}"/>
                </a:ext>
              </a:extLst>
            </xdr:cNvPr>
            <xdr:cNvSpPr/>
          </xdr:nvSpPr>
          <xdr:spPr>
            <a:xfrm>
              <a:off x="-1" y="9585"/>
              <a:ext cx="2836537" cy="3399062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AC9C1257-F6E2-40A2-A0D5-B520725C2034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Cálculos de data e hora no Excel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38FCAC11-BEF9-4D37-96B1-9D002B509E44}"/>
                </a:ext>
              </a:extLst>
            </xdr:cNvPr>
            <xdr:cNvCxnSpPr>
              <a:cxnSpLocks/>
            </xdr:cNvCxnSpPr>
          </xdr:nvCxnSpPr>
          <xdr:spPr>
            <a:xfrm>
              <a:off x="145391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A9C19D5C-766E-4C31-820D-0C96E5435838}"/>
              </a:ext>
            </a:extLst>
          </xdr:cNvPr>
          <xdr:cNvSpPr txBox="1"/>
        </xdr:nvSpPr>
        <xdr:spPr>
          <a:xfrm>
            <a:off x="442289" y="1139132"/>
            <a:ext cx="2723923" cy="25136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Quando o Excel olha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para essa informação </a:t>
            </a:r>
            <a:r>
              <a:rPr lang="pt-BR" sz="1200" b="1" i="0" u="none" strike="noStrike" kern="1200" baseline="0">
                <a:solidFill>
                  <a:srgbClr val="FF0000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30/09/1985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na realidade ele está enxergando o número </a:t>
            </a:r>
            <a:r>
              <a:rPr lang="pt-BR" sz="1200" b="1" i="0" u="none" strike="noStrike" kern="1200" baseline="0">
                <a:solidFill>
                  <a:srgbClr val="FF0000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31320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Legal, não é mesmo?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Mas isso tudo acontece, pois, o Excel permite o cálculo entre datas e números decimais no Excel.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Por Exemplo: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15/12/2018 + 3 vai trazer como resultado o dia 18/12/2018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Agora que você aprendeu isso, vai ficar muito mais fácil de entender esse capítulo do seu treinamento.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482600</xdr:colOff>
      <xdr:row>11</xdr:row>
      <xdr:rowOff>19050</xdr:rowOff>
    </xdr:to>
    <xdr:pic>
      <xdr:nvPicPr>
        <xdr:cNvPr id="8" name="Imagem 7" descr="Retirado do google images">
          <a:extLst>
            <a:ext uri="{FF2B5EF4-FFF2-40B4-BE49-F238E27FC236}">
              <a16:creationId xmlns:a16="http://schemas.microsoft.com/office/drawing/2014/main" id="{BB67CD7B-E103-48FA-8908-9E3F30A7D3B6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33" b="11511"/>
        <a:stretch/>
      </xdr:blipFill>
      <xdr:spPr bwMode="auto">
        <a:xfrm>
          <a:off x="0" y="0"/>
          <a:ext cx="3530600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8</xdr:row>
      <xdr:rowOff>98740</xdr:rowOff>
    </xdr:from>
    <xdr:to>
      <xdr:col>5</xdr:col>
      <xdr:colOff>476250</xdr:colOff>
      <xdr:row>23</xdr:row>
      <xdr:rowOff>127634</xdr:rowOff>
    </xdr:to>
    <xdr:pic>
      <xdr:nvPicPr>
        <xdr:cNvPr id="9" name="Imagem 8" descr="Uma imagem contendo homem, pessoa, parede, interior&#10;&#10;Descrição gerada automaticamente">
          <a:extLst>
            <a:ext uri="{FF2B5EF4-FFF2-40B4-BE49-F238E27FC236}">
              <a16:creationId xmlns:a16="http://schemas.microsoft.com/office/drawing/2014/main" id="{008DEAC0-E6CB-472F-886C-BA1EED8E08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grayscl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9907" l="10000" r="90000">
                      <a14:foregroundMark x1="50313" y1="78796" x2="50313" y2="78796"/>
                      <a14:foregroundMark x1="39792" y1="88796" x2="39688" y2="88796"/>
                      <a14:foregroundMark x1="39792" y1="88796" x2="39792" y2="88796"/>
                      <a14:foregroundMark x1="39792" y1="88796" x2="34063" y2="99907"/>
                      <a14:foregroundMark x1="34063" y1="99907" x2="34063" y2="99907"/>
                      <a14:foregroundMark x1="34844" y1="90648" x2="25156" y2="99074"/>
                      <a14:foregroundMark x1="24792" y1="98241" x2="24323" y2="98426"/>
                      <a14:foregroundMark x1="23906" y1="98889" x2="22292" y2="99722"/>
                      <a14:foregroundMark x1="66250" y1="93981" x2="70938" y2="98148"/>
                      <a14:foregroundMark x1="70938" y1="98148" x2="75000" y2="99444"/>
                      <a14:backgroundMark x1="73177" y1="42037" x2="75938" y2="57870"/>
                      <a14:backgroundMark x1="77552" y1="64815" x2="79479" y2="79815"/>
                      <a14:backgroundMark x1="79479" y1="79815" x2="81458" y2="8675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4000" t="21333" r="24308"/>
        <a:stretch/>
      </xdr:blipFill>
      <xdr:spPr>
        <a:xfrm>
          <a:off x="152400" y="1622740"/>
          <a:ext cx="3371850" cy="288639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323022</xdr:colOff>
      <xdr:row>1</xdr:row>
      <xdr:rowOff>165652</xdr:rowOff>
    </xdr:from>
    <xdr:to>
      <xdr:col>13</xdr:col>
      <xdr:colOff>2900</xdr:colOff>
      <xdr:row>11</xdr:row>
      <xdr:rowOff>74543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6E57407B-A80B-4DBE-A368-B659B59EDFC2}"/>
            </a:ext>
          </a:extLst>
        </xdr:cNvPr>
        <xdr:cNvGrpSpPr/>
      </xdr:nvGrpSpPr>
      <xdr:grpSpPr>
        <a:xfrm>
          <a:off x="4609272" y="356152"/>
          <a:ext cx="5271053" cy="1737691"/>
          <a:chOff x="333375" y="276186"/>
          <a:chExt cx="2959533" cy="268471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731D3A81-1DA0-4E2F-AF32-28B62D518AD9}"/>
              </a:ext>
            </a:extLst>
          </xdr:cNvPr>
          <xdr:cNvGrpSpPr/>
        </xdr:nvGrpSpPr>
        <xdr:grpSpPr>
          <a:xfrm>
            <a:off x="333375" y="276186"/>
            <a:ext cx="2959533" cy="2684711"/>
            <a:chOff x="0" y="9585"/>
            <a:chExt cx="2959533" cy="2712677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83010A6F-5D09-4AC0-B9DF-7E1E6EFA781D}"/>
                </a:ext>
              </a:extLst>
            </xdr:cNvPr>
            <xdr:cNvSpPr/>
          </xdr:nvSpPr>
          <xdr:spPr>
            <a:xfrm>
              <a:off x="0" y="9585"/>
              <a:ext cx="2959533" cy="2712677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5F1A1BE9-052C-4501-974D-F86BADAFCC0F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F074C74B-EFDD-4F93-835A-28B9694EBD41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B65EDC33-9792-4E80-93A8-5E2564ABEC1D}"/>
              </a:ext>
            </a:extLst>
          </xdr:cNvPr>
          <xdr:cNvSpPr txBox="1"/>
        </xdr:nvSpPr>
        <xdr:spPr>
          <a:xfrm>
            <a:off x="442289" y="1139134"/>
            <a:ext cx="2847326" cy="16284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Cálculo de horas trabalhadas e formatação de célula hh:mm:ss</a:t>
            </a:r>
            <a:r>
              <a:rPr lang="pt-BR" sz="1100">
                <a:latin typeface="Segoe UI" panose="020B0502040204020203" pitchFamily="34" charset="0"/>
                <a:cs typeface="Segoe UI" panose="020B0502040204020203" pitchFamily="34" charset="0"/>
              </a:rPr>
              <a:t> 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100"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Será necessário, após fazer o cálculo de horas trabalhadas, fazer a formatação como Hora.</a:t>
            </a:r>
          </a:p>
        </xdr:txBody>
      </xdr:sp>
    </xdr:grpSp>
    <xdr:clientData/>
  </xdr:twoCellAnchor>
  <xdr:twoCellAnchor>
    <xdr:from>
      <xdr:col>4</xdr:col>
      <xdr:colOff>389282</xdr:colOff>
      <xdr:row>12</xdr:row>
      <xdr:rowOff>107675</xdr:rowOff>
    </xdr:from>
    <xdr:to>
      <xdr:col>13</xdr:col>
      <xdr:colOff>124239</xdr:colOff>
      <xdr:row>17</xdr:row>
      <xdr:rowOff>190501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1BEA2C6-09C3-4786-B070-E17C13743EC8}"/>
            </a:ext>
          </a:extLst>
        </xdr:cNvPr>
        <xdr:cNvSpPr txBox="1"/>
      </xdr:nvSpPr>
      <xdr:spPr>
        <a:xfrm>
          <a:off x="4671391" y="2211458"/>
          <a:ext cx="5251174" cy="1035326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/>
            <a:t>Use esse espaço para anotações:</a:t>
          </a:r>
        </a:p>
        <a:p>
          <a:endParaRPr lang="pt-BR" sz="1400" b="1"/>
        </a:p>
        <a:p>
          <a:endParaRPr lang="pt-BR" sz="1400" b="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161925</xdr:rowOff>
    </xdr:from>
    <xdr:to>
      <xdr:col>15</xdr:col>
      <xdr:colOff>485775</xdr:colOff>
      <xdr:row>6</xdr:row>
      <xdr:rowOff>123826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46DA0EB-0BBB-45D2-8D07-59184AD188AA}"/>
            </a:ext>
          </a:extLst>
        </xdr:cNvPr>
        <xdr:cNvSpPr txBox="1"/>
      </xdr:nvSpPr>
      <xdr:spPr>
        <a:xfrm>
          <a:off x="6886574" y="542925"/>
          <a:ext cx="5191126" cy="866776"/>
        </a:xfrm>
        <a:prstGeom prst="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400" b="1"/>
            <a:t>Na</a:t>
          </a:r>
          <a:r>
            <a:rPr lang="pt-BR" sz="1400" b="1" baseline="0"/>
            <a:t> coluna dias</a:t>
          </a:r>
        </a:p>
        <a:p>
          <a:endParaRPr lang="pt-BR" sz="1100" baseline="0"/>
        </a:p>
        <a:p>
          <a:r>
            <a:rPr lang="pt-BR" sz="1200" baseline="0"/>
            <a:t>Quantos dias foram precisos para concluir cada cômodo da reforma da casa?</a:t>
          </a:r>
          <a:endParaRPr lang="pt-BR" sz="1100"/>
        </a:p>
      </xdr:txBody>
    </xdr:sp>
    <xdr:clientData/>
  </xdr:twoCellAnchor>
  <xdr:twoCellAnchor>
    <xdr:from>
      <xdr:col>7</xdr:col>
      <xdr:colOff>247649</xdr:colOff>
      <xdr:row>8</xdr:row>
      <xdr:rowOff>85724</xdr:rowOff>
    </xdr:from>
    <xdr:to>
      <xdr:col>15</xdr:col>
      <xdr:colOff>561975</xdr:colOff>
      <xdr:row>15</xdr:row>
      <xdr:rowOff>190499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BFA60A5-19AD-4E90-A1E0-8344A89A9589}"/>
            </a:ext>
          </a:extLst>
        </xdr:cNvPr>
        <xdr:cNvSpPr txBox="1"/>
      </xdr:nvSpPr>
      <xdr:spPr>
        <a:xfrm>
          <a:off x="6962774" y="1752599"/>
          <a:ext cx="5191126" cy="197167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/>
            <a:t>Use esse espaço para anotações:</a:t>
          </a:r>
        </a:p>
        <a:p>
          <a:endParaRPr lang="pt-BR" sz="1400" b="1"/>
        </a:p>
        <a:p>
          <a:endParaRPr lang="pt-BR" sz="1400" b="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9525</xdr:colOff>
      <xdr:row>7</xdr:row>
      <xdr:rowOff>295275</xdr:rowOff>
    </xdr:from>
    <xdr:to>
      <xdr:col>15</xdr:col>
      <xdr:colOff>81170</xdr:colOff>
      <xdr:row>13</xdr:row>
      <xdr:rowOff>285750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78E113B5-3F6C-4AF6-BD49-D76F952C7261}"/>
            </a:ext>
          </a:extLst>
        </xdr:cNvPr>
        <xdr:cNvGrpSpPr/>
      </xdr:nvGrpSpPr>
      <xdr:grpSpPr>
        <a:xfrm>
          <a:off x="5857875" y="2200275"/>
          <a:ext cx="5300870" cy="1819275"/>
          <a:chOff x="333375" y="276186"/>
          <a:chExt cx="2959533" cy="2358787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B09BC16E-1951-4B9A-BE91-058B4E8041BD}"/>
              </a:ext>
            </a:extLst>
          </xdr:cNvPr>
          <xdr:cNvGrpSpPr/>
        </xdr:nvGrpSpPr>
        <xdr:grpSpPr>
          <a:xfrm>
            <a:off x="333375" y="276186"/>
            <a:ext cx="2959533" cy="2358787"/>
            <a:chOff x="0" y="9585"/>
            <a:chExt cx="2959533" cy="2383358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91E03A79-E4B7-48F1-8A6A-03CC2B30BAB2}"/>
                </a:ext>
              </a:extLst>
            </xdr:cNvPr>
            <xdr:cNvSpPr/>
          </xdr:nvSpPr>
          <xdr:spPr>
            <a:xfrm>
              <a:off x="0" y="9585"/>
              <a:ext cx="2959533" cy="2383358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48705AC0-4F23-48C2-BC74-7B47F21DBAF1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954D7A58-E24F-4B3A-8A24-27869EC0268A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54D58103-94F8-47A7-88B2-8CC22BC145B0}"/>
              </a:ext>
            </a:extLst>
          </xdr:cNvPr>
          <xdr:cNvSpPr txBox="1"/>
        </xdr:nvSpPr>
        <xdr:spPr>
          <a:xfrm>
            <a:off x="442289" y="1139133"/>
            <a:ext cx="2847326" cy="14340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- Na atividade mais a esquerda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, efetuaremos o cálculo da data de saída dos funcionários desligados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- Na atividade mais a direita, efetuaremos a quantidade de dias de atraso entre a data planejada e a data realizada.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19050</xdr:rowOff>
    </xdr:from>
    <xdr:to>
      <xdr:col>13</xdr:col>
      <xdr:colOff>533401</xdr:colOff>
      <xdr:row>7</xdr:row>
      <xdr:rowOff>28575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7C14E5A-1B92-4174-BF47-2C4ABBB6DFC1}"/>
            </a:ext>
          </a:extLst>
        </xdr:cNvPr>
        <xdr:cNvSpPr txBox="1"/>
      </xdr:nvSpPr>
      <xdr:spPr>
        <a:xfrm>
          <a:off x="6153150" y="590550"/>
          <a:ext cx="4467226" cy="1724025"/>
        </a:xfrm>
        <a:prstGeom prst="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400" b="1"/>
            <a:t>Na</a:t>
          </a:r>
          <a:r>
            <a:rPr lang="pt-BR" sz="1400" b="1" baseline="0"/>
            <a:t> coluna Total em horas</a:t>
          </a:r>
        </a:p>
        <a:p>
          <a:endParaRPr lang="pt-BR" sz="1100" baseline="0"/>
        </a:p>
        <a:p>
          <a:r>
            <a:rPr lang="pt-BR" sz="1200" baseline="0"/>
            <a:t>Quanto tempo levamos para entregar as pizzas de cada um dos pedidos da tabela ao lado?</a:t>
          </a:r>
        </a:p>
        <a:p>
          <a:endParaRPr lang="pt-BR" sz="1200" baseline="0"/>
        </a:p>
        <a:p>
          <a:r>
            <a:rPr lang="pt-BR" sz="1400" b="1" baseline="0"/>
            <a:t>Na coluna média de tempo</a:t>
          </a:r>
        </a:p>
        <a:p>
          <a:r>
            <a:rPr lang="pt-BR" sz="1100"/>
            <a:t>Quanto tempo em média estamos levando</a:t>
          </a:r>
          <a:r>
            <a:rPr lang="pt-BR" sz="1100" baseline="0"/>
            <a:t> para entregar um pedido?</a:t>
          </a:r>
        </a:p>
        <a:p>
          <a:endParaRPr lang="pt-BR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581026</xdr:colOff>
      <xdr:row>3</xdr:row>
      <xdr:rowOff>114300</xdr:rowOff>
    </xdr:from>
    <xdr:to>
      <xdr:col>17</xdr:col>
      <xdr:colOff>295275</xdr:colOff>
      <xdr:row>19</xdr:row>
      <xdr:rowOff>104775</xdr:rowOff>
    </xdr:to>
    <xdr:grpSp>
      <xdr:nvGrpSpPr>
        <xdr:cNvPr id="2" name="Grupo 12">
          <a:extLst>
            <a:ext uri="{FF2B5EF4-FFF2-40B4-BE49-F238E27FC236}">
              <a16:creationId xmlns:a16="http://schemas.microsoft.com/office/drawing/2014/main" id="{EBC17827-7A5D-4E1B-AC2A-2FCCF99F4ABB}"/>
            </a:ext>
          </a:extLst>
        </xdr:cNvPr>
        <xdr:cNvGrpSpPr/>
      </xdr:nvGrpSpPr>
      <xdr:grpSpPr>
        <a:xfrm>
          <a:off x="4972051" y="923925"/>
          <a:ext cx="6848474" cy="3343275"/>
          <a:chOff x="4657726" y="1104900"/>
          <a:chExt cx="6848474" cy="3038475"/>
        </a:xfrm>
        <a:effectLst>
          <a:reflection blurRad="6350" stA="36000" endPos="35000" dir="5400000" sy="-100000" algn="bl" rotWithShape="0"/>
        </a:effectLst>
      </xdr:grpSpPr>
      <xdr:sp macro="" textlink="">
        <xdr:nvSpPr>
          <xdr:cNvPr id="3" name="CaixaDeTexto 2">
            <a:extLst>
              <a:ext uri="{FF2B5EF4-FFF2-40B4-BE49-F238E27FC236}">
                <a16:creationId xmlns:a16="http://schemas.microsoft.com/office/drawing/2014/main" id="{E40B5AE3-27F6-495F-BF42-317F80628891}"/>
              </a:ext>
            </a:extLst>
          </xdr:cNvPr>
          <xdr:cNvSpPr txBox="1"/>
        </xdr:nvSpPr>
        <xdr:spPr>
          <a:xfrm>
            <a:off x="4657726" y="1104900"/>
            <a:ext cx="6848474" cy="303847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pt-BR" sz="11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DURAÇÃO</a:t>
            </a:r>
          </a:p>
          <a:p>
            <a:r>
              <a: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Calcule as horas diárias trabalhadas.</a:t>
            </a: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i="0" u="none" strike="noStrike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EM </a:t>
            </a:r>
            <a:r>
              <a:rPr lang="pt-BR" sz="11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Calcule a soma das durações.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0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i="0" u="none" strike="noStrike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EM DECIMAL</a:t>
            </a:r>
            <a:endParaRPr lang="pt-BR" sz="1100" b="0" i="0" u="none" strike="noStrike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Calcule </a:t>
            </a:r>
            <a:r>
              <a:rPr lang="pt-BR" sz="1000" b="1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em Horas *</a:t>
            </a:r>
            <a:r>
              <a:rPr lang="pt-BR" sz="1000" b="1" i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24</a:t>
            </a:r>
            <a:r>
              <a:rPr lang="pt-BR" sz="10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0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i="0" u="none" strike="noStrike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VALOR/HORA</a:t>
            </a:r>
            <a:r>
              <a:rPr lang="pt-BR" sz="1100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R$ 50,00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0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i="0" u="none" strike="noStrike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</a:t>
            </a:r>
            <a:r>
              <a:rPr lang="pt-BR" sz="1100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Calcule </a:t>
            </a:r>
            <a:r>
              <a:rPr lang="pt-BR" sz="1000" b="1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em </a:t>
            </a:r>
            <a:r>
              <a:rPr lang="pt-BR" sz="1000" b="1" i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Decimal</a:t>
            </a:r>
            <a:r>
              <a:rPr lang="pt-BR" sz="1000" b="0" i="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* </a:t>
            </a:r>
            <a:r>
              <a:rPr lang="pt-BR" sz="1000" b="1" i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Valor/hora</a:t>
            </a:r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FD3A83C3-5BEC-49C5-A853-8613C7BDA8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143750" y="1733550"/>
            <a:ext cx="4133333" cy="1371429"/>
          </a:xfrm>
          <a:prstGeom prst="rect">
            <a:avLst/>
          </a:prstGeom>
        </xdr:spPr>
      </xdr:pic>
      <xdr:pic>
        <xdr:nvPicPr>
          <xdr:cNvPr id="5" name="Imagem 4">
            <a:extLst>
              <a:ext uri="{FF2B5EF4-FFF2-40B4-BE49-F238E27FC236}">
                <a16:creationId xmlns:a16="http://schemas.microsoft.com/office/drawing/2014/main" id="{47F46E08-4E28-429E-BFC8-875D7B2D49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15300" y="3276600"/>
            <a:ext cx="3142857" cy="609524"/>
          </a:xfrm>
          <a:prstGeom prst="rect">
            <a:avLst/>
          </a:prstGeom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CB3AA2-1E96-47E0-BFE8-6B0D5200D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2AFF8AB-976B-4869-A381-E785A7FF1ECA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FUNÇÕES DATA E HORA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E74E3636-7F48-417D-8B4E-DC6427D9D96B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07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23</xdr:row>
      <xdr:rowOff>66675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83BE9C64-5317-44E0-B3A6-594732D64C74}"/>
            </a:ext>
          </a:extLst>
        </xdr:cNvPr>
        <xdr:cNvGrpSpPr/>
      </xdr:nvGrpSpPr>
      <xdr:grpSpPr>
        <a:xfrm>
          <a:off x="6076950" y="495300"/>
          <a:ext cx="5733288" cy="3952875"/>
          <a:chOff x="333375" y="276185"/>
          <a:chExt cx="5695950" cy="3936473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02DF620C-3F21-4A91-A725-84BD9C8137D0}"/>
              </a:ext>
            </a:extLst>
          </xdr:cNvPr>
          <xdr:cNvGrpSpPr/>
        </xdr:nvGrpSpPr>
        <xdr:grpSpPr>
          <a:xfrm>
            <a:off x="333375" y="276185"/>
            <a:ext cx="5695950" cy="3936473"/>
            <a:chOff x="0" y="9584"/>
            <a:chExt cx="5695950" cy="3977478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547C1B2A-622E-4BF9-A0A0-6E89B04FB311}"/>
                </a:ext>
              </a:extLst>
            </xdr:cNvPr>
            <xdr:cNvSpPr/>
          </xdr:nvSpPr>
          <xdr:spPr>
            <a:xfrm>
              <a:off x="0" y="9584"/>
              <a:ext cx="5695950" cy="3977478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028CF8C3-431E-41DB-925F-BF1ED4464974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00C389D1-E58E-4F4A-97E4-62F3247B9C6E}"/>
                </a:ext>
              </a:extLst>
            </xdr:cNvPr>
            <xdr:cNvCxnSpPr>
              <a:cxnSpLocks/>
            </xdr:cNvCxnSpPr>
          </xdr:nvCxnSpPr>
          <xdr:spPr>
            <a:xfrm>
              <a:off x="165507" y="371665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65AFEAB2-24DD-4E89-AF59-66AB68C30401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C022FE48-F63C-4131-B37D-48F6E459122F}"/>
              </a:ext>
            </a:extLst>
          </xdr:cNvPr>
          <xdr:cNvSpPr txBox="1"/>
        </xdr:nvSpPr>
        <xdr:spPr>
          <a:xfrm>
            <a:off x="451745" y="994458"/>
            <a:ext cx="5284985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Use as funções de data e hora para criar fórmulas que retornam número de série.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B28BDAFA-62A9-45C0-99D5-D91036273E12}"/>
              </a:ext>
            </a:extLst>
          </xdr:cNvPr>
          <xdr:cNvGrpSpPr/>
        </xdr:nvGrpSpPr>
        <xdr:grpSpPr>
          <a:xfrm>
            <a:off x="533462" y="1563049"/>
            <a:ext cx="5220101" cy="596207"/>
            <a:chOff x="600199" y="7582849"/>
            <a:chExt cx="5186234" cy="596207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B3A8322E-2609-48FF-A2BF-9F637BC07FD3}"/>
                </a:ext>
              </a:extLst>
            </xdr:cNvPr>
            <xdr:cNvSpPr txBox="1"/>
          </xdr:nvSpPr>
          <xdr:spPr>
            <a:xfrm>
              <a:off x="1007894" y="7624807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Hoje e Agora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5EB8DD4D-AEAF-4170-ACE0-C9A5A2F749B7}"/>
                </a:ext>
              </a:extLst>
            </xdr:cNvPr>
            <xdr:cNvSpPr/>
          </xdr:nvSpPr>
          <xdr:spPr>
            <a:xfrm>
              <a:off x="600199" y="7582849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450ADCBC-0912-423A-A2CB-8BCD66C10E30}"/>
              </a:ext>
            </a:extLst>
          </xdr:cNvPr>
          <xdr:cNvGrpSpPr/>
        </xdr:nvGrpSpPr>
        <xdr:grpSpPr>
          <a:xfrm>
            <a:off x="533462" y="2105973"/>
            <a:ext cx="5220100" cy="596208"/>
            <a:chOff x="600199" y="7582848"/>
            <a:chExt cx="5186233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976C6D1A-7BF2-46E7-B4E1-FF66CD71E7BA}"/>
                </a:ext>
              </a:extLst>
            </xdr:cNvPr>
            <xdr:cNvSpPr txBox="1"/>
          </xdr:nvSpPr>
          <xdr:spPr>
            <a:xfrm>
              <a:off x="1007893" y="7624807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Hora, Minuto e Segundo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375FC74E-C6B5-440D-9D96-D22B5158C08B}"/>
                </a:ext>
              </a:extLst>
            </xdr:cNvPr>
            <xdr:cNvSpPr/>
          </xdr:nvSpPr>
          <xdr:spPr>
            <a:xfrm>
              <a:off x="600199" y="75828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605B3D68-C280-4343-B788-C2F8E541759A}"/>
              </a:ext>
            </a:extLst>
          </xdr:cNvPr>
          <xdr:cNvGrpSpPr/>
        </xdr:nvGrpSpPr>
        <xdr:grpSpPr>
          <a:xfrm>
            <a:off x="552326" y="2677434"/>
            <a:ext cx="5220102" cy="596207"/>
            <a:chOff x="628403" y="7592334"/>
            <a:chExt cx="5186235" cy="596207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1D0A633B-68AA-4AEB-B96F-2CE54655F601}"/>
                </a:ext>
              </a:extLst>
            </xdr:cNvPr>
            <xdr:cNvSpPr txBox="1"/>
          </xdr:nvSpPr>
          <xdr:spPr>
            <a:xfrm>
              <a:off x="1036099" y="7634292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Dia, Mês e Ano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07FF57FB-A2F2-40AE-AB63-71542FC0274A}"/>
                </a:ext>
              </a:extLst>
            </xdr:cNvPr>
            <xdr:cNvSpPr/>
          </xdr:nvSpPr>
          <xdr:spPr>
            <a:xfrm>
              <a:off x="628403" y="7592334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F91C54AD-C801-4481-B36C-F97C7D4855FC}"/>
              </a:ext>
            </a:extLst>
          </xdr:cNvPr>
          <xdr:cNvGrpSpPr/>
        </xdr:nvGrpSpPr>
        <xdr:grpSpPr>
          <a:xfrm>
            <a:off x="542925" y="3229923"/>
            <a:ext cx="5220101" cy="596208"/>
            <a:chOff x="609600" y="7582848"/>
            <a:chExt cx="5186234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C58023C6-764E-461F-A27B-8DEE5255054A}"/>
                </a:ext>
              </a:extLst>
            </xdr:cNvPr>
            <xdr:cNvSpPr txBox="1"/>
          </xdr:nvSpPr>
          <xdr:spPr>
            <a:xfrm>
              <a:off x="1017295" y="7624807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Função Data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DFD911FD-5113-4D9B-9404-7C259CE371CF}"/>
                </a:ext>
              </a:extLst>
            </xdr:cNvPr>
            <xdr:cNvSpPr/>
          </xdr:nvSpPr>
          <xdr:spPr>
            <a:xfrm>
              <a:off x="609600" y="75828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57150</xdr:colOff>
      <xdr:row>0</xdr:row>
      <xdr:rowOff>166894</xdr:rowOff>
    </xdr:from>
    <xdr:to>
      <xdr:col>8</xdr:col>
      <xdr:colOff>1666875</xdr:colOff>
      <xdr:row>4</xdr:row>
      <xdr:rowOff>142875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61699B26-47BA-4B73-A759-6CF1893B69F4}"/>
            </a:ext>
          </a:extLst>
        </xdr:cNvPr>
        <xdr:cNvGrpSpPr/>
      </xdr:nvGrpSpPr>
      <xdr:grpSpPr>
        <a:xfrm>
          <a:off x="3248025" y="166894"/>
          <a:ext cx="5229225" cy="1033256"/>
          <a:chOff x="333375" y="276186"/>
          <a:chExt cx="2917026" cy="1492700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93B1B6A8-9914-44D5-A7D8-A80366AF1A55}"/>
              </a:ext>
            </a:extLst>
          </xdr:cNvPr>
          <xdr:cNvGrpSpPr/>
        </xdr:nvGrpSpPr>
        <xdr:grpSpPr>
          <a:xfrm>
            <a:off x="333375" y="276186"/>
            <a:ext cx="2917026" cy="1492700"/>
            <a:chOff x="0" y="9585"/>
            <a:chExt cx="2917026" cy="1508249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FF83566F-B175-4519-9BA1-EA51078E7EBF}"/>
                </a:ext>
              </a:extLst>
            </xdr:cNvPr>
            <xdr:cNvSpPr/>
          </xdr:nvSpPr>
          <xdr:spPr>
            <a:xfrm>
              <a:off x="0" y="9585"/>
              <a:ext cx="2917026" cy="150824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4A3B13D8-7B92-4578-B583-B4E9A628FA9A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CF9FBA3B-35C8-4ABE-91B3-D4D95BBC4A0C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2EED2A9E-5E86-4E8D-B586-05E2D2330923}"/>
              </a:ext>
            </a:extLst>
          </xdr:cNvPr>
          <xdr:cNvSpPr txBox="1"/>
        </xdr:nvSpPr>
        <xdr:spPr>
          <a:xfrm>
            <a:off x="442289" y="1139134"/>
            <a:ext cx="2733726" cy="3835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Calcular o tempo de trabalho dos funcionários.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1</xdr:col>
      <xdr:colOff>76200</xdr:colOff>
      <xdr:row>6</xdr:row>
      <xdr:rowOff>171450</xdr:rowOff>
    </xdr:from>
    <xdr:to>
      <xdr:col>3</xdr:col>
      <xdr:colOff>57150</xdr:colOff>
      <xdr:row>17</xdr:row>
      <xdr:rowOff>95250</xdr:rowOff>
    </xdr:to>
    <xdr:pic>
      <xdr:nvPicPr>
        <xdr:cNvPr id="8" name="Imagem 7" descr="https://cdn2.iconfinder.com/data/icons/scenarium-vol-1-2/128/041_calendar_plans_schedule_time_date_day_week-256.png">
          <a:extLst>
            <a:ext uri="{FF2B5EF4-FFF2-40B4-BE49-F238E27FC236}">
              <a16:creationId xmlns:a16="http://schemas.microsoft.com/office/drawing/2014/main" id="{2059D9AF-CE7F-4C7D-804E-08CDBFFF3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800225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600075</xdr:colOff>
      <xdr:row>2</xdr:row>
      <xdr:rowOff>0</xdr:rowOff>
    </xdr:from>
    <xdr:to>
      <xdr:col>12</xdr:col>
      <xdr:colOff>576470</xdr:colOff>
      <xdr:row>6</xdr:row>
      <xdr:rowOff>38101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246DE7CB-3DD7-4CF2-B144-B65F653D96A7}"/>
            </a:ext>
          </a:extLst>
        </xdr:cNvPr>
        <xdr:cNvGrpSpPr/>
      </xdr:nvGrpSpPr>
      <xdr:grpSpPr>
        <a:xfrm>
          <a:off x="5743575" y="514350"/>
          <a:ext cx="5300870" cy="1066801"/>
          <a:chOff x="333375" y="276186"/>
          <a:chExt cx="2959533" cy="1383164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1F94F198-6B5F-4C6A-A7B0-BF4F607AC988}"/>
              </a:ext>
            </a:extLst>
          </xdr:cNvPr>
          <xdr:cNvGrpSpPr/>
        </xdr:nvGrpSpPr>
        <xdr:grpSpPr>
          <a:xfrm>
            <a:off x="333375" y="276186"/>
            <a:ext cx="2959533" cy="1333765"/>
            <a:chOff x="0" y="9585"/>
            <a:chExt cx="2959533" cy="1347658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21873F58-D148-460F-9780-F89EE51D1FF1}"/>
                </a:ext>
              </a:extLst>
            </xdr:cNvPr>
            <xdr:cNvSpPr/>
          </xdr:nvSpPr>
          <xdr:spPr>
            <a:xfrm>
              <a:off x="0" y="9585"/>
              <a:ext cx="2959533" cy="1347658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ECBFE1B1-25E0-483D-AB73-C11D844E939F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8DE7115F-A8D0-4D57-93E9-DD6E2C483088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977F2463-628A-4B33-97D2-C9DCB6BA7D72}"/>
              </a:ext>
            </a:extLst>
          </xdr:cNvPr>
          <xdr:cNvSpPr txBox="1"/>
        </xdr:nvSpPr>
        <xdr:spPr>
          <a:xfrm>
            <a:off x="442289" y="1139134"/>
            <a:ext cx="2847326" cy="520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 a função Agora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+ 15, 30, 60 e 120 dias respectivamente.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6</xdr:col>
      <xdr:colOff>552450</xdr:colOff>
      <xdr:row>6</xdr:row>
      <xdr:rowOff>152400</xdr:rowOff>
    </xdr:from>
    <xdr:to>
      <xdr:col>10</xdr:col>
      <xdr:colOff>104775</xdr:colOff>
      <xdr:row>16</xdr:row>
      <xdr:rowOff>19050</xdr:rowOff>
    </xdr:to>
    <xdr:pic>
      <xdr:nvPicPr>
        <xdr:cNvPr id="8" name="Imagem 7" descr="https://cdn2.iconfinder.com/data/icons/scenarium-vol-1-2/128/041_calendar_plans_schedule_time_date_day_week-256.png">
          <a:extLst>
            <a:ext uri="{FF2B5EF4-FFF2-40B4-BE49-F238E27FC236}">
              <a16:creationId xmlns:a16="http://schemas.microsoft.com/office/drawing/2014/main" id="{B2CB8E51-2279-43B0-9694-1373ABCFC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169545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76200</xdr:colOff>
      <xdr:row>2</xdr:row>
      <xdr:rowOff>104775</xdr:rowOff>
    </xdr:from>
    <xdr:to>
      <xdr:col>16</xdr:col>
      <xdr:colOff>500270</xdr:colOff>
      <xdr:row>12</xdr:row>
      <xdr:rowOff>123825</xdr:rowOff>
    </xdr:to>
    <xdr:grpSp>
      <xdr:nvGrpSpPr>
        <xdr:cNvPr id="3" name="Grupo 105">
          <a:extLst>
            <a:ext uri="{FF2B5EF4-FFF2-40B4-BE49-F238E27FC236}">
              <a16:creationId xmlns:a16="http://schemas.microsoft.com/office/drawing/2014/main" id="{901F0319-3718-47FE-AE9C-5CD31091658B}"/>
            </a:ext>
          </a:extLst>
        </xdr:cNvPr>
        <xdr:cNvGrpSpPr/>
      </xdr:nvGrpSpPr>
      <xdr:grpSpPr>
        <a:xfrm>
          <a:off x="5819775" y="561975"/>
          <a:ext cx="5300870" cy="2305050"/>
          <a:chOff x="333375" y="276186"/>
          <a:chExt cx="2959533" cy="2988621"/>
        </a:xfrm>
      </xdr:grpSpPr>
      <xdr:grpSp>
        <xdr:nvGrpSpPr>
          <xdr:cNvPr id="4" name="Instrução Adicionar números">
            <a:extLst>
              <a:ext uri="{FF2B5EF4-FFF2-40B4-BE49-F238E27FC236}">
                <a16:creationId xmlns:a16="http://schemas.microsoft.com/office/drawing/2014/main" id="{A3537E96-AD51-4470-9E08-A8791D33BFC0}"/>
              </a:ext>
            </a:extLst>
          </xdr:cNvPr>
          <xdr:cNvGrpSpPr/>
        </xdr:nvGrpSpPr>
        <xdr:grpSpPr>
          <a:xfrm>
            <a:off x="333375" y="276186"/>
            <a:ext cx="2959533" cy="2852775"/>
            <a:chOff x="0" y="9585"/>
            <a:chExt cx="2959533" cy="2882491"/>
          </a:xfrm>
        </xdr:grpSpPr>
        <xdr:sp macro="" textlink="">
          <xdr:nvSpPr>
            <xdr:cNvPr id="6" name="Plano de Fundo" descr="Plano de Fundo">
              <a:extLst>
                <a:ext uri="{FF2B5EF4-FFF2-40B4-BE49-F238E27FC236}">
                  <a16:creationId xmlns:a16="http://schemas.microsoft.com/office/drawing/2014/main" id="{81C1BBED-FCB1-4893-9EF8-95B23574363A}"/>
                </a:ext>
              </a:extLst>
            </xdr:cNvPr>
            <xdr:cNvSpPr/>
          </xdr:nvSpPr>
          <xdr:spPr>
            <a:xfrm>
              <a:off x="0" y="9585"/>
              <a:ext cx="2959533" cy="2882491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7" name="Etapa" descr="Noções básicas: fazer cálculos no Excel&#10;">
              <a:extLst>
                <a:ext uri="{FF2B5EF4-FFF2-40B4-BE49-F238E27FC236}">
                  <a16:creationId xmlns:a16="http://schemas.microsoft.com/office/drawing/2014/main" id="{8737C669-21CB-46A7-AC17-621D7B3D9186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8" name="Linha superior" descr="Linha decorativa">
              <a:extLst>
                <a:ext uri="{FF2B5EF4-FFF2-40B4-BE49-F238E27FC236}">
                  <a16:creationId xmlns:a16="http://schemas.microsoft.com/office/drawing/2014/main" id="{7993754E-BDC9-4896-99CF-C495096B67F8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11EAD904-AF04-49BD-9858-5ED6C3DEF7E6}"/>
              </a:ext>
            </a:extLst>
          </xdr:cNvPr>
          <xdr:cNvSpPr txBox="1"/>
        </xdr:nvSpPr>
        <xdr:spPr>
          <a:xfrm>
            <a:off x="442289" y="1139133"/>
            <a:ext cx="2847326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É necessário extrair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do campo data de nascimento a Hora, Minuto e Segundo.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as funções: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Hora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Minuto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Segundo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14</xdr:col>
      <xdr:colOff>333375</xdr:colOff>
      <xdr:row>6</xdr:row>
      <xdr:rowOff>180975</xdr:rowOff>
    </xdr:from>
    <xdr:to>
      <xdr:col>16</xdr:col>
      <xdr:colOff>333375</xdr:colOff>
      <xdr:row>12</xdr:row>
      <xdr:rowOff>28575</xdr:rowOff>
    </xdr:to>
    <xdr:pic>
      <xdr:nvPicPr>
        <xdr:cNvPr id="9" name="Imagem 8" descr="hour, minute, second, timer icon">
          <a:extLst>
            <a:ext uri="{FF2B5EF4-FFF2-40B4-BE49-F238E27FC236}">
              <a16:creationId xmlns:a16="http://schemas.microsoft.com/office/drawing/2014/main" id="{0EC483FE-0B01-48EA-98FC-F4DE12281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1552575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203596</xdr:colOff>
      <xdr:row>1</xdr:row>
      <xdr:rowOff>184547</xdr:rowOff>
    </xdr:from>
    <xdr:to>
      <xdr:col>17</xdr:col>
      <xdr:colOff>32171</xdr:colOff>
      <xdr:row>11</xdr:row>
      <xdr:rowOff>203597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4D25BC06-1120-4F16-B80A-D667322A2531}"/>
            </a:ext>
          </a:extLst>
        </xdr:cNvPr>
        <xdr:cNvGrpSpPr/>
      </xdr:nvGrpSpPr>
      <xdr:grpSpPr>
        <a:xfrm>
          <a:off x="6794896" y="413147"/>
          <a:ext cx="5314975" cy="2305050"/>
          <a:chOff x="333375" y="276186"/>
          <a:chExt cx="2959533" cy="298862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F11A7936-D40A-47C2-811E-331C1CA39185}"/>
              </a:ext>
            </a:extLst>
          </xdr:cNvPr>
          <xdr:cNvGrpSpPr/>
        </xdr:nvGrpSpPr>
        <xdr:grpSpPr>
          <a:xfrm>
            <a:off x="333375" y="276186"/>
            <a:ext cx="2959533" cy="2852775"/>
            <a:chOff x="0" y="9585"/>
            <a:chExt cx="2959533" cy="2882491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CEB2787C-4F8E-43E6-BDD8-F3C4C55217AB}"/>
                </a:ext>
              </a:extLst>
            </xdr:cNvPr>
            <xdr:cNvSpPr/>
          </xdr:nvSpPr>
          <xdr:spPr>
            <a:xfrm>
              <a:off x="0" y="9585"/>
              <a:ext cx="2959533" cy="2882491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9B117521-BA82-4006-B74F-77E5A65D1586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CB0449E8-6607-4678-A282-F946D32F9BE5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135330CE-A7E5-48D3-832D-BD41B2729688}"/>
              </a:ext>
            </a:extLst>
          </xdr:cNvPr>
          <xdr:cNvSpPr txBox="1"/>
        </xdr:nvSpPr>
        <xdr:spPr>
          <a:xfrm>
            <a:off x="442289" y="1139133"/>
            <a:ext cx="2847326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Será necessário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extrar o Dia, Mês e Ano do campo Data de Nascimento.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as funções: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Dia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Mês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Ano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11</xdr:col>
      <xdr:colOff>571500</xdr:colOff>
      <xdr:row>6</xdr:row>
      <xdr:rowOff>19050</xdr:rowOff>
    </xdr:from>
    <xdr:to>
      <xdr:col>13</xdr:col>
      <xdr:colOff>571500</xdr:colOff>
      <xdr:row>11</xdr:row>
      <xdr:rowOff>95250</xdr:rowOff>
    </xdr:to>
    <xdr:pic>
      <xdr:nvPicPr>
        <xdr:cNvPr id="8" name="Imagem 7" descr="counter, day, time icon">
          <a:extLst>
            <a:ext uri="{FF2B5EF4-FFF2-40B4-BE49-F238E27FC236}">
              <a16:creationId xmlns:a16="http://schemas.microsoft.com/office/drawing/2014/main" id="{8A38FDCB-B05D-4ACD-B89A-231F262B6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0</xdr:colOff>
      <xdr:row>2</xdr:row>
      <xdr:rowOff>1</xdr:rowOff>
    </xdr:from>
    <xdr:to>
      <xdr:col>15</xdr:col>
      <xdr:colOff>435793</xdr:colOff>
      <xdr:row>9</xdr:row>
      <xdr:rowOff>19051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41B1D75D-ADEE-48A9-93C3-49737E078EF6}"/>
            </a:ext>
          </a:extLst>
        </xdr:cNvPr>
        <xdr:cNvGrpSpPr/>
      </xdr:nvGrpSpPr>
      <xdr:grpSpPr>
        <a:xfrm>
          <a:off x="4800600" y="571501"/>
          <a:ext cx="5312593" cy="1619250"/>
          <a:chOff x="333375" y="276187"/>
          <a:chExt cx="2959533" cy="2099445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4CD8F092-D26C-4D28-825A-0CDFBF74D0C5}"/>
              </a:ext>
            </a:extLst>
          </xdr:cNvPr>
          <xdr:cNvGrpSpPr/>
        </xdr:nvGrpSpPr>
        <xdr:grpSpPr>
          <a:xfrm>
            <a:off x="333375" y="276187"/>
            <a:ext cx="2959533" cy="2099445"/>
            <a:chOff x="0" y="9586"/>
            <a:chExt cx="2959533" cy="2121314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34099F4D-59DA-4424-9172-061267370BD6}"/>
                </a:ext>
              </a:extLst>
            </xdr:cNvPr>
            <xdr:cNvSpPr/>
          </xdr:nvSpPr>
          <xdr:spPr>
            <a:xfrm>
              <a:off x="0" y="9586"/>
              <a:ext cx="2959533" cy="212131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7831527B-8C6D-4C3E-9686-C769EF905B4A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4CF36345-246C-49CE-9254-231DFF0E28DE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680BA8DB-C10E-4AB6-9579-B8CE4F48EB78}"/>
              </a:ext>
            </a:extLst>
          </xdr:cNvPr>
          <xdr:cNvSpPr txBox="1"/>
        </xdr:nvSpPr>
        <xdr:spPr>
          <a:xfrm>
            <a:off x="442289" y="1139133"/>
            <a:ext cx="2847326" cy="11500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Nesta atividade a funcionária Luzinete precisa fazer a junção do dia, mês e ano.</a:t>
            </a:r>
            <a:endParaRPr lang="pt-BR" sz="1100" b="0" i="0" u="none" strike="noStrike" kern="1200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 função: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Data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11</xdr:col>
      <xdr:colOff>66675</xdr:colOff>
      <xdr:row>6</xdr:row>
      <xdr:rowOff>180975</xdr:rowOff>
    </xdr:from>
    <xdr:to>
      <xdr:col>15</xdr:col>
      <xdr:colOff>66675</xdr:colOff>
      <xdr:row>17</xdr:row>
      <xdr:rowOff>104775</xdr:rowOff>
    </xdr:to>
    <xdr:pic>
      <xdr:nvPicPr>
        <xdr:cNvPr id="8" name="Imagem 7" descr="https://cdn2.iconfinder.com/data/icons/scenarium-vol-1-2/128/041_calendar_plans_schedule_time_date_day_week-256.png">
          <a:extLst>
            <a:ext uri="{FF2B5EF4-FFF2-40B4-BE49-F238E27FC236}">
              <a16:creationId xmlns:a16="http://schemas.microsoft.com/office/drawing/2014/main" id="{6B50EB70-D30C-46E0-8314-3D0D472C6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1666875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927268</xdr:colOff>
      <xdr:row>20</xdr:row>
      <xdr:rowOff>83345</xdr:rowOff>
    </xdr:from>
    <xdr:to>
      <xdr:col>6</xdr:col>
      <xdr:colOff>1054554</xdr:colOff>
      <xdr:row>37</xdr:row>
      <xdr:rowOff>67865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388B6D1-9F06-1664-42A2-D468C46B8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881060</xdr:colOff>
      <xdr:row>21</xdr:row>
      <xdr:rowOff>0</xdr:rowOff>
    </xdr:from>
    <xdr:to>
      <xdr:col>13</xdr:col>
      <xdr:colOff>254000</xdr:colOff>
      <xdr:row>37</xdr:row>
      <xdr:rowOff>55958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D7449B-F09B-1BCC-A3D4-4B53BC5DC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190500</xdr:colOff>
      <xdr:row>21</xdr:row>
      <xdr:rowOff>95250</xdr:rowOff>
    </xdr:from>
    <xdr:to>
      <xdr:col>21</xdr:col>
      <xdr:colOff>226219</xdr:colOff>
      <xdr:row>36</xdr:row>
      <xdr:rowOff>175021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06B3BFD-5306-79B3-E445-1AC0D114F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272143</xdr:colOff>
      <xdr:row>1</xdr:row>
      <xdr:rowOff>13607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A6897F73-8577-01C8-5AD1-4967E5D18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578429" cy="748393"/>
        </a:xfrm>
        <a:prstGeom prst="rect">
          <a:avLst/>
        </a:prstGeom>
      </xdr:spPr>
    </xdr:pic>
    <xdr:clientData/>
  </xdr:twoCellAnchor>
  <xdr:twoCellAnchor editAs="oneCell">
    <xdr:from>
      <xdr:col>21</xdr:col>
      <xdr:colOff>507290</xdr:colOff>
      <xdr:row>0</xdr:row>
      <xdr:rowOff>0</xdr:rowOff>
    </xdr:from>
    <xdr:to>
      <xdr:col>24</xdr:col>
      <xdr:colOff>41019</xdr:colOff>
      <xdr:row>0</xdr:row>
      <xdr:rowOff>707571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0F775C4-78D4-9595-DB6A-E7C0A9829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92576" y="0"/>
          <a:ext cx="1370693" cy="707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257175</xdr:colOff>
      <xdr:row>1</xdr:row>
      <xdr:rowOff>66675</xdr:rowOff>
    </xdr:from>
    <xdr:to>
      <xdr:col>15</xdr:col>
      <xdr:colOff>71645</xdr:colOff>
      <xdr:row>13</xdr:row>
      <xdr:rowOff>66675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C6B8DBE1-045E-4A16-8868-2E65603E64C5}"/>
            </a:ext>
          </a:extLst>
        </xdr:cNvPr>
        <xdr:cNvGrpSpPr/>
      </xdr:nvGrpSpPr>
      <xdr:grpSpPr>
        <a:xfrm>
          <a:off x="6115050" y="257175"/>
          <a:ext cx="5300870" cy="2305050"/>
          <a:chOff x="333375" y="276186"/>
          <a:chExt cx="2959533" cy="298862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600A8068-EED2-461F-B723-F48865FFF491}"/>
              </a:ext>
            </a:extLst>
          </xdr:cNvPr>
          <xdr:cNvGrpSpPr/>
        </xdr:nvGrpSpPr>
        <xdr:grpSpPr>
          <a:xfrm>
            <a:off x="333375" y="276186"/>
            <a:ext cx="2959533" cy="2852775"/>
            <a:chOff x="0" y="9585"/>
            <a:chExt cx="2959533" cy="2882491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27D38C4A-6AC3-44E3-857C-A3731FD00E92}"/>
                </a:ext>
              </a:extLst>
            </xdr:cNvPr>
            <xdr:cNvSpPr/>
          </xdr:nvSpPr>
          <xdr:spPr>
            <a:xfrm>
              <a:off x="0" y="9585"/>
              <a:ext cx="2959533" cy="2882491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284B3436-26E1-47DE-9C3E-796BAA3F4F3B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CE9C00B3-20C7-4E53-A28F-F6E97629B2A9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C53FCA58-0C61-421C-9842-7F35742EA659}"/>
              </a:ext>
            </a:extLst>
          </xdr:cNvPr>
          <xdr:cNvSpPr txBox="1"/>
        </xdr:nvSpPr>
        <xdr:spPr>
          <a:xfrm>
            <a:off x="442289" y="1139133"/>
            <a:ext cx="2847326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* No campo dia é necessário extrair o dia do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campo vencimento.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* No campo Informação por extenso é necessário exibir o nome dos meses por extenso.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Funções utilizadas: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Dia 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13</xdr:col>
      <xdr:colOff>187822</xdr:colOff>
      <xdr:row>7</xdr:row>
      <xdr:rowOff>133350</xdr:rowOff>
    </xdr:from>
    <xdr:to>
      <xdr:col>14</xdr:col>
      <xdr:colOff>381000</xdr:colOff>
      <xdr:row>12</xdr:row>
      <xdr:rowOff>9524</xdr:rowOff>
    </xdr:to>
    <xdr:pic>
      <xdr:nvPicPr>
        <xdr:cNvPr id="8" name="Imagem 7" descr="debt, money, scale icon">
          <a:extLst>
            <a:ext uri="{FF2B5EF4-FFF2-40B4-BE49-F238E27FC236}">
              <a16:creationId xmlns:a16="http://schemas.microsoft.com/office/drawing/2014/main" id="{4FFE16DA-CD5A-429A-A8FC-48535C0B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897" y="1485900"/>
          <a:ext cx="802778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10392</xdr:colOff>
      <xdr:row>2</xdr:row>
      <xdr:rowOff>9325</xdr:rowOff>
    </xdr:from>
    <xdr:to>
      <xdr:col>15</xdr:col>
      <xdr:colOff>218208</xdr:colOff>
      <xdr:row>17</xdr:row>
      <xdr:rowOff>15453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BF503C5E-BB23-4E4D-9426-0159F39BAE2C}"/>
            </a:ext>
          </a:extLst>
        </xdr:cNvPr>
        <xdr:cNvGrpSpPr/>
      </xdr:nvGrpSpPr>
      <xdr:grpSpPr>
        <a:xfrm>
          <a:off x="5687292" y="390325"/>
          <a:ext cx="5084616" cy="2311178"/>
          <a:chOff x="333375" y="276186"/>
          <a:chExt cx="2825599" cy="298862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A3869FB4-B0CD-412F-8A3A-4F7514A73116}"/>
              </a:ext>
            </a:extLst>
          </xdr:cNvPr>
          <xdr:cNvGrpSpPr/>
        </xdr:nvGrpSpPr>
        <xdr:grpSpPr>
          <a:xfrm>
            <a:off x="333375" y="276186"/>
            <a:ext cx="2796569" cy="2852775"/>
            <a:chOff x="0" y="9585"/>
            <a:chExt cx="2796569" cy="2882491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450B1D8C-BF80-4FC2-8259-E5504CED96BC}"/>
                </a:ext>
              </a:extLst>
            </xdr:cNvPr>
            <xdr:cNvSpPr/>
          </xdr:nvSpPr>
          <xdr:spPr>
            <a:xfrm>
              <a:off x="0" y="9585"/>
              <a:ext cx="2796569" cy="2882491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DA6B482D-E869-4ECF-BC25-9065E6CA7749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047A04C8-AFFA-489D-A0C5-3BC0AB65B4EC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1095B6E9-2679-43E3-A291-20ED0A866A20}"/>
              </a:ext>
            </a:extLst>
          </xdr:cNvPr>
          <xdr:cNvSpPr txBox="1"/>
        </xdr:nvSpPr>
        <xdr:spPr>
          <a:xfrm>
            <a:off x="442289" y="1139133"/>
            <a:ext cx="2716685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Em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qual ano o pedido foi feito</a:t>
            </a: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? Será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necessário extrair do campo Data do pedido, o Ano em que o pedido foi feito.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 função: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Ano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8</xdr:col>
      <xdr:colOff>311727</xdr:colOff>
      <xdr:row>7</xdr:row>
      <xdr:rowOff>96190</xdr:rowOff>
    </xdr:from>
    <xdr:to>
      <xdr:col>10</xdr:col>
      <xdr:colOff>147205</xdr:colOff>
      <xdr:row>13</xdr:row>
      <xdr:rowOff>83920</xdr:rowOff>
    </xdr:to>
    <xdr:pic>
      <xdr:nvPicPr>
        <xdr:cNvPr id="9" name="Imagem 8" descr="express, order, shipping icon">
          <a:extLst>
            <a:ext uri="{FF2B5EF4-FFF2-40B4-BE49-F238E27FC236}">
              <a16:creationId xmlns:a16="http://schemas.microsoft.com/office/drawing/2014/main" id="{7D8E87A2-6A6D-4A4F-B9BD-0748A5AA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0591" y="1447008"/>
          <a:ext cx="1047750" cy="1053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422919C-ABB4-4335-A45C-87D978571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2EC986E-04BD-41F8-8B8C-B4AC3B5C7AEF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[FUNÇÕES TEXTO]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6FD07EA-D09C-48C0-8BC8-5635E704BE42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08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26</xdr:row>
      <xdr:rowOff>133350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3934DB16-0AFA-458A-A6DC-08616E2A9853}"/>
            </a:ext>
          </a:extLst>
        </xdr:cNvPr>
        <xdr:cNvGrpSpPr/>
      </xdr:nvGrpSpPr>
      <xdr:grpSpPr>
        <a:xfrm>
          <a:off x="6076950" y="495300"/>
          <a:ext cx="5733288" cy="4591050"/>
          <a:chOff x="333375" y="276185"/>
          <a:chExt cx="5695950" cy="4572000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83535666-045C-43BD-B31C-7BC3E804B51E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DE8EE5E2-3E3F-4D9E-8E87-55423305A47A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7EBF0950-C385-4F39-9FC5-A2BBCBB1B0A5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77CB0AAE-A78C-4869-8047-83B230FD5602}"/>
                </a:ext>
              </a:extLst>
            </xdr:cNvPr>
            <xdr:cNvCxnSpPr>
              <a:cxnSpLocks/>
            </xdr:cNvCxnSpPr>
          </xdr:nvCxnSpPr>
          <xdr:spPr>
            <a:xfrm>
              <a:off x="174970" y="418628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EF6BF4BE-EDC9-409B-A917-195ABDA02E60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3602D97D-D5BB-4BF0-A04C-002D7CDEDF68}"/>
              </a:ext>
            </a:extLst>
          </xdr:cNvPr>
          <xdr:cNvSpPr txBox="1"/>
        </xdr:nvSpPr>
        <xdr:spPr>
          <a:xfrm>
            <a:off x="451745" y="994458"/>
            <a:ext cx="5284985" cy="10080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/>
              <a:t>Funções de texto lhe ajudam a manipular dados textuais da forma que você preferir,</a:t>
            </a:r>
            <a:r>
              <a:rPr lang="pt-BR" sz="1100" baseline="0"/>
              <a:t> </a:t>
            </a:r>
            <a:r>
              <a:rPr lang="pt-BR" sz="1100"/>
              <a:t>por exemplo, para ‘organizar’ dados brutos que contém erros de digitação ou caracteres indesejados. Você pode encontrar os caracteres em particular, ou sequências de caracteres, ou contar o número de caracteres de uma célula, mudar a capitalização, remover caracteres indesejados e combinar os conteúdos de diferentes células. </a:t>
            </a:r>
            <a:endPara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D52E5CDF-85AC-42FD-9D50-4B0718A51AFB}"/>
              </a:ext>
            </a:extLst>
          </xdr:cNvPr>
          <xdr:cNvGrpSpPr/>
        </xdr:nvGrpSpPr>
        <xdr:grpSpPr>
          <a:xfrm>
            <a:off x="552388" y="2141663"/>
            <a:ext cx="5220101" cy="596207"/>
            <a:chOff x="619002" y="8161463"/>
            <a:chExt cx="5186234" cy="596207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89C80A97-DB93-45A3-8937-E12CD3FF97C4}"/>
                </a:ext>
              </a:extLst>
            </xdr:cNvPr>
            <xdr:cNvSpPr txBox="1"/>
          </xdr:nvSpPr>
          <xdr:spPr>
            <a:xfrm>
              <a:off x="1026697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Arrumar, Pri. Maiúscula, Maiúscula, Minúscula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3FF7725A-5D00-4429-8843-A37DCF24FC80}"/>
                </a:ext>
              </a:extLst>
            </xdr:cNvPr>
            <xdr:cNvSpPr/>
          </xdr:nvSpPr>
          <xdr:spPr>
            <a:xfrm>
              <a:off x="619002" y="816146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2D475F60-C0B7-4379-B307-18B7BF139F2C}"/>
              </a:ext>
            </a:extLst>
          </xdr:cNvPr>
          <xdr:cNvGrpSpPr/>
        </xdr:nvGrpSpPr>
        <xdr:grpSpPr>
          <a:xfrm>
            <a:off x="552388" y="2684587"/>
            <a:ext cx="5220100" cy="596208"/>
            <a:chOff x="619002" y="8161462"/>
            <a:chExt cx="5186233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E409C2AA-6730-4314-8218-A20046E6A994}"/>
                </a:ext>
              </a:extLst>
            </xdr:cNvPr>
            <xdr:cNvSpPr txBox="1"/>
          </xdr:nvSpPr>
          <xdr:spPr>
            <a:xfrm>
              <a:off x="1026696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Concatenar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2FA6C4E0-A2C7-40D4-B2EC-00D4BE146D11}"/>
                </a:ext>
              </a:extLst>
            </xdr:cNvPr>
            <xdr:cNvSpPr/>
          </xdr:nvSpPr>
          <xdr:spPr>
            <a:xfrm>
              <a:off x="619002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270A39ED-EE3A-4174-869B-C75449E56B99}"/>
              </a:ext>
            </a:extLst>
          </xdr:cNvPr>
          <xdr:cNvGrpSpPr/>
        </xdr:nvGrpSpPr>
        <xdr:grpSpPr>
          <a:xfrm>
            <a:off x="571252" y="3256048"/>
            <a:ext cx="5220102" cy="596207"/>
            <a:chOff x="647206" y="8170948"/>
            <a:chExt cx="5186235" cy="596207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68C11529-96D5-4B33-BF5B-242D59192E67}"/>
                </a:ext>
              </a:extLst>
            </xdr:cNvPr>
            <xdr:cNvSpPr txBox="1"/>
          </xdr:nvSpPr>
          <xdr:spPr>
            <a:xfrm>
              <a:off x="1054902" y="8212906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Concat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59DC0500-CF6B-4AC9-8DEF-654B604210B5}"/>
                </a:ext>
              </a:extLst>
            </xdr:cNvPr>
            <xdr:cNvSpPr/>
          </xdr:nvSpPr>
          <xdr:spPr>
            <a:xfrm>
              <a:off x="647206" y="81709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98573761-715A-4C51-86E1-5D0522AA3D6C}"/>
              </a:ext>
            </a:extLst>
          </xdr:cNvPr>
          <xdr:cNvGrpSpPr/>
        </xdr:nvGrpSpPr>
        <xdr:grpSpPr>
          <a:xfrm>
            <a:off x="561851" y="3808537"/>
            <a:ext cx="5220101" cy="596208"/>
            <a:chOff x="628403" y="8161462"/>
            <a:chExt cx="5186234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C82E18EE-B12A-460B-A177-CC6FC16140DB}"/>
                </a:ext>
              </a:extLst>
            </xdr:cNvPr>
            <xdr:cNvSpPr txBox="1"/>
          </xdr:nvSpPr>
          <xdr:spPr>
            <a:xfrm>
              <a:off x="1036098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Unirtexto [disponível da versão 2016 office 365 em diante]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00722E37-0EC7-4523-9BC7-76048650163F}"/>
                </a:ext>
              </a:extLst>
            </xdr:cNvPr>
            <xdr:cNvSpPr/>
          </xdr:nvSpPr>
          <xdr:spPr>
            <a:xfrm>
              <a:off x="628403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242748</xdr:colOff>
      <xdr:row>1</xdr:row>
      <xdr:rowOff>95249</xdr:rowOff>
    </xdr:from>
    <xdr:to>
      <xdr:col>4</xdr:col>
      <xdr:colOff>342331</xdr:colOff>
      <xdr:row>11</xdr:row>
      <xdr:rowOff>133350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AD61D03-7F12-4E92-AD3D-9A7B4C4040CE}"/>
            </a:ext>
          </a:extLst>
        </xdr:cNvPr>
        <xdr:cNvGrpSpPr/>
      </xdr:nvGrpSpPr>
      <xdr:grpSpPr>
        <a:xfrm>
          <a:off x="242748" y="285749"/>
          <a:ext cx="2537983" cy="1943101"/>
          <a:chOff x="166548" y="304799"/>
          <a:chExt cx="3262452" cy="2688261"/>
        </a:xfrm>
      </xdr:grpSpPr>
      <xdr:pic>
        <xdr:nvPicPr>
          <xdr:cNvPr id="2" name="Imagem 1" descr="Imagem relacionada">
            <a:extLst>
              <a:ext uri="{FF2B5EF4-FFF2-40B4-BE49-F238E27FC236}">
                <a16:creationId xmlns:a16="http://schemas.microsoft.com/office/drawing/2014/main" id="{B063D31D-3207-4FB2-A82E-55B5B17771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6548" y="304799"/>
            <a:ext cx="3262452" cy="2688261"/>
          </a:xfrm>
          <a:prstGeom prst="round2DiagRect">
            <a:avLst>
              <a:gd name="adj1" fmla="val 11707"/>
              <a:gd name="adj2" fmla="val 0"/>
            </a:avLst>
          </a:prstGeom>
          <a:ln w="88900" cap="sq">
            <a:solidFill>
              <a:srgbClr val="FFFFFF"/>
            </a:solidFill>
            <a:miter lim="800000"/>
          </a:ln>
          <a:effectLst>
            <a:outerShdw blurRad="254000" algn="tl" rotWithShape="0">
              <a:srgbClr val="000000">
                <a:alpha val="43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CaixaDeTexto 2">
            <a:extLst>
              <a:ext uri="{FF2B5EF4-FFF2-40B4-BE49-F238E27FC236}">
                <a16:creationId xmlns:a16="http://schemas.microsoft.com/office/drawing/2014/main" id="{00E0BAC4-E922-4343-885A-440C95650E43}"/>
              </a:ext>
            </a:extLst>
          </xdr:cNvPr>
          <xdr:cNvSpPr txBox="1"/>
        </xdr:nvSpPr>
        <xdr:spPr>
          <a:xfrm>
            <a:off x="485775" y="571500"/>
            <a:ext cx="2747355" cy="399522"/>
          </a:xfrm>
          <a:prstGeom prst="round2DiagRect">
            <a:avLst>
              <a:gd name="adj1" fmla="val 49454"/>
              <a:gd name="adj2" fmla="val 0"/>
            </a:avLst>
          </a:prstGeom>
          <a:solidFill>
            <a:schemeClr val="bg1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pt-BR" sz="1800">
                <a:latin typeface="Berlin Sans FB" panose="020E0602020502020306" pitchFamily="34" charset="0"/>
              </a:rPr>
              <a:t>ORGANIZE-SE</a:t>
            </a:r>
          </a:p>
        </xdr:txBody>
      </xdr:sp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6569</xdr:colOff>
      <xdr:row>10</xdr:row>
      <xdr:rowOff>13138</xdr:rowOff>
    </xdr:from>
    <xdr:to>
      <xdr:col>7</xdr:col>
      <xdr:colOff>1122907</xdr:colOff>
      <xdr:row>16</xdr:row>
      <xdr:rowOff>1643</xdr:rowOff>
    </xdr:to>
    <xdr:grpSp>
      <xdr:nvGrpSpPr>
        <xdr:cNvPr id="3" name="Grupo 105">
          <a:extLst>
            <a:ext uri="{FF2B5EF4-FFF2-40B4-BE49-F238E27FC236}">
              <a16:creationId xmlns:a16="http://schemas.microsoft.com/office/drawing/2014/main" id="{E87813E1-CEF5-4CC5-92DD-276F4AA77319}"/>
            </a:ext>
          </a:extLst>
        </xdr:cNvPr>
        <xdr:cNvGrpSpPr/>
      </xdr:nvGrpSpPr>
      <xdr:grpSpPr>
        <a:xfrm>
          <a:off x="168494" y="2594413"/>
          <a:ext cx="5316863" cy="1474405"/>
          <a:chOff x="333375" y="276186"/>
          <a:chExt cx="2959533" cy="1914200"/>
        </a:xfrm>
      </xdr:grpSpPr>
      <xdr:grpSp>
        <xdr:nvGrpSpPr>
          <xdr:cNvPr id="5" name="Instrução Adicionar números">
            <a:extLst>
              <a:ext uri="{FF2B5EF4-FFF2-40B4-BE49-F238E27FC236}">
                <a16:creationId xmlns:a16="http://schemas.microsoft.com/office/drawing/2014/main" id="{1A76F508-7073-43D3-B926-C40AFE1B7E3F}"/>
              </a:ext>
            </a:extLst>
          </xdr:cNvPr>
          <xdr:cNvGrpSpPr/>
        </xdr:nvGrpSpPr>
        <xdr:grpSpPr>
          <a:xfrm>
            <a:off x="333375" y="276186"/>
            <a:ext cx="2959533" cy="1914200"/>
            <a:chOff x="0" y="9585"/>
            <a:chExt cx="2959533" cy="1934139"/>
          </a:xfrm>
        </xdr:grpSpPr>
        <xdr:sp macro="" textlink="">
          <xdr:nvSpPr>
            <xdr:cNvPr id="7" name="Plano de Fundo" descr="Plano de Fundo">
              <a:extLst>
                <a:ext uri="{FF2B5EF4-FFF2-40B4-BE49-F238E27FC236}">
                  <a16:creationId xmlns:a16="http://schemas.microsoft.com/office/drawing/2014/main" id="{8662667F-A114-4497-8B6C-13FD8D844D59}"/>
                </a:ext>
              </a:extLst>
            </xdr:cNvPr>
            <xdr:cNvSpPr/>
          </xdr:nvSpPr>
          <xdr:spPr>
            <a:xfrm>
              <a:off x="0" y="9585"/>
              <a:ext cx="2959533" cy="193413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8" name="Etapa" descr="Noções básicas: fazer cálculos no Excel&#10;">
              <a:extLst>
                <a:ext uri="{FF2B5EF4-FFF2-40B4-BE49-F238E27FC236}">
                  <a16:creationId xmlns:a16="http://schemas.microsoft.com/office/drawing/2014/main" id="{38B80913-7110-45E0-B032-F51922F9E576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9" name="Linha superior" descr="Linha decorativa">
              <a:extLst>
                <a:ext uri="{FF2B5EF4-FFF2-40B4-BE49-F238E27FC236}">
                  <a16:creationId xmlns:a16="http://schemas.microsoft.com/office/drawing/2014/main" id="{6BF8FE0F-5B74-4F59-8CF6-400F72288DCE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56000394-B905-4EA1-A798-2A3B4AB3D3D1}"/>
              </a:ext>
            </a:extLst>
          </xdr:cNvPr>
          <xdr:cNvSpPr txBox="1"/>
        </xdr:nvSpPr>
        <xdr:spPr>
          <a:xfrm>
            <a:off x="442289" y="1139133"/>
            <a:ext cx="2847326" cy="8536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Utilizando a função Concatenar, vamos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concatenar informações como nome completo, data de nascimento, cidade e UF em uma única célula.</a:t>
            </a:r>
          </a:p>
        </xdr:txBody>
      </xdr:sp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164647</xdr:colOff>
      <xdr:row>7</xdr:row>
      <xdr:rowOff>19050</xdr:rowOff>
    </xdr:from>
    <xdr:to>
      <xdr:col>15</xdr:col>
      <xdr:colOff>600440</xdr:colOff>
      <xdr:row>14</xdr:row>
      <xdr:rowOff>161925</xdr:rowOff>
    </xdr:to>
    <xdr:grpSp>
      <xdr:nvGrpSpPr>
        <xdr:cNvPr id="3" name="Grupo 105">
          <a:extLst>
            <a:ext uri="{FF2B5EF4-FFF2-40B4-BE49-F238E27FC236}">
              <a16:creationId xmlns:a16="http://schemas.microsoft.com/office/drawing/2014/main" id="{AB4D07CB-27FD-4340-8DCE-47ECFCA8E424}"/>
            </a:ext>
          </a:extLst>
        </xdr:cNvPr>
        <xdr:cNvGrpSpPr/>
      </xdr:nvGrpSpPr>
      <xdr:grpSpPr>
        <a:xfrm>
          <a:off x="5022397" y="1590675"/>
          <a:ext cx="5312593" cy="1476375"/>
          <a:chOff x="333375" y="276186"/>
          <a:chExt cx="2959533" cy="1914200"/>
        </a:xfrm>
      </xdr:grpSpPr>
      <xdr:grpSp>
        <xdr:nvGrpSpPr>
          <xdr:cNvPr id="4" name="Instrução Adicionar números">
            <a:extLst>
              <a:ext uri="{FF2B5EF4-FFF2-40B4-BE49-F238E27FC236}">
                <a16:creationId xmlns:a16="http://schemas.microsoft.com/office/drawing/2014/main" id="{5DDABF20-A5C0-416A-9703-5FDA219D556E}"/>
              </a:ext>
            </a:extLst>
          </xdr:cNvPr>
          <xdr:cNvGrpSpPr/>
        </xdr:nvGrpSpPr>
        <xdr:grpSpPr>
          <a:xfrm>
            <a:off x="333375" y="276186"/>
            <a:ext cx="2959533" cy="1914200"/>
            <a:chOff x="0" y="9585"/>
            <a:chExt cx="2959533" cy="1934139"/>
          </a:xfrm>
        </xdr:grpSpPr>
        <xdr:sp macro="" textlink="">
          <xdr:nvSpPr>
            <xdr:cNvPr id="6" name="Plano de Fundo" descr="Plano de Fundo">
              <a:extLst>
                <a:ext uri="{FF2B5EF4-FFF2-40B4-BE49-F238E27FC236}">
                  <a16:creationId xmlns:a16="http://schemas.microsoft.com/office/drawing/2014/main" id="{53A1DBA5-C264-40DD-803A-0A21E02BAA55}"/>
                </a:ext>
              </a:extLst>
            </xdr:cNvPr>
            <xdr:cNvSpPr/>
          </xdr:nvSpPr>
          <xdr:spPr>
            <a:xfrm>
              <a:off x="0" y="9585"/>
              <a:ext cx="2959533" cy="193413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7" name="Etapa" descr="Noções básicas: fazer cálculos no Excel&#10;">
              <a:extLst>
                <a:ext uri="{FF2B5EF4-FFF2-40B4-BE49-F238E27FC236}">
                  <a16:creationId xmlns:a16="http://schemas.microsoft.com/office/drawing/2014/main" id="{4E4AB590-6E7C-4EEA-A340-87DE0A1FF5DA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8" name="Linha superior" descr="Linha decorativa">
              <a:extLst>
                <a:ext uri="{FF2B5EF4-FFF2-40B4-BE49-F238E27FC236}">
                  <a16:creationId xmlns:a16="http://schemas.microsoft.com/office/drawing/2014/main" id="{50B2B2A1-EE3F-4DBA-ABBE-DA5A4321C308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E1F70E4B-60FB-416D-A6FA-ECF6D3C0A434}"/>
              </a:ext>
            </a:extLst>
          </xdr:cNvPr>
          <xdr:cNvSpPr txBox="1"/>
        </xdr:nvSpPr>
        <xdr:spPr>
          <a:xfrm>
            <a:off x="442289" y="1139133"/>
            <a:ext cx="2847326" cy="8536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Foi solicitado gerar um código identificador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para cada colaborador da empresa.</a:t>
            </a:r>
            <a:r>
              <a:rPr kumimoji="0" lang="en-US" sz="1100" b="0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Para isso, vamos utilizar a função CONCAT ou CONCATENAR ou &amp;.</a:t>
            </a:r>
            <a:endParaRPr lang="pt-BR" sz="1100" b="0" i="0" u="none" strike="noStrike" kern="1200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</xdr:grpSp>
    <xdr:clientData/>
  </xdr:twoCellAnchor>
  <xdr:oneCellAnchor>
    <xdr:from>
      <xdr:col>9</xdr:col>
      <xdr:colOff>114299</xdr:colOff>
      <xdr:row>2</xdr:row>
      <xdr:rowOff>38100</xdr:rowOff>
    </xdr:from>
    <xdr:ext cx="4829175" cy="13239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3585A73-2AB1-468E-8C53-64E5D90DDD4B}"/>
            </a:ext>
          </a:extLst>
        </xdr:cNvPr>
        <xdr:cNvSpPr txBox="1"/>
      </xdr:nvSpPr>
      <xdr:spPr>
        <a:xfrm>
          <a:off x="6600824" y="657225"/>
          <a:ext cx="4829175" cy="1323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4000">
              <a:ln>
                <a:solidFill>
                  <a:srgbClr val="C00000"/>
                </a:solidFill>
              </a:ln>
              <a:solidFill>
                <a:schemeClr val="bg1"/>
              </a:solidFill>
              <a:effectLst/>
              <a:latin typeface="a song for jennifer" pitchFamily="2" charset="0"/>
            </a:rPr>
            <a:t>ATENÇÃO</a:t>
          </a:r>
          <a:r>
            <a:rPr lang="pt-BR" sz="8800">
              <a:ln>
                <a:solidFill>
                  <a:srgbClr val="C00000"/>
                </a:solidFill>
              </a:ln>
              <a:solidFill>
                <a:schemeClr val="bg1"/>
              </a:solidFill>
              <a:effectLst/>
              <a:latin typeface="a song for jennifer" pitchFamily="2" charset="0"/>
            </a:rPr>
            <a:t>!</a:t>
          </a:r>
          <a:endParaRPr lang="pt-BR" sz="4000">
            <a:ln>
              <a:solidFill>
                <a:srgbClr val="C00000"/>
              </a:solidFill>
            </a:ln>
            <a:solidFill>
              <a:schemeClr val="bg1"/>
            </a:solidFill>
            <a:effectLst/>
            <a:latin typeface="a song for jennifer" pitchFamily="2" charset="0"/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0</xdr:colOff>
      <xdr:row>1</xdr:row>
      <xdr:rowOff>0</xdr:rowOff>
    </xdr:from>
    <xdr:to>
      <xdr:col>18</xdr:col>
      <xdr:colOff>373674</xdr:colOff>
      <xdr:row>12</xdr:row>
      <xdr:rowOff>90121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D733A5AA-CE40-444A-B26F-5BCEC938739F}"/>
            </a:ext>
          </a:extLst>
        </xdr:cNvPr>
        <xdr:cNvGrpSpPr/>
      </xdr:nvGrpSpPr>
      <xdr:grpSpPr>
        <a:xfrm>
          <a:off x="8724900" y="190500"/>
          <a:ext cx="5860074" cy="2204671"/>
          <a:chOff x="333375" y="276186"/>
          <a:chExt cx="3257176" cy="2852775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D0157DF9-14B5-4868-ADB8-B0A03771CF3C}"/>
              </a:ext>
            </a:extLst>
          </xdr:cNvPr>
          <xdr:cNvGrpSpPr/>
        </xdr:nvGrpSpPr>
        <xdr:grpSpPr>
          <a:xfrm>
            <a:off x="333375" y="276186"/>
            <a:ext cx="3257176" cy="2852775"/>
            <a:chOff x="0" y="9585"/>
            <a:chExt cx="3257176" cy="2882491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9E8FD606-7245-45B9-8FDA-68E0FF63FF15}"/>
                </a:ext>
              </a:extLst>
            </xdr:cNvPr>
            <xdr:cNvSpPr/>
          </xdr:nvSpPr>
          <xdr:spPr>
            <a:xfrm>
              <a:off x="0" y="9585"/>
              <a:ext cx="3257176" cy="2882491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2E7CA019-34DA-4A3F-97B1-80137843FD1F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F975B1AB-4757-49EB-84B9-8725D87197C3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51EB30AB-105F-47DC-851A-1D76B7842295}"/>
              </a:ext>
            </a:extLst>
          </xdr:cNvPr>
          <xdr:cNvSpPr txBox="1"/>
        </xdr:nvSpPr>
        <xdr:spPr>
          <a:xfrm>
            <a:off x="442289" y="1139133"/>
            <a:ext cx="3144180" cy="19299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No campo resultado precisamos trazer o conteúdo distribuído no intervalo de E3:G5.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 função: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Unirtexto 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50" b="1" i="0" u="none" strike="noStrike" kern="1200" cap="none" spc="0" normalizeH="0" baseline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Observação Importante: Se na sua versão do Excel não existir a função Unirtexto, fique tranquilo, pois, poderá usar a função Concatenar, mas com muito mais trabalho.</a:t>
            </a:r>
            <a:endParaRPr kumimoji="0" lang="en-US" sz="1050" b="1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190500</xdr:rowOff>
    </xdr:from>
    <xdr:to>
      <xdr:col>13</xdr:col>
      <xdr:colOff>180975</xdr:colOff>
      <xdr:row>16</xdr:row>
      <xdr:rowOff>238124</xdr:rowOff>
    </xdr:to>
    <xdr:sp macro="" textlink="">
      <xdr:nvSpPr>
        <xdr:cNvPr id="2" name="CaixaDeTexto 1" descr="Novo Teste" title="Teste">
          <a:extLst>
            <a:ext uri="{FF2B5EF4-FFF2-40B4-BE49-F238E27FC236}">
              <a16:creationId xmlns:a16="http://schemas.microsoft.com/office/drawing/2014/main" id="{B1731867-8745-412E-9126-46C217A4BBDA}"/>
            </a:ext>
          </a:extLst>
        </xdr:cNvPr>
        <xdr:cNvSpPr txBox="1"/>
      </xdr:nvSpPr>
      <xdr:spPr>
        <a:xfrm>
          <a:off x="8277225" y="685800"/>
          <a:ext cx="3790950" cy="3514724"/>
        </a:xfrm>
        <a:prstGeom prst="teardrop">
          <a:avLst>
            <a:gd name="adj" fmla="val 97990"/>
          </a:avLst>
        </a:prstGeom>
        <a:solidFill>
          <a:schemeClr val="accent4">
            <a:alpha val="41000"/>
          </a:schemeClr>
        </a:solidFill>
        <a:ln w="38100">
          <a:solidFill>
            <a:schemeClr val="accent4">
              <a:lumMod val="60000"/>
              <a:lumOff val="40000"/>
            </a:schemeClr>
          </a:solidFill>
        </a:ln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200" b="0" i="0" u="none" strike="noStrike">
              <a:solidFill>
                <a:sysClr val="windowText" lastClr="000000"/>
              </a:solidFill>
              <a:effectLst/>
              <a:latin typeface="Segoe UI" panose="020B0502040204020203" pitchFamily="34" charset="0"/>
            </a:rPr>
            <a:t>As novas funções </a:t>
          </a:r>
          <a:r>
            <a:rPr lang="pt-BR" sz="1200" b="1" i="0" u="none" strike="noStrike">
              <a:solidFill>
                <a:sysClr val="windowText" lastClr="000000"/>
              </a:solidFill>
              <a:effectLst/>
              <a:latin typeface="Segoe UI" panose="020B0502040204020203" pitchFamily="34" charset="0"/>
            </a:rPr>
            <a:t>UNIRTEXTO</a:t>
          </a:r>
          <a:r>
            <a:rPr lang="pt-BR" sz="1200" b="0" i="0" u="none" strike="noStrike">
              <a:solidFill>
                <a:sysClr val="windowText" lastClr="000000"/>
              </a:solidFill>
              <a:effectLst/>
              <a:latin typeface="Segoe UI" panose="020B0502040204020203" pitchFamily="34" charset="0"/>
            </a:rPr>
            <a:t> e </a:t>
          </a:r>
          <a:r>
            <a:rPr lang="pt-BR" sz="1200" b="1" i="0" u="none" strike="noStrike">
              <a:solidFill>
                <a:sysClr val="windowText" lastClr="000000"/>
              </a:solidFill>
              <a:effectLst/>
              <a:latin typeface="Segoe UI" panose="020B0502040204020203" pitchFamily="34" charset="0"/>
            </a:rPr>
            <a:t>CONCAT</a:t>
          </a:r>
          <a:r>
            <a:rPr lang="pt-BR" sz="1200" b="0" i="0" u="none" strike="noStrike">
              <a:solidFill>
                <a:sysClr val="windowText" lastClr="000000"/>
              </a:solidFill>
              <a:effectLst/>
              <a:latin typeface="Segoe UI" panose="020B0502040204020203" pitchFamily="34" charset="0"/>
            </a:rPr>
            <a:t> permitem combinar sequências de texto de intervalos de células usando ou não delimitadores, como vírgulas separando cada item. Você pode simplesmente se referir ao intervalo e especificar o delimitador uma vez e deixar o Excel fazer todo o trabalho pesado.</a:t>
          </a:r>
          <a:endParaRPr lang="pt-BR" sz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453774</xdr:colOff>
      <xdr:row>0</xdr:row>
      <xdr:rowOff>180975</xdr:rowOff>
    </xdr:from>
    <xdr:to>
      <xdr:col>10</xdr:col>
      <xdr:colOff>489239</xdr:colOff>
      <xdr:row>21</xdr:row>
      <xdr:rowOff>0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BFB940B7-04FA-4F53-88E2-B77C410E3337}"/>
            </a:ext>
          </a:extLst>
        </xdr:cNvPr>
        <xdr:cNvGrpSpPr/>
      </xdr:nvGrpSpPr>
      <xdr:grpSpPr>
        <a:xfrm>
          <a:off x="2653183" y="180975"/>
          <a:ext cx="4278420" cy="3871480"/>
          <a:chOff x="314450" y="58019"/>
          <a:chExt cx="4274644" cy="3851103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CF225BA1-523B-4110-B572-283BD181D6D4}"/>
              </a:ext>
            </a:extLst>
          </xdr:cNvPr>
          <xdr:cNvGrpSpPr/>
        </xdr:nvGrpSpPr>
        <xdr:grpSpPr>
          <a:xfrm>
            <a:off x="314450" y="58019"/>
            <a:ext cx="4274644" cy="3851103"/>
            <a:chOff x="-18925" y="-210855"/>
            <a:chExt cx="4274644" cy="3891218"/>
          </a:xfrm>
        </xdr:grpSpPr>
        <xdr:sp macro="" textlink="">
          <xdr:nvSpPr>
            <xdr:cNvPr id="17" name="Plano de Fundo" descr="Plano de Fundo">
              <a:extLst>
                <a:ext uri="{FF2B5EF4-FFF2-40B4-BE49-F238E27FC236}">
                  <a16:creationId xmlns:a16="http://schemas.microsoft.com/office/drawing/2014/main" id="{F5B97F85-10CF-4B88-87CA-5E673E458625}"/>
                </a:ext>
              </a:extLst>
            </xdr:cNvPr>
            <xdr:cNvSpPr/>
          </xdr:nvSpPr>
          <xdr:spPr>
            <a:xfrm>
              <a:off x="-18925" y="-210855"/>
              <a:ext cx="4274644" cy="3891218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18" name="Etapa" descr="Noções básicas: fazer cálculos no Excel&#10;">
              <a:extLst>
                <a:ext uri="{FF2B5EF4-FFF2-40B4-BE49-F238E27FC236}">
                  <a16:creationId xmlns:a16="http://schemas.microsoft.com/office/drawing/2014/main" id="{041B9D1A-8446-4F95-8CA4-A821BEACCF1A}"/>
                </a:ext>
              </a:extLst>
            </xdr:cNvPr>
            <xdr:cNvSpPr txBox="1"/>
          </xdr:nvSpPr>
          <xdr:spPr>
            <a:xfrm>
              <a:off x="184433" y="118698"/>
              <a:ext cx="2282785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Acredite se quiser!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0" name="Linha superior" descr="Linha decorativa">
              <a:extLst>
                <a:ext uri="{FF2B5EF4-FFF2-40B4-BE49-F238E27FC236}">
                  <a16:creationId xmlns:a16="http://schemas.microsoft.com/office/drawing/2014/main" id="{F7C091D8-EF1A-41AA-9C3E-874C3047EA4E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3834711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C490B303-B5DE-497A-B543-F31399CB954C}"/>
              </a:ext>
            </a:extLst>
          </xdr:cNvPr>
          <xdr:cNvSpPr txBox="1"/>
        </xdr:nvSpPr>
        <xdr:spPr>
          <a:xfrm>
            <a:off x="451745" y="994457"/>
            <a:ext cx="3881848" cy="2876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/>
              <a:t>Você já tentou criar uma lista no Excel usando marcadores? Se tentou acredito que acabou se frustando, afinal, o Excel não dispõe</a:t>
            </a:r>
            <a:r>
              <a:rPr lang="pt-BR" sz="1100" baseline="0"/>
              <a:t> daquele botão que o MS Word e MS PowerPoint tem.</a:t>
            </a:r>
          </a:p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Para fazer isso aqui no Excel, precisamos usar a função Caract e sua base de códigos.</a:t>
            </a:r>
          </a:p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algn="just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Na atividade ao lado use a função Caract e a fórmula de concatenação.</a:t>
            </a:r>
            <a:endPara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3</xdr:col>
      <xdr:colOff>203444</xdr:colOff>
      <xdr:row>0</xdr:row>
      <xdr:rowOff>121228</xdr:rowOff>
    </xdr:from>
    <xdr:to>
      <xdr:col>15</xdr:col>
      <xdr:colOff>211794</xdr:colOff>
      <xdr:row>27</xdr:row>
      <xdr:rowOff>21391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93F9B2-3A72-4E0E-A9FF-D2BA3E58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53" y="121228"/>
          <a:ext cx="7281986" cy="509561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205687</xdr:colOff>
      <xdr:row>4</xdr:row>
      <xdr:rowOff>159784</xdr:rowOff>
    </xdr:from>
    <xdr:ext cx="45719" cy="45719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9131C5C-4A76-422D-9861-AAD3ABCC52F9}"/>
            </a:ext>
          </a:extLst>
        </xdr:cNvPr>
        <xdr:cNvSpPr txBox="1"/>
      </xdr:nvSpPr>
      <xdr:spPr>
        <a:xfrm flipV="1">
          <a:off x="8721037" y="921784"/>
          <a:ext cx="45719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0</xdr:col>
      <xdr:colOff>488949</xdr:colOff>
      <xdr:row>21</xdr:row>
      <xdr:rowOff>53975</xdr:rowOff>
    </xdr:from>
    <xdr:to>
      <xdr:col>7</xdr:col>
      <xdr:colOff>105834</xdr:colOff>
      <xdr:row>36</xdr:row>
      <xdr:rowOff>111125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EAAC404-E65D-4708-82FF-784D82F393AF}"/>
            </a:ext>
          </a:extLst>
        </xdr:cNvPr>
        <xdr:cNvSpPr txBox="1"/>
      </xdr:nvSpPr>
      <xdr:spPr>
        <a:xfrm>
          <a:off x="488949" y="4361392"/>
          <a:ext cx="8602135" cy="2914650"/>
        </a:xfrm>
        <a:prstGeom prst="rect">
          <a:avLst/>
        </a:prstGeom>
        <a:ln>
          <a:solidFill>
            <a:schemeClr val="accent2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ysClr val="windowText" lastClr="000000"/>
              </a:solidFill>
            </a:rPr>
            <a:t>Dicas para o Desafio Final das Funções Texto</a:t>
          </a:r>
        </a:p>
        <a:p>
          <a:r>
            <a:rPr lang="pt-BR" sz="1600" b="0">
              <a:solidFill>
                <a:sysClr val="windowText" lastClr="000000"/>
              </a:solidFill>
            </a:rPr>
            <a:t>Formate como tabela</a:t>
          </a:r>
        </a:p>
        <a:p>
          <a:r>
            <a:rPr lang="pt-BR" sz="1600" b="0">
              <a:solidFill>
                <a:sysClr val="windowText" lastClr="000000"/>
              </a:solidFill>
            </a:rPr>
            <a:t>Nomeie a tabela</a:t>
          </a:r>
          <a:r>
            <a:rPr lang="pt-BR" sz="1600" b="0" baseline="0">
              <a:solidFill>
                <a:sysClr val="windowText" lastClr="000000"/>
              </a:solidFill>
            </a:rPr>
            <a:t> como email_colaboradores</a:t>
          </a:r>
          <a:endParaRPr lang="pt-BR" sz="1600" b="0">
            <a:solidFill>
              <a:sysClr val="windowText" lastClr="000000"/>
            </a:solidFill>
          </a:endParaRPr>
        </a:p>
        <a:p>
          <a:endParaRPr lang="pt-BR" sz="1600" b="1">
            <a:solidFill>
              <a:sysClr val="windowText" lastClr="000000"/>
            </a:solidFill>
          </a:endParaRPr>
        </a:p>
        <a:p>
          <a:r>
            <a:rPr lang="pt-BR" sz="1600" b="0">
              <a:solidFill>
                <a:sysClr val="windowText" lastClr="000000"/>
              </a:solidFill>
            </a:rPr>
            <a:t>Na coluna</a:t>
          </a:r>
          <a:r>
            <a:rPr lang="pt-BR" sz="1600" b="0" baseline="0">
              <a:solidFill>
                <a:sysClr val="windowText" lastClr="000000"/>
              </a:solidFill>
            </a:rPr>
            <a:t> </a:t>
          </a:r>
          <a:r>
            <a:rPr lang="pt-BR" sz="1600" b="1" baseline="0">
              <a:solidFill>
                <a:sysClr val="windowText" lastClr="000000"/>
              </a:solidFill>
            </a:rPr>
            <a:t>Arrumar</a:t>
          </a:r>
          <a:r>
            <a:rPr lang="pt-BR" sz="1600" b="0" baseline="0">
              <a:solidFill>
                <a:sysClr val="windowText" lastClr="000000"/>
              </a:solidFill>
            </a:rPr>
            <a:t> </a:t>
          </a:r>
          <a:r>
            <a:rPr lang="pt-BR" sz="1600" b="1" baseline="0">
              <a:solidFill>
                <a:sysClr val="windowText" lastClr="000000"/>
              </a:solidFill>
            </a:rPr>
            <a:t>Nome</a:t>
          </a:r>
          <a:r>
            <a:rPr lang="pt-BR" sz="1600" b="0" baseline="0">
              <a:solidFill>
                <a:sysClr val="windowText" lastClr="000000"/>
              </a:solidFill>
            </a:rPr>
            <a:t> e </a:t>
          </a:r>
          <a:r>
            <a:rPr lang="pt-BR" sz="1600" b="1" baseline="0">
              <a:solidFill>
                <a:sysClr val="windowText" lastClr="000000"/>
              </a:solidFill>
            </a:rPr>
            <a:t>Arrumar</a:t>
          </a:r>
          <a:r>
            <a:rPr lang="pt-BR" sz="1600" b="0" baseline="0">
              <a:solidFill>
                <a:sysClr val="windowText" lastClr="000000"/>
              </a:solidFill>
            </a:rPr>
            <a:t> </a:t>
          </a:r>
          <a:r>
            <a:rPr lang="pt-BR" sz="1600" b="1" baseline="0">
              <a:solidFill>
                <a:sysClr val="windowText" lastClr="000000"/>
              </a:solidFill>
            </a:rPr>
            <a:t>Sobrenome</a:t>
          </a:r>
          <a:r>
            <a:rPr lang="pt-BR" sz="1600" b="0" baseline="0">
              <a:solidFill>
                <a:sysClr val="windowText" lastClr="000000"/>
              </a:solidFill>
            </a:rPr>
            <a:t> corrija o excesso de espaços existentes nas colunas Nome e Sobrenome</a:t>
          </a:r>
        </a:p>
        <a:p>
          <a:endParaRPr lang="pt-BR" sz="1600" b="0">
            <a:solidFill>
              <a:sysClr val="windowText" lastClr="000000"/>
            </a:solidFill>
          </a:endParaRPr>
        </a:p>
        <a:p>
          <a:r>
            <a:rPr lang="pt-BR" sz="1600" b="1">
              <a:solidFill>
                <a:sysClr val="windowText" lastClr="000000"/>
              </a:solidFill>
            </a:rPr>
            <a:t>Utilizando as funções</a:t>
          </a:r>
          <a:r>
            <a:rPr lang="pt-BR" sz="1600" b="1" baseline="0">
              <a:solidFill>
                <a:sysClr val="windowText" lastClr="000000"/>
              </a:solidFill>
            </a:rPr>
            <a:t> Concat e minúscula na coluna Novo E-mail:</a:t>
          </a:r>
          <a:br>
            <a:rPr lang="pt-BR" sz="1600" b="1" baseline="0">
              <a:solidFill>
                <a:sysClr val="windowText" lastClr="000000"/>
              </a:solidFill>
            </a:rPr>
          </a:br>
          <a:r>
            <a:rPr lang="pt-BR" sz="1600" b="0" baseline="0">
              <a:solidFill>
                <a:sysClr val="windowText" lastClr="000000"/>
              </a:solidFill>
            </a:rPr>
            <a:t>Será necessário</a:t>
          </a:r>
          <a:r>
            <a:rPr lang="pt-BR" sz="1600">
              <a:solidFill>
                <a:sysClr val="windowText" lastClr="000000"/>
              </a:solidFill>
            </a:rPr>
            <a:t> criar um novo e-mail para os funcionários conforme</a:t>
          </a:r>
          <a:r>
            <a:rPr lang="pt-BR" sz="1600" baseline="0">
              <a:solidFill>
                <a:sysClr val="windowText" lastClr="000000"/>
              </a:solidFill>
            </a:rPr>
            <a:t> exemplo.</a:t>
          </a:r>
        </a:p>
        <a:p>
          <a:endParaRPr lang="pt-BR" sz="1600">
            <a:solidFill>
              <a:sysClr val="windowText" lastClr="000000"/>
            </a:solidFill>
          </a:endParaRPr>
        </a:p>
        <a:p>
          <a:r>
            <a:rPr lang="pt-BR" sz="1600">
              <a:solidFill>
                <a:sysClr val="windowText" lastClr="000000"/>
              </a:solidFill>
            </a:rPr>
            <a:t>E.mail exemplo: ana.nunes@contoso.net.br</a:t>
          </a:r>
        </a:p>
      </xdr:txBody>
    </xdr:sp>
    <xdr:clientData/>
  </xdr:twoCellAnchor>
  <xdr:twoCellAnchor editAs="oneCell">
    <xdr:from>
      <xdr:col>8</xdr:col>
      <xdr:colOff>95250</xdr:colOff>
      <xdr:row>2</xdr:row>
      <xdr:rowOff>110067</xdr:rowOff>
    </xdr:from>
    <xdr:to>
      <xdr:col>14</xdr:col>
      <xdr:colOff>142875</xdr:colOff>
      <xdr:row>31</xdr:row>
      <xdr:rowOff>184615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70B26A6-A9CC-4629-BAB8-03B2DE8480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duotone>
            <a:prstClr val="black"/>
            <a:schemeClr val="accent5">
              <a:tint val="45000"/>
              <a:satMod val="400000"/>
            </a:schemeClr>
          </a:duotone>
          <a:alphaModFix/>
          <a:lum bright="-20000"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926" t="831"/>
        <a:stretch/>
      </xdr:blipFill>
      <xdr:spPr bwMode="auto">
        <a:xfrm>
          <a:off x="13028083" y="491067"/>
          <a:ext cx="3730625" cy="57577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0EFE3F1-4279-483D-9616-8767B64DC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4909611-D0BC-47E6-9DC7-83E845390E96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[FUNÇÃO SE]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3A4B5BBF-FA16-4B94-B00B-7BD94B672496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09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862585</xdr:colOff>
      <xdr:row>1</xdr:row>
      <xdr:rowOff>16023</xdr:rowOff>
    </xdr:from>
    <xdr:to>
      <xdr:col>19</xdr:col>
      <xdr:colOff>481881</xdr:colOff>
      <xdr:row>15</xdr:row>
      <xdr:rowOff>77404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2652084-967F-4318-A34B-684D0F0F0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49685" y="225573"/>
          <a:ext cx="4743746" cy="3061756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</xdr:col>
      <xdr:colOff>8771</xdr:colOff>
      <xdr:row>15</xdr:row>
      <xdr:rowOff>89247</xdr:rowOff>
    </xdr:from>
    <xdr:ext cx="6796678" cy="1461829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0450971-F4F0-48A4-A21F-AC3AEDFB6F42}"/>
            </a:ext>
          </a:extLst>
        </xdr:cNvPr>
        <xdr:cNvSpPr txBox="1"/>
      </xdr:nvSpPr>
      <xdr:spPr>
        <a:xfrm>
          <a:off x="297805" y="3308040"/>
          <a:ext cx="6796678" cy="14618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400" b="1"/>
            <a:t>Trabalhando a parte lógica do</a:t>
          </a:r>
          <a:r>
            <a:rPr lang="pt-BR" sz="1400" b="1" baseline="0"/>
            <a:t> Excel!</a:t>
          </a:r>
          <a:endParaRPr lang="pt-BR" sz="1400" b="1"/>
        </a:p>
        <a:p>
          <a:r>
            <a:rPr lang="pt-BR" sz="1400" b="1"/>
            <a:t>-</a:t>
          </a:r>
          <a:r>
            <a:rPr lang="pt-BR" sz="1400"/>
            <a:t> O valor do 1º Trim. é</a:t>
          </a:r>
          <a:r>
            <a:rPr lang="pt-BR" sz="1400" baseline="0"/>
            <a:t> maior do que o valor da meta?</a:t>
          </a:r>
        </a:p>
        <a:p>
          <a:r>
            <a:rPr lang="pt-BR" sz="1400" baseline="0"/>
            <a:t>- O valor do 1º Trim. é maior ou igual ao valor da meta?</a:t>
          </a:r>
        </a:p>
        <a:p>
          <a:r>
            <a:rPr lang="pt-BR" sz="1400" baseline="0"/>
            <a:t>- O valor do 1º Trim. é menor do que o valor da meta?</a:t>
          </a:r>
        </a:p>
        <a:p>
          <a:r>
            <a:rPr lang="pt-BR" sz="1400" baseline="0"/>
            <a:t>- O valor do 1º Trim. é igual ao valor da meta?</a:t>
          </a:r>
        </a:p>
        <a:p>
          <a:r>
            <a:rPr lang="pt-BR" sz="1400" baseline="0"/>
            <a:t>- O valor do 1º Trim. é diferente da meta?</a:t>
          </a:r>
          <a:endParaRPr lang="pt-BR" sz="1400"/>
        </a:p>
      </xdr:txBody>
    </xdr: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8198</xdr:colOff>
      <xdr:row>0</xdr:row>
      <xdr:rowOff>142978</xdr:rowOff>
    </xdr:from>
    <xdr:to>
      <xdr:col>8</xdr:col>
      <xdr:colOff>32845</xdr:colOff>
      <xdr:row>12</xdr:row>
      <xdr:rowOff>142875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8D212F98-793B-4501-A728-E5CF903733CB}"/>
            </a:ext>
          </a:extLst>
        </xdr:cNvPr>
        <xdr:cNvGrpSpPr/>
      </xdr:nvGrpSpPr>
      <xdr:grpSpPr>
        <a:xfrm>
          <a:off x="198698" y="142978"/>
          <a:ext cx="5844422" cy="2285897"/>
          <a:chOff x="333375" y="276186"/>
          <a:chExt cx="2972898" cy="304465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E5DDA39F-D821-4568-945A-3A13B579B1B3}"/>
              </a:ext>
            </a:extLst>
          </xdr:cNvPr>
          <xdr:cNvGrpSpPr/>
        </xdr:nvGrpSpPr>
        <xdr:grpSpPr>
          <a:xfrm>
            <a:off x="333375" y="276186"/>
            <a:ext cx="2959533" cy="3044651"/>
            <a:chOff x="0" y="9585"/>
            <a:chExt cx="2959533" cy="3076366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76DC8D6B-D3B1-496D-822D-C525B0B25991}"/>
                </a:ext>
              </a:extLst>
            </xdr:cNvPr>
            <xdr:cNvSpPr/>
          </xdr:nvSpPr>
          <xdr:spPr>
            <a:xfrm>
              <a:off x="0" y="9585"/>
              <a:ext cx="2959533" cy="3076366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4F934D98-FB05-4905-9940-64F48A513948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E81A4C3D-4E14-4355-B7A2-0B7F2BC982D1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481C6BDA-290F-4044-BC5F-36DDE38D0DF5}"/>
              </a:ext>
            </a:extLst>
          </xdr:cNvPr>
          <xdr:cNvSpPr txBox="1"/>
        </xdr:nvSpPr>
        <xdr:spPr>
          <a:xfrm>
            <a:off x="442289" y="1139133"/>
            <a:ext cx="2863984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Qual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a situação do pagamento do cliente? Será que está tudo OK ou será cobrado multa por atraso?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 função: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* Se a data de pagamento for maior do que a data de vencimento, então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"Cobrar Multa por atraso"; Caso contrário; "OK"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284559</xdr:colOff>
      <xdr:row>0</xdr:row>
      <xdr:rowOff>89297</xdr:rowOff>
    </xdr:from>
    <xdr:to>
      <xdr:col>5</xdr:col>
      <xdr:colOff>1154906</xdr:colOff>
      <xdr:row>10</xdr:row>
      <xdr:rowOff>95250</xdr:rowOff>
    </xdr:to>
    <xdr:grpSp>
      <xdr:nvGrpSpPr>
        <xdr:cNvPr id="3" name="Grupo 105">
          <a:extLst>
            <a:ext uri="{FF2B5EF4-FFF2-40B4-BE49-F238E27FC236}">
              <a16:creationId xmlns:a16="http://schemas.microsoft.com/office/drawing/2014/main" id="{754C086D-497F-415D-A28C-4751440A08C1}"/>
            </a:ext>
          </a:extLst>
        </xdr:cNvPr>
        <xdr:cNvGrpSpPr/>
      </xdr:nvGrpSpPr>
      <xdr:grpSpPr>
        <a:xfrm>
          <a:off x="284559" y="89297"/>
          <a:ext cx="5470922" cy="2139553"/>
          <a:chOff x="333375" y="276186"/>
          <a:chExt cx="2959533" cy="2897544"/>
        </a:xfrm>
      </xdr:grpSpPr>
      <xdr:grpSp>
        <xdr:nvGrpSpPr>
          <xdr:cNvPr id="4" name="Instrução Adicionar números">
            <a:extLst>
              <a:ext uri="{FF2B5EF4-FFF2-40B4-BE49-F238E27FC236}">
                <a16:creationId xmlns:a16="http://schemas.microsoft.com/office/drawing/2014/main" id="{D408E284-2688-45A9-A316-19C77E767C7B}"/>
              </a:ext>
            </a:extLst>
          </xdr:cNvPr>
          <xdr:cNvGrpSpPr/>
        </xdr:nvGrpSpPr>
        <xdr:grpSpPr>
          <a:xfrm>
            <a:off x="333375" y="276186"/>
            <a:ext cx="2959533" cy="2897544"/>
            <a:chOff x="0" y="9585"/>
            <a:chExt cx="2959533" cy="2927727"/>
          </a:xfrm>
        </xdr:grpSpPr>
        <xdr:sp macro="" textlink="">
          <xdr:nvSpPr>
            <xdr:cNvPr id="6" name="Plano de Fundo" descr="Plano de Fundo">
              <a:extLst>
                <a:ext uri="{FF2B5EF4-FFF2-40B4-BE49-F238E27FC236}">
                  <a16:creationId xmlns:a16="http://schemas.microsoft.com/office/drawing/2014/main" id="{2CE4B1E7-6591-4D12-A3DC-62E76E444C20}"/>
                </a:ext>
              </a:extLst>
            </xdr:cNvPr>
            <xdr:cNvSpPr/>
          </xdr:nvSpPr>
          <xdr:spPr>
            <a:xfrm>
              <a:off x="0" y="9585"/>
              <a:ext cx="2959533" cy="2927727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7" name="Etapa" descr="Noções básicas: fazer cálculos no Excel&#10;">
              <a:extLst>
                <a:ext uri="{FF2B5EF4-FFF2-40B4-BE49-F238E27FC236}">
                  <a16:creationId xmlns:a16="http://schemas.microsoft.com/office/drawing/2014/main" id="{A59D3DFD-B39A-47A0-AF6A-04A0340DAA30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8" name="Linha superior" descr="Linha decorativa">
              <a:extLst>
                <a:ext uri="{FF2B5EF4-FFF2-40B4-BE49-F238E27FC236}">
                  <a16:creationId xmlns:a16="http://schemas.microsoft.com/office/drawing/2014/main" id="{E488B875-A255-43F1-8736-541B3E1749E7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4DF26F61-A528-4A04-A401-0F6C7FDD4D51}"/>
              </a:ext>
            </a:extLst>
          </xdr:cNvPr>
          <xdr:cNvSpPr txBox="1"/>
        </xdr:nvSpPr>
        <xdr:spPr>
          <a:xfrm>
            <a:off x="442289" y="1139133"/>
            <a:ext cx="2601606" cy="20186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pt-BR" sz="1200" b="1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Função</a:t>
            </a:r>
            <a:r>
              <a:rPr lang="pt-BR" sz="1200" b="1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Se na Tabela de dados</a:t>
            </a:r>
          </a:p>
          <a:p>
            <a:endParaRPr lang="pt-BR" sz="900">
              <a:effectLst/>
            </a:endParaRPr>
          </a:p>
          <a:p>
            <a:r>
              <a:rPr lang="pt-BR" sz="120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</a:t>
            </a:r>
            <a:r>
              <a:rPr lang="pt-BR" sz="120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 </a:t>
            </a:r>
            <a:r>
              <a:rPr lang="pt-BR" sz="1200" b="1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colaborador</a:t>
            </a:r>
            <a:r>
              <a:rPr lang="pt-BR" sz="120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for </a:t>
            </a:r>
            <a:r>
              <a:rPr lang="pt-BR" sz="1200" b="1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maior de idade </a:t>
            </a:r>
            <a:r>
              <a:rPr lang="pt-BR" sz="120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então retornar como valor verdadeiro a resposta </a:t>
            </a:r>
            <a:r>
              <a:rPr lang="pt-BR" sz="1200" b="1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Maior</a:t>
            </a:r>
            <a:r>
              <a:rPr lang="pt-BR" sz="1200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 caso contrário retornar como resposta falsa a expressão </a:t>
            </a:r>
            <a:r>
              <a:rPr lang="pt-BR" sz="1200" b="1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Menor</a:t>
            </a:r>
          </a:p>
          <a:p>
            <a:endParaRPr lang="pt-BR" sz="900">
              <a:effectLst/>
            </a:endParaRPr>
          </a:p>
          <a:p>
            <a:r>
              <a:rPr lang="pt-BR" sz="1200" b="1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 Função Se pode ser feita de variadas formas e baseado na orientação do seu Instrutor, usando as colunas D, E e F execute esses procedimentos</a:t>
            </a:r>
            <a:endParaRPr lang="pt-BR" sz="900">
              <a:effectLst/>
            </a:endParaRPr>
          </a:p>
        </xdr:txBody>
      </xdr:sp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842434</xdr:colOff>
      <xdr:row>17</xdr:row>
      <xdr:rowOff>173566</xdr:rowOff>
    </xdr:from>
    <xdr:to>
      <xdr:col>7</xdr:col>
      <xdr:colOff>633701</xdr:colOff>
      <xdr:row>29</xdr:row>
      <xdr:rowOff>74083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B94D66B3-F318-4BD0-B224-59BC42A97C94}"/>
            </a:ext>
          </a:extLst>
        </xdr:cNvPr>
        <xdr:cNvGrpSpPr/>
      </xdr:nvGrpSpPr>
      <xdr:grpSpPr>
        <a:xfrm>
          <a:off x="1109134" y="4116916"/>
          <a:ext cx="5315767" cy="2186517"/>
          <a:chOff x="333375" y="276186"/>
          <a:chExt cx="2959533" cy="2988621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09006BB6-64F0-4E55-A795-D48830F93556}"/>
              </a:ext>
            </a:extLst>
          </xdr:cNvPr>
          <xdr:cNvGrpSpPr/>
        </xdr:nvGrpSpPr>
        <xdr:grpSpPr>
          <a:xfrm>
            <a:off x="333375" y="276186"/>
            <a:ext cx="2959533" cy="2699951"/>
            <a:chOff x="0" y="9585"/>
            <a:chExt cx="2959533" cy="2728075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DDA855A8-AE5A-45E3-B5DE-2C7019BA23F2}"/>
                </a:ext>
              </a:extLst>
            </xdr:cNvPr>
            <xdr:cNvSpPr/>
          </xdr:nvSpPr>
          <xdr:spPr>
            <a:xfrm>
              <a:off x="0" y="9585"/>
              <a:ext cx="2959533" cy="272807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30DAA5CB-6FF4-4D4D-A839-693DDF0C167D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361D52FF-CF0A-4048-B6D5-7FC00F2BA73D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6EF09733-AFC5-4B9C-8C84-6B954101B322}"/>
              </a:ext>
            </a:extLst>
          </xdr:cNvPr>
          <xdr:cNvSpPr txBox="1"/>
        </xdr:nvSpPr>
        <xdr:spPr>
          <a:xfrm>
            <a:off x="442289" y="1139133"/>
            <a:ext cx="2847326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O seu alvo é a média de vendas!</a:t>
            </a:r>
            <a:endParaRPr lang="pt-BR" sz="1100" b="0" i="0" u="none" strike="noStrike" kern="1200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Utilizaremos a função: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0" i="0" u="none" strike="noStrike" kern="1200" cap="none" spc="0" normalizeH="0" baseline="0">
                <a:ln>
                  <a:noFill/>
                </a:ln>
                <a:solidFill>
                  <a:schemeClr val="dk1"/>
                </a:solidFill>
                <a:effectLst/>
                <a:uLnTx/>
                <a:uFillTx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* Se a média de vendas for menor que 5 milhões, "Não tem Bônus"; Se a média for maior ou igual a 5 milhões então "tem bônus"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260839</xdr:colOff>
      <xdr:row>1</xdr:row>
      <xdr:rowOff>43960</xdr:rowOff>
    </xdr:from>
    <xdr:to>
      <xdr:col>14</xdr:col>
      <xdr:colOff>430824</xdr:colOff>
      <xdr:row>9</xdr:row>
      <xdr:rowOff>148735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9F43EAC-60EF-49D1-8F61-E1AF80C2BA4C}"/>
            </a:ext>
          </a:extLst>
        </xdr:cNvPr>
        <xdr:cNvSpPr txBox="1"/>
      </xdr:nvSpPr>
      <xdr:spPr>
        <a:xfrm>
          <a:off x="7104185" y="234460"/>
          <a:ext cx="4426927" cy="1628775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</a:rPr>
            <a:t>Dicas para o Desafio Final das funções lógicas</a:t>
          </a:r>
        </a:p>
        <a:p>
          <a:endParaRPr lang="pt-BR" sz="1100" b="1">
            <a:solidFill>
              <a:sysClr val="windowText" lastClr="000000"/>
            </a:solidFill>
          </a:endParaRPr>
        </a:p>
        <a:p>
          <a:r>
            <a:rPr lang="pt-BR" sz="1100" b="0">
              <a:solidFill>
                <a:sysClr val="windowText" lastClr="000000"/>
              </a:solidFill>
            </a:rPr>
            <a:t>A função </a:t>
          </a:r>
          <a:r>
            <a:rPr lang="pt-BR" sz="1100" b="1">
              <a:solidFill>
                <a:sysClr val="windowText" lastClr="000000"/>
              </a:solidFill>
            </a:rPr>
            <a:t>Se</a:t>
          </a:r>
          <a:r>
            <a:rPr lang="pt-BR" sz="1100" b="0">
              <a:solidFill>
                <a:sysClr val="windowText" lastClr="000000"/>
              </a:solidFill>
            </a:rPr>
            <a:t> deverá olhar para o </a:t>
          </a:r>
          <a:r>
            <a:rPr lang="pt-BR" sz="1100" b="1">
              <a:solidFill>
                <a:sysClr val="windowText" lastClr="000000"/>
              </a:solidFill>
            </a:rPr>
            <a:t>sábado</a:t>
          </a:r>
          <a:r>
            <a:rPr lang="pt-BR" sz="1100" b="0">
              <a:solidFill>
                <a:sysClr val="windowText" lastClr="000000"/>
              </a:solidFill>
            </a:rPr>
            <a:t> e </a:t>
          </a:r>
          <a:r>
            <a:rPr lang="pt-BR" sz="1100" b="1">
              <a:solidFill>
                <a:sysClr val="windowText" lastClr="000000"/>
              </a:solidFill>
            </a:rPr>
            <a:t>domingo</a:t>
          </a:r>
          <a:r>
            <a:rPr lang="pt-BR" sz="1100" b="0">
              <a:solidFill>
                <a:sysClr val="windowText" lastClr="000000"/>
              </a:solidFill>
            </a:rPr>
            <a:t> e retornar como resultado uma</a:t>
          </a:r>
          <a:r>
            <a:rPr lang="pt-BR" sz="1100" b="0" baseline="0">
              <a:solidFill>
                <a:sysClr val="windowText" lastClr="000000"/>
              </a:solidFill>
            </a:rPr>
            <a:t> célula em branco quando não existir expediente naquela data.</a:t>
          </a:r>
        </a:p>
        <a:p>
          <a:endParaRPr lang="pt-BR" sz="1100" b="0" baseline="0">
            <a:solidFill>
              <a:sysClr val="windowText" lastClr="000000"/>
            </a:solidFill>
          </a:endParaRPr>
        </a:p>
        <a:p>
          <a:r>
            <a:rPr lang="pt-BR" sz="1100" b="0" baseline="0">
              <a:solidFill>
                <a:sysClr val="windowText" lastClr="000000"/>
              </a:solidFill>
            </a:rPr>
            <a:t>Sei que você consegue!</a:t>
          </a:r>
        </a:p>
        <a:p>
          <a:r>
            <a:rPr lang="pt-BR" sz="1100" b="0" baseline="0">
              <a:solidFill>
                <a:sysClr val="windowText" lastClr="000000"/>
              </a:solidFill>
            </a:rPr>
            <a:t>Força!</a:t>
          </a:r>
          <a:endParaRPr lang="pt-BR" sz="1100" b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304799</xdr:colOff>
      <xdr:row>10</xdr:row>
      <xdr:rowOff>1</xdr:rowOff>
    </xdr:from>
    <xdr:to>
      <xdr:col>2</xdr:col>
      <xdr:colOff>323849</xdr:colOff>
      <xdr:row>25</xdr:row>
      <xdr:rowOff>66676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Data de entrada">
              <a:extLst>
                <a:ext uri="{FF2B5EF4-FFF2-40B4-BE49-F238E27FC236}">
                  <a16:creationId xmlns:a16="http://schemas.microsoft.com/office/drawing/2014/main" id="{ACF1C0AC-72B1-53BF-9BF8-F1D2C2476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 de entra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799" y="2676526"/>
              <a:ext cx="1743075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762000</xdr:colOff>
      <xdr:row>22</xdr:row>
      <xdr:rowOff>171450</xdr:rowOff>
    </xdr:from>
    <xdr:to>
      <xdr:col>10</xdr:col>
      <xdr:colOff>200025</xdr:colOff>
      <xdr:row>37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1187CD9-11B1-8DF9-E069-0AE171C78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1</xdr:rowOff>
    </xdr:from>
    <xdr:to>
      <xdr:col>1</xdr:col>
      <xdr:colOff>1123950</xdr:colOff>
      <xdr:row>1</xdr:row>
      <xdr:rowOff>19051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5C8BF31-A257-C278-3FF3-87251A9B4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552575" cy="6096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0</xdr:row>
      <xdr:rowOff>1</xdr:rowOff>
    </xdr:from>
    <xdr:to>
      <xdr:col>20</xdr:col>
      <xdr:colOff>552450</xdr:colOff>
      <xdr:row>1</xdr:row>
      <xdr:rowOff>19051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8D99972B-989D-03B9-C709-D366CC2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63950" y="1"/>
          <a:ext cx="1657350" cy="6096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114300</xdr:colOff>
      <xdr:row>45</xdr:row>
      <xdr:rowOff>38100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8B71973D-11E0-48F2-93AC-F611FE190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5900" cy="8610600"/>
        </a:xfrm>
        <a:prstGeom prst="rect">
          <a:avLst/>
        </a:prstGeom>
      </xdr:spPr>
    </xdr:pic>
    <xdr:clientData/>
  </xdr:twoCellAnchor>
  <xdr:twoCellAnchor>
    <xdr:from>
      <xdr:col>8</xdr:col>
      <xdr:colOff>203391</xdr:colOff>
      <xdr:row>2</xdr:row>
      <xdr:rowOff>43390</xdr:rowOff>
    </xdr:from>
    <xdr:to>
      <xdr:col>17</xdr:col>
      <xdr:colOff>27709</xdr:colOff>
      <xdr:row>6</xdr:row>
      <xdr:rowOff>186265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84C3A74-5570-4194-AA31-C78152AED5F1}"/>
            </a:ext>
          </a:extLst>
        </xdr:cNvPr>
        <xdr:cNvSpPr txBox="1"/>
      </xdr:nvSpPr>
      <xdr:spPr>
        <a:xfrm flipH="1">
          <a:off x="5080191" y="424390"/>
          <a:ext cx="5310718" cy="904875"/>
        </a:xfrm>
        <a:prstGeom prst="flowChartManualInput">
          <a:avLst/>
        </a:prstGeom>
        <a:solidFill>
          <a:schemeClr val="bg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[GRÁFICOS]</a:t>
          </a:r>
          <a:endParaRPr lang="pt-BR" sz="3300" b="0" cap="none" spc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8</xdr:col>
      <xdr:colOff>146241</xdr:colOff>
      <xdr:row>0</xdr:row>
      <xdr:rowOff>0</xdr:rowOff>
    </xdr:from>
    <xdr:to>
      <xdr:col>13</xdr:col>
      <xdr:colOff>565341</xdr:colOff>
      <xdr:row>3</xdr:row>
      <xdr:rowOff>177798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885F03A-7FF7-41A1-B4CE-9E0B4AFAEC47}"/>
            </a:ext>
          </a:extLst>
        </xdr:cNvPr>
        <xdr:cNvSpPr txBox="1"/>
      </xdr:nvSpPr>
      <xdr:spPr>
        <a:xfrm flipH="1">
          <a:off x="5023041" y="0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10</a:t>
          </a:r>
          <a:endParaRPr lang="pt-BR" sz="3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0</xdr:col>
      <xdr:colOff>323851</xdr:colOff>
      <xdr:row>1</xdr:row>
      <xdr:rowOff>57150</xdr:rowOff>
    </xdr:from>
    <xdr:to>
      <xdr:col>8</xdr:col>
      <xdr:colOff>19051</xdr:colOff>
      <xdr:row>25</xdr:row>
      <xdr:rowOff>76200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ED3FF149-94B9-4AC8-95C7-B8A8D71E4451}"/>
            </a:ext>
          </a:extLst>
        </xdr:cNvPr>
        <xdr:cNvGrpSpPr/>
      </xdr:nvGrpSpPr>
      <xdr:grpSpPr>
        <a:xfrm>
          <a:off x="323851" y="247650"/>
          <a:ext cx="4572000" cy="4591050"/>
          <a:chOff x="333375" y="276185"/>
          <a:chExt cx="5695950" cy="4572000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C99399A4-F9C5-428D-9E5D-C758F3B4CE69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81E525FE-0836-4219-B1E1-49FE267BD012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7FA03724-BF12-4D69-8FEA-27C689445DA0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1A794EB9-7505-4730-915C-E17F411385AF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3988737" cy="6452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572BFBB8-EC03-4920-AAF8-0DC2618D6C49}"/>
              </a:ext>
            </a:extLst>
          </xdr:cNvPr>
          <xdr:cNvSpPr txBox="1"/>
        </xdr:nvSpPr>
        <xdr:spPr>
          <a:xfrm>
            <a:off x="489596" y="890118"/>
            <a:ext cx="5207464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pt-BR" sz="1100" b="0" i="0">
                <a:solidFill>
                  <a:srgbClr val="383838"/>
                </a:solidFill>
                <a:effectLst/>
                <a:latin typeface="Trebuchet MS" panose="020B0603020202020204" pitchFamily="34" charset="0"/>
              </a:rPr>
              <a:t>A representação gráfica é uma das melhores maneiras de sintetizar e exibir resultados de um conjunto de informações em uma planilha. Afinal, a exposição de informações em uma figura gráfica é muito mais fácil de visualizar do que uma tabela com várias linhas e colunas, permitindo com mais facilidade a análise de tendências ou de possíveis alterações que tenham ocorrido nos dados observados.</a:t>
            </a:r>
          </a:p>
          <a:p>
            <a:pPr algn="just"/>
            <a:endParaRPr lang="pt-BR" sz="1100" b="0" i="0">
              <a:solidFill>
                <a:srgbClr val="383838"/>
              </a:solidFill>
              <a:effectLst/>
              <a:latin typeface="Trebuchet MS" panose="020B0603020202020204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4CF0FEE2-5101-4C59-9456-D7BF8BE46F47}"/>
              </a:ext>
            </a:extLst>
          </xdr:cNvPr>
          <xdr:cNvGrpSpPr/>
        </xdr:nvGrpSpPr>
        <xdr:grpSpPr>
          <a:xfrm>
            <a:off x="552388" y="2369314"/>
            <a:ext cx="5220101" cy="596208"/>
            <a:chOff x="619002" y="8389114"/>
            <a:chExt cx="5186234" cy="596208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E98F32FC-D23D-4DAA-95C7-A4D11CE684F9}"/>
                </a:ext>
              </a:extLst>
            </xdr:cNvPr>
            <xdr:cNvSpPr txBox="1"/>
          </xdr:nvSpPr>
          <xdr:spPr>
            <a:xfrm>
              <a:off x="1026697" y="8431073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Como criar um gráfico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F7423FF9-8D09-4AE6-AB3C-7A97F1630834}"/>
                </a:ext>
              </a:extLst>
            </xdr:cNvPr>
            <xdr:cNvSpPr/>
          </xdr:nvSpPr>
          <xdr:spPr>
            <a:xfrm>
              <a:off x="619002" y="8389114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96BDFE30-B628-47D7-9341-D3B43A3DA83E}"/>
              </a:ext>
            </a:extLst>
          </xdr:cNvPr>
          <xdr:cNvGrpSpPr/>
        </xdr:nvGrpSpPr>
        <xdr:grpSpPr>
          <a:xfrm>
            <a:off x="552388" y="2912238"/>
            <a:ext cx="5220100" cy="596209"/>
            <a:chOff x="619002" y="8389113"/>
            <a:chExt cx="5186233" cy="596209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C98A4AA6-88E8-473E-9301-64DAD90DA38B}"/>
                </a:ext>
              </a:extLst>
            </xdr:cNvPr>
            <xdr:cNvSpPr txBox="1"/>
          </xdr:nvSpPr>
          <xdr:spPr>
            <a:xfrm>
              <a:off x="1026696" y="8431073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Qual o melhor gráfico para determinada situação?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27CB7057-EACB-419C-8086-C9078E249ED1}"/>
                </a:ext>
              </a:extLst>
            </xdr:cNvPr>
            <xdr:cNvSpPr/>
          </xdr:nvSpPr>
          <xdr:spPr>
            <a:xfrm>
              <a:off x="619002" y="838911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77BC6C01-77D3-4284-8872-D514D5A1E09B}"/>
              </a:ext>
            </a:extLst>
          </xdr:cNvPr>
          <xdr:cNvGrpSpPr/>
        </xdr:nvGrpSpPr>
        <xdr:grpSpPr>
          <a:xfrm>
            <a:off x="571252" y="3483699"/>
            <a:ext cx="5220102" cy="596208"/>
            <a:chOff x="647206" y="8398599"/>
            <a:chExt cx="5186235" cy="596208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A2E4E58A-2E2C-4858-9393-C1F74FFB85F8}"/>
                </a:ext>
              </a:extLst>
            </xdr:cNvPr>
            <xdr:cNvSpPr txBox="1"/>
          </xdr:nvSpPr>
          <xdr:spPr>
            <a:xfrm>
              <a:off x="1054902" y="8440558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Os Novos Gráficos do Excel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DFE915AE-E8AE-49A6-A06C-3004AC138DB8}"/>
                </a:ext>
              </a:extLst>
            </xdr:cNvPr>
            <xdr:cNvSpPr/>
          </xdr:nvSpPr>
          <xdr:spPr>
            <a:xfrm>
              <a:off x="647206" y="8398599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85609DFB-22CD-4A76-AB93-E227D1E6E3B4}"/>
              </a:ext>
            </a:extLst>
          </xdr:cNvPr>
          <xdr:cNvGrpSpPr/>
        </xdr:nvGrpSpPr>
        <xdr:grpSpPr>
          <a:xfrm>
            <a:off x="561851" y="4036189"/>
            <a:ext cx="3367090" cy="596208"/>
            <a:chOff x="628403" y="8389114"/>
            <a:chExt cx="3345245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C501E135-833D-46BC-88A1-D33BE2C66CD2}"/>
                </a:ext>
              </a:extLst>
            </xdr:cNvPr>
            <xdr:cNvSpPr txBox="1"/>
          </xdr:nvSpPr>
          <xdr:spPr>
            <a:xfrm>
              <a:off x="1036098" y="8431073"/>
              <a:ext cx="2937550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Criando um painel gráfico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78C99BE1-7C5D-4465-9B5F-94D1EEC3AFB9}"/>
                </a:ext>
              </a:extLst>
            </xdr:cNvPr>
            <xdr:cNvSpPr/>
          </xdr:nvSpPr>
          <xdr:spPr>
            <a:xfrm>
              <a:off x="628403" y="8389114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  <xdr:twoCellAnchor editAs="oneCell">
    <xdr:from>
      <xdr:col>13</xdr:col>
      <xdr:colOff>76199</xdr:colOff>
      <xdr:row>1</xdr:row>
      <xdr:rowOff>28574</xdr:rowOff>
    </xdr:from>
    <xdr:to>
      <xdr:col>14</xdr:col>
      <xdr:colOff>371474</xdr:colOff>
      <xdr:row>5</xdr:row>
      <xdr:rowOff>171449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2076E03-0EAD-4CDB-A301-E34181D2A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999" y="219074"/>
          <a:ext cx="904875" cy="904875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114300</xdr:rowOff>
    </xdr:from>
    <xdr:to>
      <xdr:col>3</xdr:col>
      <xdr:colOff>57149</xdr:colOff>
      <xdr:row>14</xdr:row>
      <xdr:rowOff>28574</xdr:rowOff>
    </xdr:to>
    <xdr:pic>
      <xdr:nvPicPr>
        <xdr:cNvPr id="3" name="Imagem 2" descr="chart, presentation, sales icon">
          <a:extLst>
            <a:ext uri="{FF2B5EF4-FFF2-40B4-BE49-F238E27FC236}">
              <a16:creationId xmlns:a16="http://schemas.microsoft.com/office/drawing/2014/main" id="{20016689-A26E-472E-894B-9F5E448AA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431" y="1537097"/>
          <a:ext cx="1434702" cy="143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29765</xdr:colOff>
      <xdr:row>0</xdr:row>
      <xdr:rowOff>107156</xdr:rowOff>
    </xdr:from>
    <xdr:ext cx="3869714" cy="593304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9C3508F5-BED3-41E7-B629-487A615EBC8D}"/>
            </a:ext>
          </a:extLst>
        </xdr:cNvPr>
        <xdr:cNvSpPr txBox="1"/>
      </xdr:nvSpPr>
      <xdr:spPr>
        <a:xfrm>
          <a:off x="279796" y="107156"/>
          <a:ext cx="386971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3200">
              <a:solidFill>
                <a:schemeClr val="bg1"/>
              </a:solidFill>
            </a:rPr>
            <a:t>Gráficos no Excel,</a:t>
          </a:r>
          <a:r>
            <a:rPr lang="pt-BR" sz="3200" baseline="0">
              <a:solidFill>
                <a:schemeClr val="bg1"/>
              </a:solidFill>
            </a:rPr>
            <a:t> pt 1</a:t>
          </a:r>
          <a:endParaRPr lang="pt-BR" sz="3200">
            <a:solidFill>
              <a:schemeClr val="bg1"/>
            </a:solidFill>
          </a:endParaRPr>
        </a:p>
      </xdr:txBody>
    </xdr:sp>
    <xdr:clientData/>
  </xdr:oneCellAnchor>
  <xdr:twoCellAnchor>
    <xdr:from>
      <xdr:col>7</xdr:col>
      <xdr:colOff>438150</xdr:colOff>
      <xdr:row>5</xdr:row>
      <xdr:rowOff>133350</xdr:rowOff>
    </xdr:from>
    <xdr:to>
      <xdr:col>17</xdr:col>
      <xdr:colOff>276225</xdr:colOff>
      <xdr:row>23</xdr:row>
      <xdr:rowOff>109537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B604A06-A601-689E-5892-873D70DA8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128587</xdr:colOff>
      <xdr:row>4</xdr:row>
      <xdr:rowOff>150018</xdr:rowOff>
    </xdr:from>
    <xdr:to>
      <xdr:col>3</xdr:col>
      <xdr:colOff>33336</xdr:colOff>
      <xdr:row>12</xdr:row>
      <xdr:rowOff>64292</xdr:rowOff>
    </xdr:to>
    <xdr:pic>
      <xdr:nvPicPr>
        <xdr:cNvPr id="2" name="Imagem 1" descr="chart, presentation, sales icon">
          <a:extLst>
            <a:ext uri="{FF2B5EF4-FFF2-40B4-BE49-F238E27FC236}">
              <a16:creationId xmlns:a16="http://schemas.microsoft.com/office/drawing/2014/main" id="{65E90B5F-65CE-44C5-9F22-6B36150E9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618" y="1054893"/>
          <a:ext cx="1434702" cy="143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29765</xdr:colOff>
      <xdr:row>0</xdr:row>
      <xdr:rowOff>107156</xdr:rowOff>
    </xdr:from>
    <xdr:ext cx="3869714" cy="593304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AD5123-D7A9-4720-AFC3-210283E0E8DB}"/>
            </a:ext>
          </a:extLst>
        </xdr:cNvPr>
        <xdr:cNvSpPr txBox="1"/>
      </xdr:nvSpPr>
      <xdr:spPr>
        <a:xfrm>
          <a:off x="279796" y="107156"/>
          <a:ext cx="386971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3200">
              <a:solidFill>
                <a:schemeClr val="bg1"/>
              </a:solidFill>
            </a:rPr>
            <a:t>Gráficos no Excel,</a:t>
          </a:r>
          <a:r>
            <a:rPr lang="pt-BR" sz="3200" baseline="0">
              <a:solidFill>
                <a:schemeClr val="bg1"/>
              </a:solidFill>
            </a:rPr>
            <a:t> pt 2</a:t>
          </a:r>
          <a:endParaRPr lang="pt-BR" sz="3200">
            <a:solidFill>
              <a:schemeClr val="bg1"/>
            </a:solidFill>
          </a:endParaRPr>
        </a:p>
      </xdr:txBody>
    </xdr:sp>
    <xdr:clientData/>
  </xdr:oneCellAnchor>
  <xdr:twoCellAnchor>
    <xdr:from>
      <xdr:col>7</xdr:col>
      <xdr:colOff>276225</xdr:colOff>
      <xdr:row>5</xdr:row>
      <xdr:rowOff>19050</xdr:rowOff>
    </xdr:from>
    <xdr:to>
      <xdr:col>20</xdr:col>
      <xdr:colOff>19050</xdr:colOff>
      <xdr:row>25</xdr:row>
      <xdr:rowOff>52387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BB09C4-1D1D-E36A-5CE1-206595558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94909</xdr:colOff>
      <xdr:row>3</xdr:row>
      <xdr:rowOff>113959</xdr:rowOff>
    </xdr:from>
    <xdr:to>
      <xdr:col>28</xdr:col>
      <xdr:colOff>209209</xdr:colOff>
      <xdr:row>43</xdr:row>
      <xdr:rowOff>130288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A72F23C4-F264-A4DA-C9DC-5BF1E3510CC5}"/>
            </a:ext>
          </a:extLst>
        </xdr:cNvPr>
        <xdr:cNvSpPr/>
      </xdr:nvSpPr>
      <xdr:spPr>
        <a:xfrm>
          <a:off x="6036128" y="1102178"/>
          <a:ext cx="12865894" cy="7791110"/>
        </a:xfrm>
        <a:prstGeom prst="roundRect">
          <a:avLst/>
        </a:prstGeom>
        <a:noFill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7</xdr:col>
      <xdr:colOff>503464</xdr:colOff>
      <xdr:row>6</xdr:row>
      <xdr:rowOff>119062</xdr:rowOff>
    </xdr:from>
    <xdr:to>
      <xdr:col>16</xdr:col>
      <xdr:colOff>527277</xdr:colOff>
      <xdr:row>24</xdr:row>
      <xdr:rowOff>42523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C9E80BE-A6DD-5E24-A51E-F26C6B544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511969</xdr:colOff>
      <xdr:row>6</xdr:row>
      <xdr:rowOff>142874</xdr:rowOff>
    </xdr:from>
    <xdr:to>
      <xdr:col>27</xdr:col>
      <xdr:colOff>273843</xdr:colOff>
      <xdr:row>24</xdr:row>
      <xdr:rowOff>88445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26EA77-3526-A416-1A8E-D09A5DFD5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267720</xdr:colOff>
      <xdr:row>26</xdr:row>
      <xdr:rowOff>144235</xdr:rowOff>
    </xdr:from>
    <xdr:to>
      <xdr:col>27</xdr:col>
      <xdr:colOff>115659</xdr:colOff>
      <xdr:row>42</xdr:row>
      <xdr:rowOff>166687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73E5152-DC7F-20AF-E456-F8EC1C554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</xdr:col>
      <xdr:colOff>83343</xdr:colOff>
      <xdr:row>7</xdr:row>
      <xdr:rowOff>176214</xdr:rowOff>
    </xdr:from>
    <xdr:to>
      <xdr:col>6</xdr:col>
      <xdr:colOff>96951</xdr:colOff>
      <xdr:row>18</xdr:row>
      <xdr:rowOff>11907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" name="Período">
              <a:extLst>
                <a:ext uri="{FF2B5EF4-FFF2-40B4-BE49-F238E27FC236}">
                  <a16:creationId xmlns:a16="http://schemas.microsoft.com/office/drawing/2014/main" id="{14A37F72-6943-A1DB-AF27-4D7D38B47D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736" y="1931535"/>
              <a:ext cx="5007429" cy="19720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112332</xdr:colOff>
      <xdr:row>0</xdr:row>
      <xdr:rowOff>169792</xdr:rowOff>
    </xdr:from>
    <xdr:to>
      <xdr:col>12</xdr:col>
      <xdr:colOff>559592</xdr:colOff>
      <xdr:row>17</xdr:row>
      <xdr:rowOff>45554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30010697-7399-4B21-A5F9-39DFE1F8322B}"/>
            </a:ext>
          </a:extLst>
        </xdr:cNvPr>
        <xdr:cNvGrpSpPr/>
      </xdr:nvGrpSpPr>
      <xdr:grpSpPr>
        <a:xfrm>
          <a:off x="3808032" y="169792"/>
          <a:ext cx="4714460" cy="3190462"/>
          <a:chOff x="333375" y="276185"/>
          <a:chExt cx="2639244" cy="4134457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906AC272-7971-48A0-987C-14C8513C4628}"/>
              </a:ext>
            </a:extLst>
          </xdr:cNvPr>
          <xdr:cNvGrpSpPr/>
        </xdr:nvGrpSpPr>
        <xdr:grpSpPr>
          <a:xfrm>
            <a:off x="333375" y="276185"/>
            <a:ext cx="2634631" cy="4134457"/>
            <a:chOff x="0" y="9584"/>
            <a:chExt cx="2634631" cy="4177524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B45765EE-F654-46EC-A30E-0BAA6EC68CB2}"/>
                </a:ext>
              </a:extLst>
            </xdr:cNvPr>
            <xdr:cNvSpPr/>
          </xdr:nvSpPr>
          <xdr:spPr>
            <a:xfrm>
              <a:off x="0" y="9584"/>
              <a:ext cx="2634631" cy="41775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295C4AF3-2552-4766-8070-8EE64895590C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8EDE61A5-D3E2-45B4-A0E4-ED8500E1A5B5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3A3F82F9-7209-4DF7-831C-9C493DA8C9AA}"/>
              </a:ext>
            </a:extLst>
          </xdr:cNvPr>
          <xdr:cNvSpPr txBox="1"/>
        </xdr:nvSpPr>
        <xdr:spPr>
          <a:xfrm>
            <a:off x="442288" y="1139134"/>
            <a:ext cx="2530331" cy="2125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Que tal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criarmos um mapa de árvore e um gráfico chamado Sunburst</a:t>
            </a: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</xdr:grpSp>
    <xdr:clientData/>
  </xdr:twoCellAnchor>
  <xdr:twoCellAnchor editAs="oneCell">
    <xdr:from>
      <xdr:col>6</xdr:col>
      <xdr:colOff>252600</xdr:colOff>
      <xdr:row>6</xdr:row>
      <xdr:rowOff>33647</xdr:rowOff>
    </xdr:from>
    <xdr:to>
      <xdr:col>11</xdr:col>
      <xdr:colOff>409835</xdr:colOff>
      <xdr:row>16</xdr:row>
      <xdr:rowOff>60152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EF06F7A-4695-45D3-AEBA-35F142B44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6709" y="1254038"/>
          <a:ext cx="3193329" cy="193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71437</xdr:colOff>
      <xdr:row>1</xdr:row>
      <xdr:rowOff>223837</xdr:rowOff>
    </xdr:from>
    <xdr:to>
      <xdr:col>20</xdr:col>
      <xdr:colOff>376237</xdr:colOff>
      <xdr:row>16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FAE28DBE-73A9-7A15-93CA-A78EFEE43F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43937" y="4143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6</xdr:row>
      <xdr:rowOff>180975</xdr:rowOff>
    </xdr:from>
    <xdr:to>
      <xdr:col>19</xdr:col>
      <xdr:colOff>514350</xdr:colOff>
      <xdr:row>21</xdr:row>
      <xdr:rowOff>161925</xdr:rowOff>
    </xdr:to>
    <xdr:pic>
      <xdr:nvPicPr>
        <xdr:cNvPr id="2" name="Imagem 1" descr="Diagrama de pareto Excel 2016">
          <a:extLst>
            <a:ext uri="{FF2B5EF4-FFF2-40B4-BE49-F238E27FC236}">
              <a16:creationId xmlns:a16="http://schemas.microsoft.com/office/drawing/2014/main" id="{2B863F5B-DDA4-405E-83CB-32D8FA96B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323975"/>
          <a:ext cx="60579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390525</xdr:colOff>
      <xdr:row>1</xdr:row>
      <xdr:rowOff>57150</xdr:rowOff>
    </xdr:from>
    <xdr:to>
      <xdr:col>15</xdr:col>
      <xdr:colOff>504825</xdr:colOff>
      <xdr:row>6</xdr:row>
      <xdr:rowOff>85725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2D60D14-EE50-407C-BAD7-E63BFB2D7204}"/>
            </a:ext>
          </a:extLst>
        </xdr:cNvPr>
        <xdr:cNvSpPr txBox="1"/>
      </xdr:nvSpPr>
      <xdr:spPr>
        <a:xfrm>
          <a:off x="3486150" y="247650"/>
          <a:ext cx="6210300" cy="981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rgbClr val="FF0000"/>
              </a:solidFill>
            </a:rPr>
            <a:t>Sobre o Gráfico Diagrama</a:t>
          </a:r>
          <a:r>
            <a:rPr lang="pt-BR" sz="1100" b="1" baseline="0">
              <a:solidFill>
                <a:srgbClr val="FF0000"/>
              </a:solidFill>
            </a:rPr>
            <a:t> de Pareto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Diagrama de Pareto é um </a:t>
          </a:r>
          <a:r>
            <a:rPr lang="pt-BR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recurso gráfico utilizado para estabelecer uma ordenação nas causas de perdas que devem ser sanadas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Este esquema foi criado por um economista e sociólogo italiano, Vilfredo Pareto, que nasceu em Paris, e morreu em 1923, em Genebra.</a:t>
          </a:r>
        </a:p>
        <a:p>
          <a:endParaRPr lang="pt-BR" sz="1100"/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371475</xdr:colOff>
      <xdr:row>17</xdr:row>
      <xdr:rowOff>152401</xdr:rowOff>
    </xdr:from>
    <xdr:to>
      <xdr:col>22</xdr:col>
      <xdr:colOff>542925</xdr:colOff>
      <xdr:row>35</xdr:row>
      <xdr:rowOff>19051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A9076B1-DDA1-4930-9D63-A9AC93109AF4}"/>
            </a:ext>
          </a:extLst>
        </xdr:cNvPr>
        <xdr:cNvSpPr txBox="1"/>
      </xdr:nvSpPr>
      <xdr:spPr>
        <a:xfrm>
          <a:off x="13363575" y="3467101"/>
          <a:ext cx="4438650" cy="3324225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ysClr val="windowText" lastClr="000000"/>
              </a:solidFill>
            </a:rPr>
            <a:t>Dicas para o Desafio Gráficos</a:t>
          </a:r>
        </a:p>
        <a:p>
          <a:r>
            <a:rPr lang="pt-BR" sz="1100" b="1">
              <a:solidFill>
                <a:sysClr val="windowText" lastClr="000000"/>
              </a:solidFill>
            </a:rPr>
            <a:t>Desa</a:t>
          </a:r>
          <a:r>
            <a:rPr lang="pt-BR" sz="1100" b="1" baseline="0">
              <a:solidFill>
                <a:sysClr val="windowText" lastClr="000000"/>
              </a:solidFill>
            </a:rPr>
            <a:t>fio totalmente possível de ser resolvido por você!</a:t>
          </a:r>
        </a:p>
        <a:p>
          <a:endParaRPr lang="pt-BR" sz="1100" b="1">
            <a:solidFill>
              <a:sysClr val="windowText" lastClr="000000"/>
            </a:solidFill>
          </a:endParaRP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Transforme o intervalo de dados em tabela</a:t>
          </a: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Nomeie a tabela como tbl_faturamento</a:t>
          </a:r>
          <a:endParaRPr lang="pt-BR" sz="1100" b="1">
            <a:solidFill>
              <a:schemeClr val="bg1"/>
            </a:solidFill>
          </a:endParaRP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</a:t>
          </a:r>
          <a:r>
            <a:rPr lang="pt-BR" sz="1100" b="0">
              <a:solidFill>
                <a:schemeClr val="bg1"/>
              </a:solidFill>
            </a:rPr>
            <a:t>Necessário</a:t>
          </a:r>
          <a:r>
            <a:rPr lang="pt-BR" sz="1100" b="0" baseline="0">
              <a:solidFill>
                <a:schemeClr val="bg1"/>
              </a:solidFill>
            </a:rPr>
            <a:t> fazer o cálculo das médias filiais e a média anual.</a:t>
          </a: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sym typeface="Webdings" panose="05030102010509060703" pitchFamily="18" charset="2"/>
            </a:rPr>
            <a:t> </a:t>
          </a:r>
          <a:r>
            <a:rPr lang="pt-BR" sz="1100" b="0" baseline="0">
              <a:solidFill>
                <a:schemeClr val="bg1"/>
              </a:solidFill>
            </a:rPr>
            <a:t>Gerar gráfico de coluna dos meses e filiais;</a:t>
          </a: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Recorte e cole o gráfico na guia de planilha "Painel desafio gráficos"</a:t>
          </a:r>
          <a:endParaRPr lang="pt-BR" sz="1100" b="0" baseline="0">
            <a:solidFill>
              <a:schemeClr val="bg1"/>
            </a:solidFill>
          </a:endParaRP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Volte para a guia de planilha "Desafio Gráficos"</a:t>
          </a: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Insira uma segmentação de dados do mês, recorte e cole-o na guia de planilha "Painel Desafio Gráficos";</a:t>
          </a:r>
        </a:p>
        <a:p>
          <a:pPr>
            <a:lnSpc>
              <a:spcPct val="150000"/>
            </a:lnSpc>
          </a:pPr>
          <a:r>
            <a:rPr lang="pt-BR" sz="1100" b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 Formate o estilo da segmentação e altere para 4 colunas;</a:t>
          </a:r>
          <a:endParaRPr lang="pt-BR" sz="1100" b="0" baseline="0">
            <a:solidFill>
              <a:schemeClr val="bg1"/>
            </a:solidFill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41276</xdr:colOff>
      <xdr:row>14</xdr:row>
      <xdr:rowOff>10583</xdr:rowOff>
    </xdr:from>
    <xdr:to>
      <xdr:col>15</xdr:col>
      <xdr:colOff>105833</xdr:colOff>
      <xdr:row>37</xdr:row>
      <xdr:rowOff>137583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2D46C0-D41F-4FEB-B68C-F418C560F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564091</xdr:colOff>
      <xdr:row>5</xdr:row>
      <xdr:rowOff>139700</xdr:rowOff>
    </xdr:from>
    <xdr:to>
      <xdr:col>24</xdr:col>
      <xdr:colOff>335491</xdr:colOff>
      <xdr:row>12</xdr:row>
      <xdr:rowOff>120650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Mês">
              <a:extLst>
                <a:ext uri="{FF2B5EF4-FFF2-40B4-BE49-F238E27FC236}">
                  <a16:creationId xmlns:a16="http://schemas.microsoft.com/office/drawing/2014/main" id="{41EB0C49-05B2-41EF-ADC8-D1FF734954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7091" y="1335617"/>
              <a:ext cx="10820400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16</xdr:col>
      <xdr:colOff>603250</xdr:colOff>
      <xdr:row>14</xdr:row>
      <xdr:rowOff>105833</xdr:rowOff>
    </xdr:from>
    <xdr:to>
      <xdr:col>30</xdr:col>
      <xdr:colOff>478368</xdr:colOff>
      <xdr:row>37</xdr:row>
      <xdr:rowOff>74083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CE27DC9-1644-483A-8452-5854F4517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31750</xdr:rowOff>
    </xdr:from>
    <xdr:to>
      <xdr:col>34</xdr:col>
      <xdr:colOff>243417</xdr:colOff>
      <xdr:row>1</xdr:row>
      <xdr:rowOff>10583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12026AC7-A1AD-6B9A-C652-8DB5FA7FAA70}"/>
            </a:ext>
          </a:extLst>
        </xdr:cNvPr>
        <xdr:cNvSpPr/>
      </xdr:nvSpPr>
      <xdr:spPr>
        <a:xfrm>
          <a:off x="0" y="31750"/>
          <a:ext cx="21113750" cy="3492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 kern="1200">
            <a:solidFill>
              <a:schemeClr val="tx1"/>
            </a:solidFill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6482603-8ADE-4DD1-AD8A-2603DE963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342A05D-78C6-452F-823F-6AAA087D51C3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CLASSIFICAÇÃO E FILTRO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A546D81-442A-4E4A-B476-40C17CAA63EF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11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26</xdr:row>
      <xdr:rowOff>133350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62596B03-B308-4153-8C80-E71013CAFF12}"/>
            </a:ext>
          </a:extLst>
        </xdr:cNvPr>
        <xdr:cNvGrpSpPr/>
      </xdr:nvGrpSpPr>
      <xdr:grpSpPr>
        <a:xfrm>
          <a:off x="6088774" y="495300"/>
          <a:ext cx="5746426" cy="4591050"/>
          <a:chOff x="333375" y="276185"/>
          <a:chExt cx="5695950" cy="4572000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5BBCA18B-C6E1-46FA-9472-AFAD4AF4F468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6AF47EC6-4B06-42D3-A817-611F24CF6EBA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D805A8AC-C9C7-4FE4-8924-D46AC6E506C7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CE290B67-512E-4815-8D22-0CB882F0951A}"/>
                </a:ext>
              </a:extLst>
            </xdr:cNvPr>
            <xdr:cNvCxnSpPr>
              <a:cxnSpLocks/>
            </xdr:cNvCxnSpPr>
          </xdr:nvCxnSpPr>
          <xdr:spPr>
            <a:xfrm>
              <a:off x="174970" y="418628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EE545557-3577-48D8-B76C-C99A408C4885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B632B51E-7581-43F9-A365-D8C0E0938104}"/>
              </a:ext>
            </a:extLst>
          </xdr:cNvPr>
          <xdr:cNvSpPr txBox="1"/>
        </xdr:nvSpPr>
        <xdr:spPr>
          <a:xfrm>
            <a:off x="451745" y="994458"/>
            <a:ext cx="5284985" cy="714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4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Classificar dados em uma planilha nada mais é do que ordenar informações que geralmente estão dispostas em uma lista. Você pode classificar estes dados em ordem crescente, decrescente para uma ou mais colunas.</a:t>
            </a:r>
            <a:endParaRPr lang="pt-br" sz="14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+mn-lt"/>
              <a:ea typeface="Segoe UI" pitchFamily="34" charset="0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+mn-lt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2AC53448-727E-49C3-9E83-327068BD63D4}"/>
              </a:ext>
            </a:extLst>
          </xdr:cNvPr>
          <xdr:cNvGrpSpPr/>
        </xdr:nvGrpSpPr>
        <xdr:grpSpPr>
          <a:xfrm>
            <a:off x="552388" y="2141663"/>
            <a:ext cx="5220101" cy="596207"/>
            <a:chOff x="619002" y="8161463"/>
            <a:chExt cx="5186234" cy="596207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8B755061-7D6C-432C-82FF-0D04F811971C}"/>
                </a:ext>
              </a:extLst>
            </xdr:cNvPr>
            <xdr:cNvSpPr txBox="1"/>
          </xdr:nvSpPr>
          <xdr:spPr>
            <a:xfrm>
              <a:off x="1026697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Classificação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0DCFACE0-4575-4156-9A68-748E1C978EC9}"/>
                </a:ext>
              </a:extLst>
            </xdr:cNvPr>
            <xdr:cNvSpPr/>
          </xdr:nvSpPr>
          <xdr:spPr>
            <a:xfrm>
              <a:off x="619002" y="816146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874C0CD5-C775-40B1-9CA1-4EF795F685B4}"/>
              </a:ext>
            </a:extLst>
          </xdr:cNvPr>
          <xdr:cNvGrpSpPr/>
        </xdr:nvGrpSpPr>
        <xdr:grpSpPr>
          <a:xfrm>
            <a:off x="552388" y="2684587"/>
            <a:ext cx="5220100" cy="596208"/>
            <a:chOff x="619002" y="8161462"/>
            <a:chExt cx="5186233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30865E51-4BB3-460E-9003-E77766AF7142}"/>
                </a:ext>
              </a:extLst>
            </xdr:cNvPr>
            <xdr:cNvSpPr txBox="1"/>
          </xdr:nvSpPr>
          <xdr:spPr>
            <a:xfrm>
              <a:off x="1026696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Filtro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03422E5C-DB88-4687-9562-28329FA0DCCA}"/>
                </a:ext>
              </a:extLst>
            </xdr:cNvPr>
            <xdr:cNvSpPr/>
          </xdr:nvSpPr>
          <xdr:spPr>
            <a:xfrm>
              <a:off x="619002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13E7F414-5964-46A9-ACDA-EA789E443C97}"/>
              </a:ext>
            </a:extLst>
          </xdr:cNvPr>
          <xdr:cNvGrpSpPr/>
        </xdr:nvGrpSpPr>
        <xdr:grpSpPr>
          <a:xfrm>
            <a:off x="571252" y="3256048"/>
            <a:ext cx="5220102" cy="596207"/>
            <a:chOff x="647206" y="8170948"/>
            <a:chExt cx="5186235" cy="596207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7940867E-B721-45ED-A544-584F0CBB3FDD}"/>
                </a:ext>
              </a:extLst>
            </xdr:cNvPr>
            <xdr:cNvSpPr txBox="1"/>
          </xdr:nvSpPr>
          <xdr:spPr>
            <a:xfrm>
              <a:off x="1054902" y="8212906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Filtro na segmentação de dados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3A0ACABD-8955-4CA5-81FC-A3F018672C57}"/>
                </a:ext>
              </a:extLst>
            </xdr:cNvPr>
            <xdr:cNvSpPr/>
          </xdr:nvSpPr>
          <xdr:spPr>
            <a:xfrm>
              <a:off x="647206" y="81709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7749EB35-7539-4568-8641-0A1B967092F6}"/>
              </a:ext>
            </a:extLst>
          </xdr:cNvPr>
          <xdr:cNvGrpSpPr/>
        </xdr:nvGrpSpPr>
        <xdr:grpSpPr>
          <a:xfrm>
            <a:off x="561851" y="3808537"/>
            <a:ext cx="5220101" cy="596208"/>
            <a:chOff x="628403" y="8161462"/>
            <a:chExt cx="5186234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BE96E3C7-2CE2-45B3-ACD6-4B895CE94488}"/>
                </a:ext>
              </a:extLst>
            </xdr:cNvPr>
            <xdr:cNvSpPr txBox="1"/>
          </xdr:nvSpPr>
          <xdr:spPr>
            <a:xfrm>
              <a:off x="1036098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Classificação personalizada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0F2610B9-0A74-43FB-B218-4049184080F6}"/>
                </a:ext>
              </a:extLst>
            </xdr:cNvPr>
            <xdr:cNvSpPr/>
          </xdr:nvSpPr>
          <xdr:spPr>
            <a:xfrm>
              <a:off x="628403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62443</xdr:colOff>
      <xdr:row>0</xdr:row>
      <xdr:rowOff>57149</xdr:rowOff>
    </xdr:from>
    <xdr:to>
      <xdr:col>9</xdr:col>
      <xdr:colOff>142874</xdr:colOff>
      <xdr:row>23</xdr:row>
      <xdr:rowOff>127001</xdr:rowOff>
    </xdr:to>
    <xdr:grpSp>
      <xdr:nvGrpSpPr>
        <xdr:cNvPr id="41" name="Agrupar 40">
          <a:extLst>
            <a:ext uri="{FF2B5EF4-FFF2-40B4-BE49-F238E27FC236}">
              <a16:creationId xmlns:a16="http://schemas.microsoft.com/office/drawing/2014/main" id="{48157EB7-E8B4-4AFC-8B4E-F069905C490F}"/>
            </a:ext>
          </a:extLst>
        </xdr:cNvPr>
        <xdr:cNvGrpSpPr/>
      </xdr:nvGrpSpPr>
      <xdr:grpSpPr>
        <a:xfrm>
          <a:off x="62443" y="57149"/>
          <a:ext cx="5119156" cy="4470402"/>
          <a:chOff x="62443" y="57149"/>
          <a:chExt cx="5119156" cy="4479927"/>
        </a:xfrm>
      </xdr:grpSpPr>
      <xdr:grpSp>
        <xdr:nvGrpSpPr>
          <xdr:cNvPr id="3" name="Agrupar 2">
            <a:extLst>
              <a:ext uri="{FF2B5EF4-FFF2-40B4-BE49-F238E27FC236}">
                <a16:creationId xmlns:a16="http://schemas.microsoft.com/office/drawing/2014/main" id="{78685BFA-9960-4B67-8592-D335A4F1A8B3}"/>
              </a:ext>
            </a:extLst>
          </xdr:cNvPr>
          <xdr:cNvGrpSpPr/>
        </xdr:nvGrpSpPr>
        <xdr:grpSpPr>
          <a:xfrm>
            <a:off x="62443" y="57149"/>
            <a:ext cx="5119156" cy="4479927"/>
            <a:chOff x="136471" y="351455"/>
            <a:chExt cx="4789962" cy="1370149"/>
          </a:xfrm>
        </xdr:grpSpPr>
        <xdr:sp macro="" textlink="">
          <xdr:nvSpPr>
            <xdr:cNvPr id="8" name="Plano de Fundo" descr="Plano de Fundo">
              <a:extLst>
                <a:ext uri="{FF2B5EF4-FFF2-40B4-BE49-F238E27FC236}">
                  <a16:creationId xmlns:a16="http://schemas.microsoft.com/office/drawing/2014/main" id="{54FF28AD-1A91-4A0C-A331-B5212FC8896B}"/>
                </a:ext>
              </a:extLst>
            </xdr:cNvPr>
            <xdr:cNvSpPr/>
          </xdr:nvSpPr>
          <xdr:spPr>
            <a:xfrm>
              <a:off x="136471" y="351455"/>
              <a:ext cx="4789962" cy="1370149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9" name="Etapa" descr="Adicionar números como um especialista">
              <a:extLst>
                <a:ext uri="{FF2B5EF4-FFF2-40B4-BE49-F238E27FC236}">
                  <a16:creationId xmlns:a16="http://schemas.microsoft.com/office/drawing/2014/main" id="{E0AE6E8E-F123-43A4-B621-7C9897A285A7}"/>
                </a:ext>
              </a:extLst>
            </xdr:cNvPr>
            <xdr:cNvSpPr txBox="1"/>
          </xdr:nvSpPr>
          <xdr:spPr>
            <a:xfrm>
              <a:off x="326227" y="359291"/>
              <a:ext cx="3894195" cy="21880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8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Grupo Edição</a:t>
              </a:r>
              <a:r>
                <a:rPr lang="pt-BR" sz="2200" b="1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, </a:t>
              </a:r>
              <a:r>
                <a:rPr lang="pt-BR" sz="14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Classificar e Filtrar</a:t>
              </a:r>
              <a:endParaRPr lang="pt-BR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sp macro="" textlink="">
          <xdr:nvSpPr>
            <xdr:cNvPr id="10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8AED39C9-EE69-4B3C-AA64-86DA87842D49}"/>
                </a:ext>
              </a:extLst>
            </xdr:cNvPr>
            <xdr:cNvSpPr txBox="1"/>
          </xdr:nvSpPr>
          <xdr:spPr>
            <a:xfrm>
              <a:off x="302538" y="534319"/>
              <a:ext cx="4383259" cy="7784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rtl="0">
                <a:defRPr/>
              </a:pPr>
              <a:r>
                <a:rPr lang="pt-BR" sz="16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Nesta atividade vamos aplicar os conceitos de:</a:t>
              </a:r>
            </a:p>
            <a:p>
              <a:pPr lvl="0" rtl="0">
                <a:defRPr/>
              </a:pPr>
              <a:endParaRPr lang="pt-BR" sz="8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Classificar de A a Z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Classificar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de Z a A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  <a:sym typeface="Wingdings" panose="05000000000000000000" pitchFamily="2" charset="2"/>
                </a:rPr>
                <a:t>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Classificar do Menor para o Maior</a:t>
              </a: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kern="12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Wingdings" panose="05000000000000000000" pitchFamily="2" charset="2"/>
                </a:rPr>
                <a:t> </a:t>
              </a:r>
              <a:r>
                <a:rPr lang="pt-BR" sz="1100" b="0" i="0" kern="120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Classificar do Maior</a:t>
              </a:r>
              <a:r>
                <a:rPr lang="pt-BR" sz="1100" b="0" i="0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 para o Menor</a:t>
              </a:r>
              <a:endParaRPr lang="pt-BR" sz="1100" b="0" i="0" kern="120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BR" sz="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pt-BR" sz="6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endParaRPr>
            </a:p>
            <a:p>
              <a:pPr lvl="0" rtl="0">
                <a:defRPr/>
              </a:pPr>
              <a:r>
                <a:rPr lang="pt-BR" sz="16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Sobre este aprendizado</a:t>
              </a:r>
            </a:p>
            <a:p>
              <a:pPr lvl="0" rtl="0">
                <a:defRPr/>
              </a:pPr>
              <a:r>
                <a:rPr lang="pt-BR" sz="1200" b="0" i="0" u="none" kern="1200" baseline="0">
                  <a:solidFill>
                    <a:schemeClr val="dk1"/>
                  </a:solidFill>
                  <a:effectLst/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rPr>
                <a:t>Vamos aprender neste instante, conceitos básicos de Classificação de dados. Mais adiante esses conceitos serão aprimorados e melhor compreendidos com técnicas avançadas de Classificar e Filtrar</a:t>
              </a:r>
            </a:p>
          </xdr:txBody>
        </xdr:sp>
        <xdr:cxnSp macro="">
          <xdr:nvCxnSpPr>
            <xdr:cNvPr id="11" name="Linha inferior" descr="Linha decorativa">
              <a:extLst>
                <a:ext uri="{FF2B5EF4-FFF2-40B4-BE49-F238E27FC236}">
                  <a16:creationId xmlns:a16="http://schemas.microsoft.com/office/drawing/2014/main" id="{CF7EE2B2-2D6F-40E1-9011-6231B2C5B6C8}"/>
                </a:ext>
              </a:extLst>
            </xdr:cNvPr>
            <xdr:cNvCxnSpPr>
              <a:cxnSpLocks/>
            </xdr:cNvCxnSpPr>
          </xdr:nvCxnSpPr>
          <xdr:spPr>
            <a:xfrm>
              <a:off x="311397" y="516329"/>
              <a:ext cx="3854205" cy="2028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Agrupar 33">
            <a:extLst>
              <a:ext uri="{FF2B5EF4-FFF2-40B4-BE49-F238E27FC236}">
                <a16:creationId xmlns:a16="http://schemas.microsoft.com/office/drawing/2014/main" id="{29BA653B-C826-493B-8095-A9F64D310B5A}"/>
              </a:ext>
            </a:extLst>
          </xdr:cNvPr>
          <xdr:cNvGrpSpPr/>
        </xdr:nvGrpSpPr>
        <xdr:grpSpPr>
          <a:xfrm>
            <a:off x="523875" y="2943225"/>
            <a:ext cx="762000" cy="1238250"/>
            <a:chOff x="5905500" y="3257550"/>
            <a:chExt cx="762000" cy="1238250"/>
          </a:xfrm>
        </xdr:grpSpPr>
        <xdr:sp macro="" textlink="">
          <xdr:nvSpPr>
            <xdr:cNvPr id="28" name="Seta: para Cima 27">
              <a:extLst>
                <a:ext uri="{FF2B5EF4-FFF2-40B4-BE49-F238E27FC236}">
                  <a16:creationId xmlns:a16="http://schemas.microsoft.com/office/drawing/2014/main" id="{84DA52C8-FB9B-474D-BC42-5CCFF98C1A29}"/>
                </a:ext>
              </a:extLst>
            </xdr:cNvPr>
            <xdr:cNvSpPr/>
          </xdr:nvSpPr>
          <xdr:spPr>
            <a:xfrm flipV="1">
              <a:off x="6276976" y="3390900"/>
              <a:ext cx="390524" cy="1104900"/>
            </a:xfrm>
            <a:prstGeom prst="upArrow">
              <a:avLst>
                <a:gd name="adj1" fmla="val 41489"/>
                <a:gd name="adj2" fmla="val 67021"/>
              </a:avLst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2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C47E74A8-5ADE-4067-8749-B3198F23CB2C}"/>
                </a:ext>
              </a:extLst>
            </xdr:cNvPr>
            <xdr:cNvSpPr txBox="1"/>
          </xdr:nvSpPr>
          <xdr:spPr>
            <a:xfrm>
              <a:off x="5905500" y="3257550"/>
              <a:ext cx="447133" cy="6484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3200" b="1" i="0" kern="1200">
                  <a:solidFill>
                    <a:schemeClr val="dk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A</a:t>
              </a:r>
              <a:endParaRPr lang="pt-BR" sz="2000" b="0" i="0" u="none" kern="1200" baseline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33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7EF5162E-7014-4605-A482-64F380715E66}"/>
                </a:ext>
              </a:extLst>
            </xdr:cNvPr>
            <xdr:cNvSpPr txBox="1"/>
          </xdr:nvSpPr>
          <xdr:spPr>
            <a:xfrm>
              <a:off x="5915024" y="3695700"/>
              <a:ext cx="447133" cy="6484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3200" b="1" i="0" kern="1200">
                  <a:solidFill>
                    <a:schemeClr val="dk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Z</a:t>
              </a:r>
              <a:endParaRPr lang="pt-BR" sz="2000" b="0" i="0" u="none" kern="1200" baseline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35" name="Agrupar 34">
            <a:extLst>
              <a:ext uri="{FF2B5EF4-FFF2-40B4-BE49-F238E27FC236}">
                <a16:creationId xmlns:a16="http://schemas.microsoft.com/office/drawing/2014/main" id="{5ACC59F2-C628-40F6-A825-C5ECE7F29FCE}"/>
              </a:ext>
            </a:extLst>
          </xdr:cNvPr>
          <xdr:cNvGrpSpPr/>
        </xdr:nvGrpSpPr>
        <xdr:grpSpPr>
          <a:xfrm>
            <a:off x="2752725" y="2943225"/>
            <a:ext cx="762000" cy="1238250"/>
            <a:chOff x="5905500" y="3257550"/>
            <a:chExt cx="762000" cy="1238250"/>
          </a:xfrm>
        </xdr:grpSpPr>
        <xdr:sp macro="" textlink="">
          <xdr:nvSpPr>
            <xdr:cNvPr id="36" name="Seta: para Cima 35">
              <a:extLst>
                <a:ext uri="{FF2B5EF4-FFF2-40B4-BE49-F238E27FC236}">
                  <a16:creationId xmlns:a16="http://schemas.microsoft.com/office/drawing/2014/main" id="{A1EC4F67-3650-4FAD-A4C8-B5E12372E621}"/>
                </a:ext>
              </a:extLst>
            </xdr:cNvPr>
            <xdr:cNvSpPr/>
          </xdr:nvSpPr>
          <xdr:spPr>
            <a:xfrm flipV="1">
              <a:off x="6276976" y="3390900"/>
              <a:ext cx="390524" cy="1104900"/>
            </a:xfrm>
            <a:prstGeom prst="upArrow">
              <a:avLst>
                <a:gd name="adj1" fmla="val 41489"/>
                <a:gd name="adj2" fmla="val 67021"/>
              </a:avLst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7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EAF79FF1-7D1F-4CB1-BB9A-83A2796A94E2}"/>
                </a:ext>
              </a:extLst>
            </xdr:cNvPr>
            <xdr:cNvSpPr txBox="1"/>
          </xdr:nvSpPr>
          <xdr:spPr>
            <a:xfrm>
              <a:off x="5905500" y="3257550"/>
              <a:ext cx="447133" cy="6484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3200" b="1" i="0" kern="1200">
                  <a:solidFill>
                    <a:schemeClr val="dk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Z</a:t>
              </a:r>
              <a:endParaRPr lang="pt-BR" sz="2000" b="0" i="0" u="none" kern="1200" baseline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38" name="Etapa" descr="Agora, adicione apenas os números acima de 50. Selecione a última célula amarela. Digite =SOMASE(D11:D15;&quot;&gt;50&quot;) e pressione Enter. O resultado é 100">
              <a:extLst>
                <a:ext uri="{FF2B5EF4-FFF2-40B4-BE49-F238E27FC236}">
                  <a16:creationId xmlns:a16="http://schemas.microsoft.com/office/drawing/2014/main" id="{A6A95AD8-644D-4A68-AE36-9C7E4D626BEC}"/>
                </a:ext>
              </a:extLst>
            </xdr:cNvPr>
            <xdr:cNvSpPr txBox="1"/>
          </xdr:nvSpPr>
          <xdr:spPr>
            <a:xfrm>
              <a:off x="5915024" y="3695700"/>
              <a:ext cx="447133" cy="6484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rtl="0">
                <a:defRPr/>
              </a:pPr>
              <a:r>
                <a:rPr lang="pt-BR" sz="3200" b="1" i="0" kern="1200">
                  <a:solidFill>
                    <a:schemeClr val="dk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A</a:t>
              </a:r>
              <a:endParaRPr lang="pt-BR" sz="2000" b="0" i="0" u="none" kern="1200" baseline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39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08D999F9-6671-40BF-ABB8-30DBE0218495}"/>
              </a:ext>
            </a:extLst>
          </xdr:cNvPr>
          <xdr:cNvSpPr txBox="1"/>
        </xdr:nvSpPr>
        <xdr:spPr>
          <a:xfrm>
            <a:off x="276225" y="4057649"/>
            <a:ext cx="1628775" cy="448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lvl="0" indent="0" algn="l" defTabSz="914400" rtl="0" eaLnBrk="1" latinLnBrk="0" hangingPunct="1">
              <a:defRPr/>
            </a:pPr>
            <a:r>
              <a:rPr lang="pt-BR" sz="14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Classificar de A a Z</a:t>
            </a:r>
          </a:p>
        </xdr:txBody>
      </xdr:sp>
      <xdr:sp macro="" textlink="">
        <xdr:nvSpPr>
          <xdr:cNvPr id="40" name="Etapa" descr="Agora, adicione apenas os números acima de 50. Selecione a última célula amarela. Digite =SOMASE(D11:D15;&quot;&gt;50&quot;) e pressione Enter. O resultado é 100">
            <a:extLst>
              <a:ext uri="{FF2B5EF4-FFF2-40B4-BE49-F238E27FC236}">
                <a16:creationId xmlns:a16="http://schemas.microsoft.com/office/drawing/2014/main" id="{0BC5299A-D7EE-4963-B0A8-491F6AF01AC4}"/>
              </a:ext>
            </a:extLst>
          </xdr:cNvPr>
          <xdr:cNvSpPr txBox="1"/>
        </xdr:nvSpPr>
        <xdr:spPr>
          <a:xfrm>
            <a:off x="2466975" y="4057649"/>
            <a:ext cx="1628775" cy="448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lvl="0" indent="0" algn="l" defTabSz="914400" rtl="0" eaLnBrk="1" latinLnBrk="0" hangingPunct="1">
              <a:defRPr/>
            </a:pPr>
            <a:r>
              <a:rPr lang="pt-BR" sz="1400" b="0" i="0" u="none" kern="1200" baseline="0">
                <a:solidFill>
                  <a:schemeClr val="dk1"/>
                </a:solidFill>
                <a:effectLst/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Classificar de Z a A</a:t>
            </a:r>
          </a:p>
        </xdr:txBody>
      </xdr:sp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47625</xdr:colOff>
      <xdr:row>2</xdr:row>
      <xdr:rowOff>76200</xdr:rowOff>
    </xdr:from>
    <xdr:to>
      <xdr:col>13</xdr:col>
      <xdr:colOff>433594</xdr:colOff>
      <xdr:row>15</xdr:row>
      <xdr:rowOff>28575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AFE67ABE-7C30-4D6A-A7A1-7F2787BB0D20}"/>
            </a:ext>
          </a:extLst>
        </xdr:cNvPr>
        <xdr:cNvGrpSpPr/>
      </xdr:nvGrpSpPr>
      <xdr:grpSpPr>
        <a:xfrm>
          <a:off x="6096000" y="457200"/>
          <a:ext cx="4729369" cy="1104900"/>
          <a:chOff x="333375" y="276186"/>
          <a:chExt cx="2634631" cy="1432562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D4BD4BCB-9279-40FB-86D8-82C0E31FF59F}"/>
              </a:ext>
            </a:extLst>
          </xdr:cNvPr>
          <xdr:cNvGrpSpPr/>
        </xdr:nvGrpSpPr>
        <xdr:grpSpPr>
          <a:xfrm>
            <a:off x="333375" y="276186"/>
            <a:ext cx="2634631" cy="1383164"/>
            <a:chOff x="0" y="9585"/>
            <a:chExt cx="2634631" cy="1397572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12F7928A-3840-4493-8B9C-5A4AFEAD96D4}"/>
                </a:ext>
              </a:extLst>
            </xdr:cNvPr>
            <xdr:cNvSpPr/>
          </xdr:nvSpPr>
          <xdr:spPr>
            <a:xfrm>
              <a:off x="0" y="9585"/>
              <a:ext cx="2634631" cy="1397572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B399C98B-F64F-492A-A084-1FF64460BB4C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B51BF1C2-D021-41CA-BBA4-CE67480337A5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F0A436D8-CBE8-4526-9776-8CF459513584}"/>
              </a:ext>
            </a:extLst>
          </xdr:cNvPr>
          <xdr:cNvSpPr txBox="1"/>
        </xdr:nvSpPr>
        <xdr:spPr>
          <a:xfrm>
            <a:off x="442289" y="1139134"/>
            <a:ext cx="2451892" cy="5696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Vamos classificar e filtrar!</a:t>
            </a:r>
            <a:endParaRPr lang="pt-BR" sz="1100" b="0" i="0" u="none" strike="noStrike" kern="1200" baseline="0">
              <a:solidFill>
                <a:schemeClr val="dk1"/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219075</xdr:colOff>
      <xdr:row>1</xdr:row>
      <xdr:rowOff>85725</xdr:rowOff>
    </xdr:from>
    <xdr:to>
      <xdr:col>15</xdr:col>
      <xdr:colOff>0</xdr:colOff>
      <xdr:row>6</xdr:row>
      <xdr:rowOff>161925</xdr:rowOff>
    </xdr:to>
    <xdr:grpSp>
      <xdr:nvGrpSpPr>
        <xdr:cNvPr id="2" name="Grupo 105">
          <a:extLst>
            <a:ext uri="{FF2B5EF4-FFF2-40B4-BE49-F238E27FC236}">
              <a16:creationId xmlns:a16="http://schemas.microsoft.com/office/drawing/2014/main" id="{E1DA1C9D-019F-44DE-91C7-28D2AA7C4188}"/>
            </a:ext>
          </a:extLst>
        </xdr:cNvPr>
        <xdr:cNvGrpSpPr/>
      </xdr:nvGrpSpPr>
      <xdr:grpSpPr>
        <a:xfrm>
          <a:off x="6267450" y="276225"/>
          <a:ext cx="5267325" cy="1104900"/>
          <a:chOff x="333375" y="276186"/>
          <a:chExt cx="2934315" cy="1432562"/>
        </a:xfrm>
      </xdr:grpSpPr>
      <xdr:grpSp>
        <xdr:nvGrpSpPr>
          <xdr:cNvPr id="3" name="Instrução Adicionar números">
            <a:extLst>
              <a:ext uri="{FF2B5EF4-FFF2-40B4-BE49-F238E27FC236}">
                <a16:creationId xmlns:a16="http://schemas.microsoft.com/office/drawing/2014/main" id="{78681CE1-9E43-462F-BA59-A77113057A3B}"/>
              </a:ext>
            </a:extLst>
          </xdr:cNvPr>
          <xdr:cNvGrpSpPr/>
        </xdr:nvGrpSpPr>
        <xdr:grpSpPr>
          <a:xfrm>
            <a:off x="333375" y="276186"/>
            <a:ext cx="2849416" cy="1383164"/>
            <a:chOff x="0" y="9585"/>
            <a:chExt cx="2849416" cy="1397572"/>
          </a:xfrm>
        </xdr:grpSpPr>
        <xdr:sp macro="" textlink="">
          <xdr:nvSpPr>
            <xdr:cNvPr id="5" name="Plano de Fundo" descr="Plano de Fundo">
              <a:extLst>
                <a:ext uri="{FF2B5EF4-FFF2-40B4-BE49-F238E27FC236}">
                  <a16:creationId xmlns:a16="http://schemas.microsoft.com/office/drawing/2014/main" id="{633F0A2E-7999-424B-8D78-0A793E584C47}"/>
                </a:ext>
              </a:extLst>
            </xdr:cNvPr>
            <xdr:cNvSpPr/>
          </xdr:nvSpPr>
          <xdr:spPr>
            <a:xfrm>
              <a:off x="0" y="9585"/>
              <a:ext cx="2849416" cy="1397572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6" name="Etapa" descr="Noções básicas: fazer cálculos no Excel&#10;">
              <a:extLst>
                <a:ext uri="{FF2B5EF4-FFF2-40B4-BE49-F238E27FC236}">
                  <a16:creationId xmlns:a16="http://schemas.microsoft.com/office/drawing/2014/main" id="{C9A73A95-1FE7-4FAA-8665-615548099256}"/>
                </a:ext>
              </a:extLst>
            </xdr:cNvPr>
            <xdr:cNvSpPr txBox="1"/>
          </xdr:nvSpPr>
          <xdr:spPr>
            <a:xfrm>
              <a:off x="184433" y="118697"/>
              <a:ext cx="2415244" cy="49090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Nesta atividade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7" name="Linha superior" descr="Linha decorativa">
              <a:extLst>
                <a:ext uri="{FF2B5EF4-FFF2-40B4-BE49-F238E27FC236}">
                  <a16:creationId xmlns:a16="http://schemas.microsoft.com/office/drawing/2014/main" id="{F9C79D0C-9D43-4D8E-84BF-F1A2C1E98ABC}"/>
                </a:ext>
              </a:extLst>
            </xdr:cNvPr>
            <xdr:cNvCxnSpPr>
              <a:cxnSpLocks/>
            </xdr:cNvCxnSpPr>
          </xdr:nvCxnSpPr>
          <xdr:spPr>
            <a:xfrm>
              <a:off x="174977" y="759814"/>
              <a:ext cx="2392285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044A9778-59BD-4554-A63E-F25685DF49FB}"/>
              </a:ext>
            </a:extLst>
          </xdr:cNvPr>
          <xdr:cNvSpPr txBox="1"/>
        </xdr:nvSpPr>
        <xdr:spPr>
          <a:xfrm>
            <a:off x="442289" y="1139134"/>
            <a:ext cx="2825401" cy="5696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u="none" strike="noStrike" kern="120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Siga as instruções</a:t>
            </a:r>
            <a:r>
              <a:rPr lang="pt-BR" sz="1100" b="0" i="0" u="none" strike="noStrike" kern="1200" baseline="0">
                <a:solidFill>
                  <a:schemeClr val="dk1"/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do seu Professor ou as instruções que estão na apostila.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100" b="0" i="0" u="none" strike="noStrike" kern="1200" cap="none" spc="0" normalizeH="0" baseline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9524</xdr:colOff>
      <xdr:row>39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B9D38B4-9668-4394-8130-A738F0A6C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11124" cy="7448550"/>
        </a:xfrm>
        <a:prstGeom prst="rect">
          <a:avLst/>
        </a:prstGeom>
      </xdr:spPr>
    </xdr:pic>
    <xdr:clientData/>
  </xdr:twoCellAnchor>
  <xdr:twoCellAnchor>
    <xdr:from>
      <xdr:col>0</xdr:col>
      <xdr:colOff>193866</xdr:colOff>
      <xdr:row>5</xdr:row>
      <xdr:rowOff>187131</xdr:rowOff>
    </xdr:from>
    <xdr:to>
      <xdr:col>9</xdr:col>
      <xdr:colOff>18184</xdr:colOff>
      <xdr:row>10</xdr:row>
      <xdr:rowOff>139506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DA24116-AABB-4A67-B56F-1CFF696FED3B}"/>
            </a:ext>
          </a:extLst>
        </xdr:cNvPr>
        <xdr:cNvSpPr txBox="1"/>
      </xdr:nvSpPr>
      <xdr:spPr>
        <a:xfrm flipH="1">
          <a:off x="193866" y="1139631"/>
          <a:ext cx="5310718" cy="904875"/>
        </a:xfrm>
        <a:prstGeom prst="flowChartManualInput">
          <a:avLst/>
        </a:prstGeom>
        <a:solidFill>
          <a:schemeClr val="tx1">
            <a:alpha val="3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3300" b="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IMPRESSÃO</a:t>
          </a:r>
          <a:endParaRPr lang="pt-BR" sz="33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>
    <xdr:from>
      <xdr:col>0</xdr:col>
      <xdr:colOff>136716</xdr:colOff>
      <xdr:row>3</xdr:row>
      <xdr:rowOff>143741</xdr:rowOff>
    </xdr:from>
    <xdr:to>
      <xdr:col>5</xdr:col>
      <xdr:colOff>555816</xdr:colOff>
      <xdr:row>7</xdr:row>
      <xdr:rowOff>131039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CD5096A-B997-406F-81CB-E8A1F2845E5F}"/>
            </a:ext>
          </a:extLst>
        </xdr:cNvPr>
        <xdr:cNvSpPr txBox="1"/>
      </xdr:nvSpPr>
      <xdr:spPr>
        <a:xfrm flipH="1">
          <a:off x="136716" y="715241"/>
          <a:ext cx="3467100" cy="749298"/>
        </a:xfrm>
        <a:prstGeom prst="flowChartManualInpu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40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CAPÍTULO</a:t>
          </a:r>
          <a:r>
            <a:rPr lang="pt-BR" sz="40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ahnschrift" panose="020B0502040204020203" pitchFamily="34" charset="0"/>
            </a:rPr>
            <a:t> 12 </a:t>
          </a:r>
          <a:endParaRPr lang="pt-BR" sz="36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ahnschrift" panose="020B0502040204020203" pitchFamily="34" charset="0"/>
          </a:endParaRPr>
        </a:p>
      </xdr:txBody>
    </xdr:sp>
    <xdr:clientData/>
  </xdr:twoCellAnchor>
  <xdr:twoCellAnchor editAs="absolute">
    <xdr:from>
      <xdr:col>9</xdr:col>
      <xdr:colOff>590550</xdr:colOff>
      <xdr:row>2</xdr:row>
      <xdr:rowOff>114300</xdr:rowOff>
    </xdr:from>
    <xdr:to>
      <xdr:col>19</xdr:col>
      <xdr:colOff>227838</xdr:colOff>
      <xdr:row>26</xdr:row>
      <xdr:rowOff>133350</xdr:rowOff>
    </xdr:to>
    <xdr:grpSp>
      <xdr:nvGrpSpPr>
        <xdr:cNvPr id="5" name="Grupo 105">
          <a:extLst>
            <a:ext uri="{FF2B5EF4-FFF2-40B4-BE49-F238E27FC236}">
              <a16:creationId xmlns:a16="http://schemas.microsoft.com/office/drawing/2014/main" id="{61586804-3B50-4610-BD55-1E2127C792B2}"/>
            </a:ext>
          </a:extLst>
        </xdr:cNvPr>
        <xdr:cNvGrpSpPr/>
      </xdr:nvGrpSpPr>
      <xdr:grpSpPr>
        <a:xfrm>
          <a:off x="6076950" y="495300"/>
          <a:ext cx="5733288" cy="4591050"/>
          <a:chOff x="333375" y="276185"/>
          <a:chExt cx="5695950" cy="4572000"/>
        </a:xfrm>
      </xdr:grpSpPr>
      <xdr:grpSp>
        <xdr:nvGrpSpPr>
          <xdr:cNvPr id="6" name="Instrução Adicionar números">
            <a:extLst>
              <a:ext uri="{FF2B5EF4-FFF2-40B4-BE49-F238E27FC236}">
                <a16:creationId xmlns:a16="http://schemas.microsoft.com/office/drawing/2014/main" id="{472DA020-35FD-410A-B7E3-CAEB078060A5}"/>
              </a:ext>
            </a:extLst>
          </xdr:cNvPr>
          <xdr:cNvGrpSpPr/>
        </xdr:nvGrpSpPr>
        <xdr:grpSpPr>
          <a:xfrm>
            <a:off x="333375" y="276185"/>
            <a:ext cx="5695950" cy="4572000"/>
            <a:chOff x="0" y="9584"/>
            <a:chExt cx="5695950" cy="4619625"/>
          </a:xfrm>
        </xdr:grpSpPr>
        <xdr:sp macro="" textlink="">
          <xdr:nvSpPr>
            <xdr:cNvPr id="20" name="Plano de Fundo" descr="Plano de Fundo">
              <a:extLst>
                <a:ext uri="{FF2B5EF4-FFF2-40B4-BE49-F238E27FC236}">
                  <a16:creationId xmlns:a16="http://schemas.microsoft.com/office/drawing/2014/main" id="{7A23FD6F-D1AB-4BC8-9BDA-426684984F23}"/>
                </a:ext>
              </a:extLst>
            </xdr:cNvPr>
            <xdr:cNvSpPr/>
          </xdr:nvSpPr>
          <xdr:spPr>
            <a:xfrm>
              <a:off x="0" y="9584"/>
              <a:ext cx="5695950" cy="4619625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rtl="0"/>
              <a:endParaRPr lang="en-US" sz="1100"/>
            </a:p>
          </xdr:txBody>
        </xdr:sp>
        <xdr:sp macro="" textlink="">
          <xdr:nvSpPr>
            <xdr:cNvPr id="21" name="Etapa" descr="Noções básicas: fazer cálculos no Excel&#10;">
              <a:extLst>
                <a:ext uri="{FF2B5EF4-FFF2-40B4-BE49-F238E27FC236}">
                  <a16:creationId xmlns:a16="http://schemas.microsoft.com/office/drawing/2014/main" id="{2F6DA6CD-EFA3-4CBD-AE96-EB8374BF8FC3}"/>
                </a:ext>
              </a:extLst>
            </xdr:cNvPr>
            <xdr:cNvSpPr txBox="1"/>
          </xdr:nvSpPr>
          <xdr:spPr>
            <a:xfrm>
              <a:off x="184433" y="118698"/>
              <a:ext cx="5216551" cy="4909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rIns="0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2200" b="0" i="0" u="none" strike="noStrike" kern="0" cap="none" spc="0" normalizeH="0" baseline="0">
                  <a:ln>
                    <a:noFill/>
                  </a:ln>
                  <a:solidFill>
                    <a:schemeClr val="bg2">
                      <a:lumMod val="25000"/>
                    </a:schemeClr>
                  </a:solidFill>
                  <a:effectLst/>
                  <a:uLnTx/>
                  <a:uFillTx/>
                  <a:latin typeface="Segoe UI Light" panose="020B0502040204020203" pitchFamily="34" charset="0"/>
                  <a:ea typeface="Segoe UI" pitchFamily="34" charset="0"/>
                  <a:cs typeface="Segoe UI Light" panose="020B0502040204020203" pitchFamily="34" charset="0"/>
                </a:rPr>
                <a:t>Sobre este capítulo</a:t>
              </a:r>
              <a:endParaRPr kumimoji="0" lang="en-US" sz="2200" b="1" i="1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endParaRPr>
            </a:p>
          </xdr:txBody>
        </xdr:sp>
        <xdr:cxnSp macro="">
          <xdr:nvCxnSpPr>
            <xdr:cNvPr id="22" name="Linha inferior" descr="Linha decorativa">
              <a:extLst>
                <a:ext uri="{FF2B5EF4-FFF2-40B4-BE49-F238E27FC236}">
                  <a16:creationId xmlns:a16="http://schemas.microsoft.com/office/drawing/2014/main" id="{9EDB1069-57F6-4778-92B8-2AA6EF52E152}"/>
                </a:ext>
              </a:extLst>
            </xdr:cNvPr>
            <xdr:cNvCxnSpPr>
              <a:cxnSpLocks/>
            </xdr:cNvCxnSpPr>
          </xdr:nvCxnSpPr>
          <xdr:spPr>
            <a:xfrm>
              <a:off x="174970" y="4186287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Linha superior" descr="Linha decorativa">
              <a:extLst>
                <a:ext uri="{FF2B5EF4-FFF2-40B4-BE49-F238E27FC236}">
                  <a16:creationId xmlns:a16="http://schemas.microsoft.com/office/drawing/2014/main" id="{BD74B000-7BEE-4DF0-9644-8E668B153479}"/>
                </a:ext>
              </a:extLst>
            </xdr:cNvPr>
            <xdr:cNvCxnSpPr>
              <a:cxnSpLocks/>
            </xdr:cNvCxnSpPr>
          </xdr:nvCxnSpPr>
          <xdr:spPr>
            <a:xfrm>
              <a:off x="184433" y="626111"/>
              <a:ext cx="5213376" cy="0"/>
            </a:xfrm>
            <a:prstGeom prst="line">
              <a:avLst/>
            </a:prstGeom>
            <a:ln w="25400">
              <a:solidFill>
                <a:srgbClr val="21734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xt_Etapa" descr="Você pode somar, subtrair, multiplicar e dividir no Excel sem usar as funções internas. Basta usar os operadores +, -, * e /. Todas as fórmulas começam com um sinal de igual (=).">
            <a:extLst>
              <a:ext uri="{FF2B5EF4-FFF2-40B4-BE49-F238E27FC236}">
                <a16:creationId xmlns:a16="http://schemas.microsoft.com/office/drawing/2014/main" id="{614FE8BF-7FA0-4246-ABA6-59F1C308DB8A}"/>
              </a:ext>
            </a:extLst>
          </xdr:cNvPr>
          <xdr:cNvSpPr txBox="1"/>
        </xdr:nvSpPr>
        <xdr:spPr>
          <a:xfrm>
            <a:off x="451745" y="994457"/>
            <a:ext cx="5284985" cy="10934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0" i="0" kern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Então você concluiu aquela super planilha para sua empresa e não vê a hora de apresentar os resultados — afinal, foram horas de estudo e preenchimento, sem contar o cuidado com a formatação. Com o tradicional comando Ctrl+P, você abre a caixa de diálogo de impressão, seleciona a quantidade de cópias (suficientes para todos na reunião) e, na hora de pegar as cópias, a grande surpresa: tudo está uma bagunça!</a:t>
            </a:r>
            <a:endPara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grpSp>
        <xdr:nvGrpSpPr>
          <xdr:cNvPr id="8" name="grp_Etapa">
            <a:extLst>
              <a:ext uri="{FF2B5EF4-FFF2-40B4-BE49-F238E27FC236}">
                <a16:creationId xmlns:a16="http://schemas.microsoft.com/office/drawing/2014/main" id="{B1CD94A9-B046-45C7-A043-E79668DA6DDD}"/>
              </a:ext>
            </a:extLst>
          </xdr:cNvPr>
          <xdr:cNvGrpSpPr/>
        </xdr:nvGrpSpPr>
        <xdr:grpSpPr>
          <a:xfrm>
            <a:off x="552388" y="2141663"/>
            <a:ext cx="5220101" cy="596207"/>
            <a:chOff x="619002" y="8161463"/>
            <a:chExt cx="5186234" cy="596207"/>
          </a:xfrm>
        </xdr:grpSpPr>
        <xdr:sp macro="" textlink="">
          <xdr:nvSpPr>
            <xdr:cNvPr id="18" name="txt_Etapa" descr="Para somar, selecione a célula F3, digite =C3 + C4 e pressione Enter. &#10;">
              <a:extLst>
                <a:ext uri="{FF2B5EF4-FFF2-40B4-BE49-F238E27FC236}">
                  <a16:creationId xmlns:a16="http://schemas.microsoft.com/office/drawing/2014/main" id="{1B810B56-2D98-417D-92CA-EB3C46C4AC91}"/>
                </a:ext>
              </a:extLst>
            </xdr:cNvPr>
            <xdr:cNvSpPr txBox="1"/>
          </xdr:nvSpPr>
          <xdr:spPr>
            <a:xfrm>
              <a:off x="1026697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Modos de Exibição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9" name="shp_Etapa" descr="2">
              <a:extLst>
                <a:ext uri="{FF2B5EF4-FFF2-40B4-BE49-F238E27FC236}">
                  <a16:creationId xmlns:a16="http://schemas.microsoft.com/office/drawing/2014/main" id="{093FDE1B-A6A3-49BA-8D8C-162F972DD53C}"/>
                </a:ext>
              </a:extLst>
            </xdr:cNvPr>
            <xdr:cNvSpPr/>
          </xdr:nvSpPr>
          <xdr:spPr>
            <a:xfrm>
              <a:off x="619002" y="8161463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1</a:t>
              </a:r>
            </a:p>
          </xdr:txBody>
        </xdr:sp>
      </xdr:grpSp>
      <xdr:grpSp>
        <xdr:nvGrpSpPr>
          <xdr:cNvPr id="9" name="grp_Etapa">
            <a:extLst>
              <a:ext uri="{FF2B5EF4-FFF2-40B4-BE49-F238E27FC236}">
                <a16:creationId xmlns:a16="http://schemas.microsoft.com/office/drawing/2014/main" id="{B6704FA9-D2FE-45D5-9B42-7A7688ECDD34}"/>
              </a:ext>
            </a:extLst>
          </xdr:cNvPr>
          <xdr:cNvGrpSpPr/>
        </xdr:nvGrpSpPr>
        <xdr:grpSpPr>
          <a:xfrm>
            <a:off x="552388" y="2684587"/>
            <a:ext cx="5220100" cy="596208"/>
            <a:chOff x="619002" y="8161462"/>
            <a:chExt cx="5186233" cy="596208"/>
          </a:xfrm>
        </xdr:grpSpPr>
        <xdr:sp macro="" textlink="">
          <xdr:nvSpPr>
            <xdr:cNvPr id="16" name="txt_Etapa" descr="Para subtrair, selecione a célula F4, digite =C3-C4 e pressione Enter. &#10;">
              <a:extLst>
                <a:ext uri="{FF2B5EF4-FFF2-40B4-BE49-F238E27FC236}">
                  <a16:creationId xmlns:a16="http://schemas.microsoft.com/office/drawing/2014/main" id="{EE892B45-490B-4303-A3B5-5AFA58519049}"/>
                </a:ext>
              </a:extLst>
            </xdr:cNvPr>
            <xdr:cNvSpPr txBox="1"/>
          </xdr:nvSpPr>
          <xdr:spPr>
            <a:xfrm>
              <a:off x="1026696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Cabeçalho e Rodapé</a:t>
              </a: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7" name="shp_Etapa" descr="3">
              <a:extLst>
                <a:ext uri="{FF2B5EF4-FFF2-40B4-BE49-F238E27FC236}">
                  <a16:creationId xmlns:a16="http://schemas.microsoft.com/office/drawing/2014/main" id="{02FA636B-0BC9-4805-8EC3-B15EB8F7AAB1}"/>
                </a:ext>
              </a:extLst>
            </xdr:cNvPr>
            <xdr:cNvSpPr/>
          </xdr:nvSpPr>
          <xdr:spPr>
            <a:xfrm>
              <a:off x="619002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2</a:t>
              </a:r>
            </a:p>
          </xdr:txBody>
        </xdr:sp>
      </xdr:grpSp>
      <xdr:grpSp>
        <xdr:nvGrpSpPr>
          <xdr:cNvPr id="10" name="grp_Etapa">
            <a:extLst>
              <a:ext uri="{FF2B5EF4-FFF2-40B4-BE49-F238E27FC236}">
                <a16:creationId xmlns:a16="http://schemas.microsoft.com/office/drawing/2014/main" id="{BC736DD0-B77E-4726-BF61-93E9433A97B9}"/>
              </a:ext>
            </a:extLst>
          </xdr:cNvPr>
          <xdr:cNvGrpSpPr/>
        </xdr:nvGrpSpPr>
        <xdr:grpSpPr>
          <a:xfrm>
            <a:off x="571252" y="3256048"/>
            <a:ext cx="5220102" cy="596207"/>
            <a:chOff x="647206" y="8170948"/>
            <a:chExt cx="5186235" cy="596207"/>
          </a:xfrm>
        </xdr:grpSpPr>
        <xdr:sp macro="" textlink="">
          <xdr:nvSpPr>
            <xdr:cNvPr id="14" name="txt_Etapa" descr="Para multiplicar, selecione a célula F5, digite =C3*C4 e pressione Enter.&#10;">
              <a:extLst>
                <a:ext uri="{FF2B5EF4-FFF2-40B4-BE49-F238E27FC236}">
                  <a16:creationId xmlns:a16="http://schemas.microsoft.com/office/drawing/2014/main" id="{90DA8D2A-C12F-49B4-AAD4-6257A04196B9}"/>
                </a:ext>
              </a:extLst>
            </xdr:cNvPr>
            <xdr:cNvSpPr txBox="1"/>
          </xdr:nvSpPr>
          <xdr:spPr>
            <a:xfrm>
              <a:off x="1054902" y="8212906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Layout da página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5" name="shp_Etapa" descr="4">
              <a:extLst>
                <a:ext uri="{FF2B5EF4-FFF2-40B4-BE49-F238E27FC236}">
                  <a16:creationId xmlns:a16="http://schemas.microsoft.com/office/drawing/2014/main" id="{17459FF5-5DCE-4FDE-80CF-579167AB0F7F}"/>
                </a:ext>
              </a:extLst>
            </xdr:cNvPr>
            <xdr:cNvSpPr/>
          </xdr:nvSpPr>
          <xdr:spPr>
            <a:xfrm>
              <a:off x="647206" y="8170948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3</a:t>
              </a:r>
            </a:p>
          </xdr:txBody>
        </xdr:sp>
      </xdr:grpSp>
      <xdr:grpSp>
        <xdr:nvGrpSpPr>
          <xdr:cNvPr id="11" name="grp_Etapa">
            <a:extLst>
              <a:ext uri="{FF2B5EF4-FFF2-40B4-BE49-F238E27FC236}">
                <a16:creationId xmlns:a16="http://schemas.microsoft.com/office/drawing/2014/main" id="{634A9072-FAAF-466C-A967-137BCD06A023}"/>
              </a:ext>
            </a:extLst>
          </xdr:cNvPr>
          <xdr:cNvGrpSpPr/>
        </xdr:nvGrpSpPr>
        <xdr:grpSpPr>
          <a:xfrm>
            <a:off x="561851" y="3808537"/>
            <a:ext cx="5220101" cy="596208"/>
            <a:chOff x="628403" y="8161462"/>
            <a:chExt cx="5186234" cy="596208"/>
          </a:xfrm>
        </xdr:grpSpPr>
        <xdr:sp macro="" textlink="">
          <xdr:nvSpPr>
            <xdr:cNvPr id="12" name="txt_Etapa" descr="Para dividir, selecione a célula F6, digite  =C3/C4 e pressione Enter.&#10;">
              <a:extLst>
                <a:ext uri="{FF2B5EF4-FFF2-40B4-BE49-F238E27FC236}">
                  <a16:creationId xmlns:a16="http://schemas.microsoft.com/office/drawing/2014/main" id="{853C4FCE-74D7-4078-98F4-D26E781BFB35}"/>
                </a:ext>
              </a:extLst>
            </xdr:cNvPr>
            <xdr:cNvSpPr txBox="1"/>
          </xdr:nvSpPr>
          <xdr:spPr>
            <a:xfrm>
              <a:off x="1036098" y="8203421"/>
              <a:ext cx="4778539" cy="5542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0" i="0" u="none" strike="noStrike" kern="0" cap="none" spc="0" normalizeH="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uLnTx/>
                  <a:uFillTx/>
                  <a:latin typeface="Segoe UI" panose="020B0502040204020203" pitchFamily="34" charset="0"/>
                  <a:ea typeface="Segoe UI" pitchFamily="34" charset="0"/>
                  <a:cs typeface="Segoe UI" panose="020B0502040204020203" pitchFamily="34" charset="0"/>
                </a:rPr>
                <a:t>Congelar Painéis</a:t>
              </a:r>
            </a:p>
            <a:p>
              <a:pPr marL="0" marR="0" lvl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100" b="0" i="0" u="none" strike="noStrike" kern="0" cap="none" spc="0" normalizeH="0" baseline="0">
                <a:ln>
                  <a:noFill/>
                </a:ln>
                <a:solidFill>
                  <a:schemeClr val="tx1">
                    <a:lumMod val="75000"/>
                    <a:lumOff val="25000"/>
                  </a:schemeClr>
                </a:solidFill>
                <a:effectLst/>
                <a:uLnTx/>
                <a:uFillTx/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shp_Etapa" descr="5">
              <a:extLst>
                <a:ext uri="{FF2B5EF4-FFF2-40B4-BE49-F238E27FC236}">
                  <a16:creationId xmlns:a16="http://schemas.microsoft.com/office/drawing/2014/main" id="{6823A188-A0F5-4957-8134-4AE659B89154}"/>
                </a:ext>
              </a:extLst>
            </xdr:cNvPr>
            <xdr:cNvSpPr/>
          </xdr:nvSpPr>
          <xdr:spPr>
            <a:xfrm>
              <a:off x="628403" y="8161462"/>
              <a:ext cx="372191" cy="366863"/>
            </a:xfrm>
            <a:prstGeom prst="ellipse">
              <a:avLst/>
            </a:prstGeom>
            <a:solidFill>
              <a:srgbClr val="21734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rtl="0"/>
              <a:r>
                <a:rPr lang="pt-br" sz="1600">
                  <a:latin typeface="Segoe UI Semibold" panose="020B0702040204020203" pitchFamily="34" charset="0"/>
                  <a:cs typeface="Segoe UI Semibold" panose="020B0702040204020203" pitchFamily="34" charset="0"/>
                </a:rPr>
                <a:t>4</a:t>
              </a:r>
            </a:p>
          </xdr:txBody>
        </xdr:sp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sic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~1/COORDE~1/CONFIG~1/Temp/atual/Exercic&#237;os2264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aluno/AppData/Local/Microsoft/Windows/Temporary%20Internet%20Files/Content.IE5/Y7M4QOZU/Exercici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postilas/Apostila%20Excel%20Essencial/Tutorial%20de%20f&#243;rmula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yoshi/Downloads/freebie_funco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omparativo-realxpresumidoxsimpl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extra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2Produção"/>
      <sheetName val="Analise"/>
      <sheetName val="GrafProduçãoMensal"/>
      <sheetName val="Produçao"/>
      <sheetName val="Preços"/>
      <sheetName val="copia"/>
      <sheetName val="produção"/>
      <sheetName val="Previsao de Pgto"/>
      <sheetName val="Metas da Empresa"/>
      <sheetName val="Relatório de vendas"/>
      <sheetName val="Loja 1"/>
      <sheetName val="Loja 2"/>
      <sheetName val="Loja 1e2"/>
      <sheetName val="Convênios"/>
      <sheetName val="Orçamento"/>
      <sheetName val="Plan1"/>
      <sheetName val="MAGAZINE"/>
      <sheetName val="Pedido"/>
    </sheetNames>
    <sheetDataSet>
      <sheetData sheetId="0" refreshError="1"/>
      <sheetData sheetId="1">
        <row r="1">
          <cell r="A1" t="str">
            <v>Analise de Produçao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stro semanal de horas (2)"/>
      <sheetName val="EXTRA"/>
      <sheetName val="Gráfitau"/>
      <sheetName val="itaú"/>
      <sheetName val="Info"/>
      <sheetName val="Marisa"/>
      <sheetName val="Vendas"/>
      <sheetName val="controle"/>
      <sheetName val="Boletim"/>
      <sheetName val="Boletim Escolar"/>
      <sheetName val="MAGAZINE"/>
      <sheetName val="Pesquisa"/>
      <sheetName val="cargos"/>
      <sheetName val="Gráfvend08"/>
      <sheetName val="ven08"/>
      <sheetName val="Semestre"/>
      <sheetName val="estoque"/>
      <sheetName val="EMPRESA NACIONAL"/>
      <sheetName val="CópiaRELATIVA"/>
      <sheetName val="CópiaABSOLUTA"/>
      <sheetName val="Org"/>
      <sheetName val="Compras"/>
      <sheetName val="GráfCompras"/>
      <sheetName val="Etapas"/>
      <sheetName val="GráfBoletim"/>
      <sheetName val="Metas"/>
      <sheetName val="Lojas 1"/>
      <sheetName val="Loja 2"/>
      <sheetName val="Metas Lojas 1,2"/>
      <sheetName val="Gráf7"/>
      <sheetName val="Vínculo"/>
      <sheetName val="For.Cond."/>
      <sheetName val="Região"/>
      <sheetName val="Gráfaumento"/>
      <sheetName val="FOLHA"/>
      <sheetName val="Dias Trabalhados"/>
      <sheetName val="pedido"/>
      <sheetName val="copia1"/>
      <sheetName val="cor"/>
      <sheetName val="FOLHA (2)"/>
      <sheetName val="Gráfvendas"/>
      <sheetName val="tdvc"/>
      <sheetName val="Gráf2"/>
      <sheetName val="vendascursos"/>
      <sheetName val="banco"/>
      <sheetName val="clinica"/>
      <sheetName val="texto"/>
      <sheetName val="Previsao de Pgto (2)"/>
      <sheetName val="FOLHA (6)"/>
      <sheetName val="Previsao de Pgto"/>
      <sheetName val="FOLHA (5)"/>
      <sheetName val="FOLHA (4)"/>
      <sheetName val="FOLHAFINAL"/>
      <sheetName val="Região (2)"/>
      <sheetName val="reajuste"/>
      <sheetName val="novomes"/>
      <sheetName val="metas1"/>
      <sheetName val="fita"/>
      <sheetName val="solicitação"/>
      <sheetName val="Gráffolha"/>
      <sheetName val="PAGAMENTO FOLHA"/>
      <sheetName val="Comissão"/>
      <sheetName val="Gráfgasolçina"/>
      <sheetName val="gasolina"/>
      <sheetName val="contrcursos"/>
      <sheetName val="produção"/>
      <sheetName val="MAIORIDADE"/>
      <sheetName val="Registro semanal de horas"/>
      <sheetName val="produto"/>
      <sheetName val="produtofinal"/>
      <sheetName val="Exercic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1">
          <cell r="E11" t="str">
            <v>Tabela de Comissões</v>
          </cell>
        </row>
        <row r="12">
          <cell r="E12" t="str">
            <v>Valor Vendido</v>
          </cell>
          <cell r="G12" t="str">
            <v>Comissões</v>
          </cell>
        </row>
        <row r="13">
          <cell r="E13">
            <v>0</v>
          </cell>
          <cell r="F13">
            <v>2000</v>
          </cell>
          <cell r="G13">
            <v>0.03</v>
          </cell>
        </row>
        <row r="14">
          <cell r="E14">
            <v>2001</v>
          </cell>
          <cell r="F14">
            <v>4000</v>
          </cell>
          <cell r="G14">
            <v>0.05</v>
          </cell>
        </row>
        <row r="15">
          <cell r="E15">
            <v>4001</v>
          </cell>
          <cell r="F15">
            <v>7000</v>
          </cell>
          <cell r="G15">
            <v>7.0000000000000007E-2</v>
          </cell>
        </row>
        <row r="16">
          <cell r="E16">
            <v>7001</v>
          </cell>
          <cell r="F16">
            <v>15000</v>
          </cell>
          <cell r="G16">
            <v>0.1</v>
          </cell>
        </row>
      </sheetData>
      <sheetData sheetId="11" refreshError="1"/>
      <sheetData sheetId="12">
        <row r="11">
          <cell r="A11" t="str">
            <v>Tabelas de Cargos e Salários</v>
          </cell>
        </row>
        <row r="12">
          <cell r="A12" t="str">
            <v>Código</v>
          </cell>
          <cell r="B12" t="str">
            <v>Cargo</v>
          </cell>
          <cell r="C12" t="str">
            <v>Salário</v>
          </cell>
        </row>
        <row r="13">
          <cell r="A13">
            <v>1</v>
          </cell>
          <cell r="B13" t="str">
            <v>Supervisor</v>
          </cell>
          <cell r="C13">
            <v>2000</v>
          </cell>
        </row>
        <row r="14">
          <cell r="A14">
            <v>2</v>
          </cell>
          <cell r="B14" t="str">
            <v>Aux. Administrativo</v>
          </cell>
          <cell r="C14">
            <v>1200</v>
          </cell>
        </row>
        <row r="15">
          <cell r="A15">
            <v>3</v>
          </cell>
          <cell r="B15" t="str">
            <v>Aux. de Estoque</v>
          </cell>
          <cell r="C15">
            <v>1000</v>
          </cell>
        </row>
        <row r="16">
          <cell r="A16">
            <v>4</v>
          </cell>
          <cell r="B16" t="str">
            <v>Secretária</v>
          </cell>
          <cell r="C16">
            <v>1800</v>
          </cell>
        </row>
        <row r="17">
          <cell r="A17">
            <v>5</v>
          </cell>
          <cell r="B17" t="str">
            <v>Gerente</v>
          </cell>
          <cell r="C17">
            <v>5000</v>
          </cell>
        </row>
      </sheetData>
      <sheetData sheetId="13" refreshError="1"/>
      <sheetData sheetId="14">
        <row r="10">
          <cell r="A10" t="str">
            <v>Tabela de Comissão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6">
          <cell r="F6" t="str">
            <v>Compras</v>
          </cell>
        </row>
        <row r="8">
          <cell r="F8" t="str">
            <v>CÓDIGO</v>
          </cell>
          <cell r="G8" t="str">
            <v>DESCRIÇÃO DOS PRODUTOS</v>
          </cell>
          <cell r="H8" t="str">
            <v>UN</v>
          </cell>
        </row>
        <row r="9">
          <cell r="G9" t="str">
            <v>ALIMENTOS, COPA E COZINHA</v>
          </cell>
        </row>
        <row r="10">
          <cell r="F10">
            <v>1</v>
          </cell>
          <cell r="G10" t="str">
            <v>Arroz</v>
          </cell>
          <cell r="H10" t="str">
            <v>Kg</v>
          </cell>
        </row>
        <row r="11">
          <cell r="F11">
            <v>2</v>
          </cell>
          <cell r="G11" t="str">
            <v>Feijão</v>
          </cell>
          <cell r="H11" t="str">
            <v>Kg</v>
          </cell>
        </row>
        <row r="12">
          <cell r="F12">
            <v>3</v>
          </cell>
          <cell r="G12" t="str">
            <v>Acucar refinado</v>
          </cell>
          <cell r="H12" t="str">
            <v>Kg</v>
          </cell>
        </row>
        <row r="13">
          <cell r="F13">
            <v>4</v>
          </cell>
          <cell r="G13" t="str">
            <v>Café moido</v>
          </cell>
          <cell r="H13" t="str">
            <v>UN</v>
          </cell>
        </row>
        <row r="14">
          <cell r="G14" t="str">
            <v>DESCARTÁVEIS e LIMPEZA</v>
          </cell>
        </row>
        <row r="15">
          <cell r="F15">
            <v>10</v>
          </cell>
          <cell r="G15" t="str">
            <v>Detergente</v>
          </cell>
          <cell r="H15" t="str">
            <v>UN</v>
          </cell>
        </row>
        <row r="16">
          <cell r="F16">
            <v>11</v>
          </cell>
          <cell r="G16" t="str">
            <v>Sabão em pó</v>
          </cell>
          <cell r="H16" t="str">
            <v>UN</v>
          </cell>
        </row>
        <row r="17">
          <cell r="F17">
            <v>12</v>
          </cell>
          <cell r="G17" t="str">
            <v>Veja multiuso</v>
          </cell>
          <cell r="H17" t="str">
            <v>UN</v>
          </cell>
        </row>
        <row r="18">
          <cell r="F18">
            <v>13</v>
          </cell>
          <cell r="G18" t="str">
            <v>Papel higienico</v>
          </cell>
          <cell r="H18" t="str">
            <v>UN</v>
          </cell>
        </row>
        <row r="19">
          <cell r="G19" t="str">
            <v>ESCRITÓRIO</v>
          </cell>
        </row>
        <row r="20">
          <cell r="F20">
            <v>20</v>
          </cell>
          <cell r="G20" t="str">
            <v>Agenda</v>
          </cell>
          <cell r="H20" t="str">
            <v>UN</v>
          </cell>
        </row>
        <row r="21">
          <cell r="F21">
            <v>21</v>
          </cell>
          <cell r="G21" t="str">
            <v>caderno</v>
          </cell>
          <cell r="H21" t="str">
            <v>CX</v>
          </cell>
        </row>
        <row r="22">
          <cell r="F22">
            <v>22</v>
          </cell>
          <cell r="G22" t="str">
            <v>caneta</v>
          </cell>
          <cell r="H22" t="str">
            <v>UN</v>
          </cell>
        </row>
        <row r="23">
          <cell r="F23">
            <v>23</v>
          </cell>
          <cell r="G23" t="str">
            <v>Lápis</v>
          </cell>
          <cell r="H23" t="str">
            <v>UN</v>
          </cell>
        </row>
      </sheetData>
      <sheetData sheetId="59" refreshError="1"/>
      <sheetData sheetId="60">
        <row r="12">
          <cell r="D12" t="str">
            <v>Tabela de Aumento</v>
          </cell>
        </row>
        <row r="13">
          <cell r="D13" t="str">
            <v>de</v>
          </cell>
          <cell r="E13" t="str">
            <v>até</v>
          </cell>
          <cell r="F13" t="str">
            <v>Índice</v>
          </cell>
        </row>
        <row r="14">
          <cell r="D14">
            <v>450</v>
          </cell>
          <cell r="E14">
            <v>1000</v>
          </cell>
          <cell r="F14">
            <v>0.04</v>
          </cell>
        </row>
        <row r="15">
          <cell r="D15">
            <v>1001</v>
          </cell>
          <cell r="E15">
            <v>3000</v>
          </cell>
          <cell r="F15">
            <v>0.02</v>
          </cell>
        </row>
        <row r="16">
          <cell r="D16">
            <v>3003</v>
          </cell>
          <cell r="E16">
            <v>6000</v>
          </cell>
          <cell r="F16">
            <v>1.4999999999999999E-2</v>
          </cell>
        </row>
      </sheetData>
      <sheetData sheetId="61">
        <row r="11">
          <cell r="E11" t="str">
            <v>Tabela de Comissões</v>
          </cell>
        </row>
        <row r="12">
          <cell r="E12" t="str">
            <v>Valor Vendido</v>
          </cell>
          <cell r="G12" t="str">
            <v>Comissões</v>
          </cell>
        </row>
        <row r="13">
          <cell r="E13">
            <v>100</v>
          </cell>
          <cell r="F13">
            <v>2000</v>
          </cell>
          <cell r="G13">
            <v>0.03</v>
          </cell>
        </row>
        <row r="14">
          <cell r="E14">
            <v>2001</v>
          </cell>
          <cell r="F14">
            <v>4000</v>
          </cell>
          <cell r="G14">
            <v>0.05</v>
          </cell>
        </row>
        <row r="15">
          <cell r="E15">
            <v>4001</v>
          </cell>
          <cell r="F15">
            <v>7000</v>
          </cell>
          <cell r="G15">
            <v>7.0000000000000007E-2</v>
          </cell>
        </row>
        <row r="16">
          <cell r="E16">
            <v>7001</v>
          </cell>
          <cell r="F16">
            <v>16000</v>
          </cell>
          <cell r="G16">
            <v>0.1</v>
          </cell>
        </row>
      </sheetData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ício"/>
      <sheetName val="Noções básicas"/>
      <sheetName val="Introdução às funções"/>
      <sheetName val="MÉDIA"/>
      <sheetName val="MÍNIMO e MÁXIMO"/>
      <sheetName val="Data e hora"/>
      <sheetName val="Unir texto e números"/>
      <sheetName val="Instruções SE"/>
      <sheetName val="PROCV"/>
      <sheetName val="Funções condicionais"/>
      <sheetName val="Assistente de função"/>
      <sheetName val="Erros de fórmula"/>
      <sheetName val="Saiba mais"/>
      <sheetName val="Tutorial de fórmul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ESTE"/>
      <sheetName val="CP3"/>
      <sheetName val="CP4"/>
      <sheetName val="DESLOC"/>
      <sheetName val="CP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B3" t="str">
            <v>Este caso prático resolvido está disponível no Express Training, a biblioteca online sobre Excel da Cavalcante. Visite expresstraining.com.br para encontrar este e outros exemplos!</v>
          </cell>
        </row>
        <row r="6">
          <cell r="B6" t="str">
            <v>Mês</v>
          </cell>
          <cell r="C6" t="str">
            <v>Receita</v>
          </cell>
        </row>
        <row r="7">
          <cell r="B7">
            <v>38718</v>
          </cell>
          <cell r="C7">
            <v>5568.3668935324713</v>
          </cell>
        </row>
        <row r="8">
          <cell r="B8">
            <v>38749</v>
          </cell>
          <cell r="C8">
            <v>6357.0806842879947</v>
          </cell>
        </row>
        <row r="9">
          <cell r="B9">
            <v>38777</v>
          </cell>
          <cell r="C9">
            <v>7255.729671974972</v>
          </cell>
        </row>
        <row r="10">
          <cell r="B10">
            <v>38808</v>
          </cell>
          <cell r="C10">
            <v>8029.5383155147574</v>
          </cell>
        </row>
        <row r="11">
          <cell r="B11">
            <v>38838</v>
          </cell>
          <cell r="C11">
            <v>8714.5763825247504</v>
          </cell>
        </row>
        <row r="12">
          <cell r="B12">
            <v>38869</v>
          </cell>
          <cell r="C12">
            <v>9255.1376370657417</v>
          </cell>
        </row>
        <row r="13">
          <cell r="B13">
            <v>38899</v>
          </cell>
          <cell r="C13">
            <v>9955.2143864990958</v>
          </cell>
        </row>
        <row r="14">
          <cell r="B14">
            <v>38930</v>
          </cell>
          <cell r="C14">
            <v>10804.463889741846</v>
          </cell>
        </row>
        <row r="15">
          <cell r="B15">
            <v>38961</v>
          </cell>
          <cell r="C15">
            <v>11303.400572213983</v>
          </cell>
        </row>
        <row r="16">
          <cell r="B16">
            <v>38991</v>
          </cell>
          <cell r="C16">
            <v>12381.70788615012</v>
          </cell>
        </row>
        <row r="17">
          <cell r="B17">
            <v>39022</v>
          </cell>
          <cell r="C17">
            <v>13193.37869014436</v>
          </cell>
        </row>
        <row r="18">
          <cell r="B18">
            <v>39052</v>
          </cell>
          <cell r="C18">
            <v>14381.597719956882</v>
          </cell>
        </row>
        <row r="19">
          <cell r="B19">
            <v>39083</v>
          </cell>
          <cell r="C19">
            <v>14769.384173091505</v>
          </cell>
        </row>
        <row r="20">
          <cell r="B20">
            <v>39114</v>
          </cell>
          <cell r="C20">
            <v>14961.25080188084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ércio"/>
      <sheetName val="Anexo 1"/>
      <sheetName val="Serviços (III)"/>
      <sheetName val="Anexo III"/>
      <sheetName val="Serviços IV"/>
      <sheetName val="Anexo IV"/>
    </sheetNames>
    <sheetDataSet>
      <sheetData sheetId="0"/>
      <sheetData sheetId="1">
        <row r="33">
          <cell r="L33" t="str">
            <v>ICMS - Simples</v>
          </cell>
        </row>
        <row r="34">
          <cell r="L34" t="str">
            <v>Isenção</v>
          </cell>
        </row>
        <row r="35">
          <cell r="L35" t="str">
            <v>Substituição Tributária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squisa"/>
      <sheetName val="Marisa"/>
      <sheetName val="Info"/>
      <sheetName val="itaú"/>
      <sheetName val="extra"/>
      <sheetName val="controle"/>
      <sheetName val="data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E592A4A1-59C6-4578-B109-D85DAA7AE9D7}" sourceName="Vendedor">
  <extLst>
    <x:ext xmlns:x15="http://schemas.microsoft.com/office/spreadsheetml/2010/11/main" uri="{2F2917AC-EB37-4324-AD4E-5DD8C200BD13}">
      <x15:tableSlicerCache tableId="22" column="2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_da_Venda" xr10:uid="{4381A143-95D6-4028-B40E-D25649A259F1}" sourceName="Data da Venda">
  <extLst>
    <x:ext xmlns:x15="http://schemas.microsoft.com/office/spreadsheetml/2010/11/main" uri="{2F2917AC-EB37-4324-AD4E-5DD8C200BD13}">
      <x15:tableSlicerCache tableId="30" column="2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C3CB8A3-036C-4415-81EA-6E0A4E8EF66A}" sourceName="Produto">
  <extLst>
    <x:ext xmlns:x15="http://schemas.microsoft.com/office/spreadsheetml/2010/11/main" uri="{2F2917AC-EB37-4324-AD4E-5DD8C200BD13}">
      <x15:tableSlicerCache tableId="30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ilial" xr10:uid="{0A35511C-C7D9-4B54-B1D6-6F1422CC7131}" sourceName="Filial">
  <extLst>
    <x:ext xmlns:x15="http://schemas.microsoft.com/office/spreadsheetml/2010/11/main" uri="{2F2917AC-EB37-4324-AD4E-5DD8C200BD13}">
      <x15:tableSlicerCache tableId="30" column="5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onsultor" xr10:uid="{522DFEB4-85F0-48A9-8F5D-2138B3F199E1}" sourceName="Consultor">
  <extLst>
    <x:ext xmlns:x15="http://schemas.microsoft.com/office/spreadsheetml/2010/11/main" uri="{2F2917AC-EB37-4324-AD4E-5DD8C200BD13}">
      <x15:tableSlicerCache tableId="30" column="6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_de_entrada" xr10:uid="{DD7B8000-6C50-414B-AE51-A0C1F5991A93}" sourceName="Data de entrada">
  <extLst>
    <x:ext xmlns:x15="http://schemas.microsoft.com/office/spreadsheetml/2010/11/main" uri="{2F2917AC-EB37-4324-AD4E-5DD8C200BD13}">
      <x15:tableSlicerCache tableId="39" column="2" sortOrder="descending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íodo" xr10:uid="{CF9F19DE-3CDB-4322-98D4-C56A59AD1E69}" sourceName="Período">
  <extLst>
    <x:ext xmlns:x15="http://schemas.microsoft.com/office/spreadsheetml/2010/11/main" uri="{2F2917AC-EB37-4324-AD4E-5DD8C200BD13}">
      <x15:tableSlicerCache tableId="26" column="1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41CBC6EB-2EB8-4955-950B-94F1B754CF1B}" sourceName="Mês">
  <extLst>
    <x:ext xmlns:x15="http://schemas.microsoft.com/office/spreadsheetml/2010/11/main" uri="{2F2917AC-EB37-4324-AD4E-5DD8C200BD13}">
      <x15:tableSlicerCache tableId="60" column="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BEEA3C62-0E49-4E6E-8271-DA8984898F85}" cache="SegmentaçãodeDados_Vendedor" caption="Top Vendedores" columnCount="2" style="SlicerStyleLight2" rowHeight="288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a da Venda" xr10:uid="{D854E21F-CE3A-45B7-80E0-09040DC46BAF}" cache="SegmentaçãodeDados_Data_da_Venda" caption="Data da Venda" columnCount="2" style="SlicerStyleDark1" rowHeight="241300"/>
  <slicer name="Produto" xr10:uid="{A595F253-0C92-4172-B915-0776BCA12E49}" cache="SegmentaçãodeDados_Produto" caption="Produto" style="SlicerStyleDark1" rowHeight="241300"/>
  <slicer name="Filial" xr10:uid="{0012436E-7DF1-4E9F-BCD3-A5057D630DEE}" cache="SegmentaçãodeDados_Filial" caption="Filial" columnCount="3" style="SlicerStyleDark1" rowHeight="241300"/>
  <slicer name="Consultor" xr10:uid="{3D91F1AF-FD8E-4FC6-ABE4-D84D03848739}" cache="SegmentaçãodeDados_Consultor" caption="Consultor" startItem="2" style="SlicerStyleDark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a de entrada" xr10:uid="{493B21DE-B9E1-440D-9DBE-C574B50716BC}" cache="SegmentaçãodeDados_Data_de_entrada" caption="Data de entrada" style="SlicerStyleDark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F6C472A1-D79F-4E48-871E-0A16C144A17D}" cache="SegmentaçãodeDados_Período" caption="Período" columnCount="2" style="SlicerStyleDark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ês" xr10:uid="{8BAD4289-842A-42A8-8FBA-82595FD347B5}" cache="SegmentaçãodeDados_Mês" caption="Mês" columnCount="4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3EE8DF06-4975-44E2-A728-284C1D9548B1}" name="Tabela3553" displayName="Tabela3553" ref="B3:E11" totalsRowShown="0">
  <autoFilter ref="B3:E11" xr:uid="{2919C02C-F4AC-48E4-9187-77FBAB4C0FC2}">
    <filterColumn colId="0" hiddenButton="1"/>
    <filterColumn colId="1" hiddenButton="1"/>
    <filterColumn colId="2" hiddenButton="1"/>
    <filterColumn colId="3" hiddenButton="1"/>
  </autoFilter>
  <tableColumns count="4">
    <tableColumn id="1" xr3:uid="{66C0FEF2-5C43-47E0-B43C-CA0FAFFF599F}" name="Colaborador" dataDxfId="418"/>
    <tableColumn id="2" xr3:uid="{F510702B-A825-46A3-8849-9E971DAF0D19}" name="Aniversário" dataDxfId="417"/>
    <tableColumn id="3" xr3:uid="{5FC5AA24-D042-4F52-B892-BF0829E9B69D}" name="Mês" dataDxfId="416">
      <calculatedColumnFormula>MONTH(Tabela3553[[#This Row],[Aniversário]])</calculatedColumnFormula>
    </tableColumn>
    <tableColumn id="4" xr3:uid="{7C07CECF-7AEF-4142-A6F6-5F899E873E7F}" name="Mês por Extenso" dataDxfId="415">
      <calculatedColumnFormula>Tabela3553[[#This Row],[Aniversário]]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004D4BA-3F5B-428B-BDF0-E0B3CB76223B}" name="Tabela38" displayName="Tabela38" ref="K4:Q14" totalsRowCount="1" headerRowDxfId="414" dataDxfId="413">
  <autoFilter ref="K4:Q13" xr:uid="{D004D4BA-3F5B-428B-BDF0-E0B3CB76223B}"/>
  <tableColumns count="7">
    <tableColumn id="1" xr3:uid="{48EA4260-235C-4CE4-853D-C493E5703ECA}" name="Nº" totalsRowLabel="Total" dataDxfId="412" totalsRowDxfId="411"/>
    <tableColumn id="2" xr3:uid="{CBCABD4C-6E92-4B3D-8F13-DC42BF458084}" name="Vendedor" totalsRowFunction="count" dataDxfId="410" totalsRowDxfId="409"/>
    <tableColumn id="3" xr3:uid="{8CEAEC78-B24D-44BE-A5BD-4F21A1073392}" name="1º Trimestre" totalsRowFunction="average" dataDxfId="408" totalsRowDxfId="407"/>
    <tableColumn id="4" xr3:uid="{6481AD9A-2168-4B47-AFCC-45C838444DF9}" name="2º Trimestre" totalsRowFunction="average" dataDxfId="406" totalsRowDxfId="405"/>
    <tableColumn id="5" xr3:uid="{74784FC7-7D57-4F40-8109-75ED84EB6738}" name="3º Trimestre" totalsRowFunction="average" dataDxfId="404" totalsRowDxfId="403"/>
    <tableColumn id="6" xr3:uid="{5D5D3D72-0CF1-42E1-A7C9-457F12337C8A}" name="4º Trimestre" totalsRowFunction="average" dataDxfId="402" totalsRowDxfId="401"/>
    <tableColumn id="7" xr3:uid="{1819257B-91EE-4CDD-B215-02CB28D687F1}" name="Total" totalsRowFunction="sum" dataDxfId="400" totalsRowDxfId="399">
      <calculatedColumnFormula>SUM(M5:P5)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8EECCBE-E6F7-470B-BEE7-99B23BF8A3BF}" name="Tabela22" displayName="Tabela22" ref="K8:Q18" totalsRowShown="0" headerRowDxfId="398" dataDxfId="396" headerRowBorderDxfId="397">
  <autoFilter ref="K8:Q18" xr:uid="{315C309B-C2C9-4E4D-A112-FEBB90D19259}">
    <filterColumn colId="0" hiddenButton="1"/>
    <filterColumn colId="1" hiddenButton="1">
      <filters>
        <filter val="Kléber Nascimento"/>
      </filters>
    </filterColumn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K9:Q17">
    <sortCondition ref="K8:K17"/>
  </sortState>
  <tableColumns count="7">
    <tableColumn id="1" xr3:uid="{68CC5D83-B100-4DF5-B1B3-B054C263771B}" name="Nº" dataDxfId="395"/>
    <tableColumn id="2" xr3:uid="{172BC39B-009D-4ACD-8B63-9DA92C2E11CF}" name="Vendedor" dataDxfId="394"/>
    <tableColumn id="3" xr3:uid="{074371CE-F459-4787-A303-2E091FF1DA7E}" name="1º Trimestre" dataDxfId="393"/>
    <tableColumn id="4" xr3:uid="{5B9A955F-D0DF-4654-BF02-3744822E8928}" name="2º Trimestre" dataDxfId="392"/>
    <tableColumn id="5" xr3:uid="{5A80371D-B646-4E34-B57A-BBC302C52DCE}" name="3º Trimestre" dataDxfId="391"/>
    <tableColumn id="6" xr3:uid="{A8F9A12F-295A-404F-AA40-ACF0AFE5A840}" name="4º Trimestre" dataDxfId="390"/>
    <tableColumn id="7" xr3:uid="{7232D495-07F5-4541-8AD5-C004A851EF24}" name="Total" dataDxfId="389">
      <calculatedColumnFormula>SUM(M9:P9)</calculatedColumnFormula>
    </tableColumn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FE35580-1D32-4D20-9B28-19D752FF278F}" name="Tabela30" displayName="Tabela30" ref="D20:L39" totalsRowCount="1" headerRowDxfId="388" dataDxfId="386" totalsRowDxfId="384" headerRowBorderDxfId="387" tableBorderDxfId="385" totalsRowBorderDxfId="383">
  <autoFilter ref="D20:L38" xr:uid="{4FE35580-1D32-4D20-9B28-19D752FF278F}"/>
  <tableColumns count="9">
    <tableColumn id="1" xr3:uid="{67A66FEC-29D1-4C36-9E1C-02D65806FA80}" name="Nº Pedido" totalsRowLabel="Total" dataDxfId="382" totalsRowDxfId="381"/>
    <tableColumn id="2" xr3:uid="{60B5B624-1A04-4D35-A12D-76C63A1ED690}" name="Data da Venda" dataDxfId="380" totalsRowDxfId="379"/>
    <tableColumn id="3" xr3:uid="{45F2834F-2D38-40A1-A43A-12AADFE41944}" name="Produto" dataDxfId="378" totalsRowDxfId="377"/>
    <tableColumn id="4" xr3:uid="{62258FD1-6300-4667-84FB-097F0D043B28}" name="Quantidade" dataDxfId="376" totalsRowDxfId="375"/>
    <tableColumn id="5" xr3:uid="{6FAAAB17-2E52-42B6-9378-F142B7E61A71}" name="Filial" dataDxfId="374" totalsRowDxfId="373"/>
    <tableColumn id="6" xr3:uid="{CEA8E0CC-E21F-4494-9FC5-A22C0CC5A323}" name="Consultor" dataDxfId="372" totalsRowDxfId="371"/>
    <tableColumn id="7" xr3:uid="{276CC749-D14B-42B7-85FD-077473FD554D}" name="Nº de Parcelas" dataDxfId="370" totalsRowDxfId="369"/>
    <tableColumn id="8" xr3:uid="{CB074527-D50A-4A6F-BBD9-BADF7B9EC14B}" name="Faturado" dataDxfId="368" totalsRowDxfId="367" dataCellStyle="Moeda"/>
    <tableColumn id="9" xr3:uid="{53C42A66-B171-4632-B680-D9276FE5423E}" name="Comissões" totalsRowFunction="sum" dataDxfId="366" totalsRowDxfId="365" dataCellStyle="Moed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vendas_2017" displayName="vendas_2017" ref="S4:X9" dataDxfId="364">
  <autoFilter ref="S4:X9" xr:uid="{00000000-0009-0000-0100-00000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0000-000001000000}" name="Vendedores" totalsRowLabel="Total"/>
    <tableColumn id="2" xr3:uid="{00000000-0010-0000-0000-000002000000}" name="1º Trim." dataDxfId="363" totalsRowDxfId="362"/>
    <tableColumn id="3" xr3:uid="{00000000-0010-0000-0000-000003000000}" name="2º Trim." dataDxfId="361" totalsRowDxfId="360"/>
    <tableColumn id="4" xr3:uid="{00000000-0010-0000-0000-000004000000}" name="3º Trim." dataDxfId="359" totalsRowDxfId="358"/>
    <tableColumn id="5" xr3:uid="{00000000-0010-0000-0000-000005000000}" name="4º Trim." dataDxfId="357" totalsRowDxfId="356"/>
    <tableColumn id="6" xr3:uid="{00000000-0010-0000-0000-000006000000}" name="Total" dataDxfId="355">
      <calculatedColumnFormula>vendas_2017[[#This Row],[1º Trim.]]+vendas_2017[[#This Row],[2º Trim.]]+vendas_2017[[#This Row],[3º Trim.]]+vendas_2017[[#This Row],[4º Trim.]]</calculatedColumnFormula>
    </tableColumn>
  </tableColumns>
  <tableStyleInfo name="TableStyleMedium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vendas_2018" displayName="vendas_2018" ref="S14:X19" dataDxfId="354">
  <autoFilter ref="S14:X19" xr:uid="{00000000-0009-0000-0100-00000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0100-000001000000}" name="Vendedores" totalsRowLabel="Total"/>
    <tableColumn id="2" xr3:uid="{00000000-0010-0000-0100-000002000000}" name="1º Trim." totalsRowFunction="custom" dataDxfId="353" totalsRowDxfId="352">
      <totalsRowFormula>T15+T16+T17+T18+T19</totalsRowFormula>
    </tableColumn>
    <tableColumn id="3" xr3:uid="{00000000-0010-0000-0100-000003000000}" name="2º Trim." dataDxfId="351" totalsRowDxfId="350"/>
    <tableColumn id="4" xr3:uid="{00000000-0010-0000-0100-000004000000}" name="3º Trim." dataDxfId="349" totalsRowDxfId="348"/>
    <tableColumn id="5" xr3:uid="{00000000-0010-0000-0100-000005000000}" name="4º Trim." dataDxfId="347" totalsRowDxfId="346"/>
    <tableColumn id="6" xr3:uid="{00000000-0010-0000-0100-000006000000}" name="Total" dataDxfId="345">
      <calculatedColumnFormula>vendas_2018[[#This Row],[1º Trim.]]+vendas_2018[[#This Row],[2º Trim.]]+vendas_2018[[#This Row],[3º Trim.]]+vendas_2018[[#This Row],[4º Trim.]]</calculatedColumnFormula>
    </tableColumn>
  </tableColumns>
  <tableStyleInfo name="TableStyleMedium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bl_vendedores" displayName="tbl_vendedores" ref="S23:X28" headerRowDxfId="344" dataDxfId="343">
  <autoFilter ref="S23:X28" xr:uid="{00000000-0009-0000-0100-000008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0200-000001000000}" name="Vendedores" totalsRowLabel="Total" dataDxfId="342" totalsRowDxfId="341"/>
    <tableColumn id="2" xr3:uid="{00000000-0010-0000-0200-000002000000}" name="1º Trim." dataDxfId="340" totalsRowDxfId="339">
      <calculatedColumnFormula>T5+T15</calculatedColumnFormula>
    </tableColumn>
    <tableColumn id="3" xr3:uid="{00000000-0010-0000-0200-000003000000}" name="2º Trim." dataDxfId="338" totalsRowDxfId="337">
      <calculatedColumnFormula>U5+U15</calculatedColumnFormula>
    </tableColumn>
    <tableColumn id="4" xr3:uid="{00000000-0010-0000-0200-000004000000}" name="3º Trim." dataDxfId="336" totalsRowDxfId="335">
      <calculatedColumnFormula>V5+V15</calculatedColumnFormula>
    </tableColumn>
    <tableColumn id="5" xr3:uid="{00000000-0010-0000-0200-000005000000}" name="4º Trim." dataDxfId="334" totalsRowDxfId="333">
      <calculatedColumnFormula>W5+W15</calculatedColumnFormula>
    </tableColumn>
    <tableColumn id="6" xr3:uid="{00000000-0010-0000-0200-000006000000}" name="Total 2017 + 2018" totalsRowFunction="count" dataDxfId="332" totalsRowDxfId="331">
      <calculatedColumnFormula>X5+X15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3000000}" name="tbl_funcionários" displayName="tbl_funcionários" ref="K4:O9" totalsRowShown="0" headerRowDxfId="330">
  <autoFilter ref="K4:O9" xr:uid="{00000000-0009-0000-0100-00000D000000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K5:O9">
    <sortCondition ref="K5"/>
  </sortState>
  <tableColumns count="5">
    <tableColumn id="1" xr3:uid="{00000000-0010-0000-0300-000001000000}" name="Funcionário"/>
    <tableColumn id="2" xr3:uid="{00000000-0010-0000-0300-000002000000}" name="Salário" dataCellStyle="Moeda"/>
    <tableColumn id="3" xr3:uid="{00000000-0010-0000-0300-000003000000}" name="Faltas" dataCellStyle="Moeda"/>
    <tableColumn id="4" xr3:uid="{00000000-0010-0000-0300-000004000000}" name="INSS" dataDxfId="329" dataCellStyle="Moeda"/>
    <tableColumn id="5" xr3:uid="{00000000-0010-0000-0300-000005000000}" name="Salário Líquido" dataDxfId="328" dataCellStyle="Moeda">
      <calculatedColumnFormula>tbl_funcionários[[#This Row],[Salário]]-tbl_funcionários[[#This Row],[Faltas]]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0659ED8-2ED7-4067-B4F0-12C22DDADD72}" name="Tabela42" displayName="Tabela42" ref="K13:L18" totalsRowShown="0" headerRowDxfId="327">
  <autoFilter ref="K13:L18" xr:uid="{10659ED8-2ED7-4067-B4F0-12C22DDADD72}">
    <filterColumn colId="0" hiddenButton="1"/>
    <filterColumn colId="1" hiddenButton="1"/>
  </autoFilter>
  <tableColumns count="2">
    <tableColumn id="1" xr3:uid="{BABE7166-24B1-4537-8CB9-958677FBD8C2}" name="Despesas"/>
    <tableColumn id="2" xr3:uid="{C055D677-C4CC-4FD3-B841-3F4E382FEFB2}" name="Valo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536F7B7-2273-4AAF-B8BC-7E474D9BF29D}" name="Tabela48" displayName="Tabela48" ref="K21:L25" totalsRowShown="0" headerRowDxfId="326">
  <autoFilter ref="K21:L25" xr:uid="{7536F7B7-2273-4AAF-B8BC-7E474D9BF29D}"/>
  <tableColumns count="2">
    <tableColumn id="1" xr3:uid="{30AD6BB8-B7B2-4D7F-B23C-D6A8133F224C}" name="Rendimentos"/>
    <tableColumn id="2" xr3:uid="{1ED284E3-072C-4265-83D7-95EDEE3DF228}" name="Valo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bl_escritorio" displayName="tbl_escritorio" ref="K3:N9" totalsRowShown="0" headerRowDxfId="325">
  <autoFilter ref="K3:N9" xr:uid="{00000000-0009-0000-0100-00000A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0600-000001000000}" name="Produto"/>
    <tableColumn id="2" xr3:uid="{00000000-0010-0000-0600-000002000000}" name="Preço Unitário" dataDxfId="324"/>
    <tableColumn id="3" xr3:uid="{00000000-0010-0000-0600-000003000000}" name="Vendas Realizadas"/>
    <tableColumn id="4" xr3:uid="{00000000-0010-0000-0600-000004000000}" name="Total" dataDxfId="323">
      <calculatedColumnFormula>tbl_escritorio[[#This Row],[Preço Unitário]]*tbl_escritorio[[#This Row],[Vendas Realizadas]]</calculatedColumnFormula>
    </tableColumn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tbl_escritorio_div" displayName="tbl_escritorio_div" ref="J3:M8" totalsRowShown="0" headerRowDxfId="322">
  <autoFilter ref="J3:M8" xr:uid="{00000000-0009-0000-0100-00000B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0700-000001000000}" name="Produto"/>
    <tableColumn id="2" xr3:uid="{00000000-0010-0000-0700-000002000000}" name="Preço Unitário" dataDxfId="321"/>
    <tableColumn id="3" xr3:uid="{00000000-0010-0000-0700-000003000000}" name="Vendas Semestre" dataDxfId="320"/>
    <tableColumn id="4" xr3:uid="{00000000-0010-0000-0700-000004000000}" name="Qtd. Vendas" dataDxfId="319">
      <calculatedColumnFormula>tbl_escritorio_div[[#This Row],[Vendas Semestre]]/tbl_escritorio_div[[#This Row],[Preço Unitário]]</calculatedColumnFormula>
    </tableColumn>
  </tableColumns>
  <tableStyleInfo name="TableStyleMedium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vendas_semestre" displayName="vendas_semestre" ref="O2:O3" totalsRowShown="0" headerRowDxfId="318" dataDxfId="317">
  <autoFilter ref="O2:O3" xr:uid="{00000000-0009-0000-0100-00000C000000}">
    <filterColumn colId="0" hiddenButton="1"/>
  </autoFilter>
  <tableColumns count="1">
    <tableColumn id="1" xr3:uid="{00000000-0010-0000-0800-000001000000}" name="Total Vendas Semestre" dataDxfId="316">
      <calculatedColumnFormula>SUM(tbl_escritorio_div[Vendas Semestre])</calculatedColumnFormula>
    </tableColumn>
  </tableColumns>
  <tableStyleInfo name="TableStyleLight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meta_semestre" displayName="meta_semestre" ref="O5:O6" totalsRowShown="0" headerRowDxfId="315" dataDxfId="314">
  <autoFilter ref="O5:O6" xr:uid="{00000000-0009-0000-0100-00000E000000}">
    <filterColumn colId="0" hiddenButton="1"/>
  </autoFilter>
  <tableColumns count="1">
    <tableColumn id="1" xr3:uid="{00000000-0010-0000-0900-000001000000}" name="Meta Vendas Semestre" dataDxfId="313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A98B090-CFA6-4080-9F04-22DC6BDEBECB}" name="TAB_FUNDEZ01" displayName="TAB_FUNDEZ01" ref="B6:C17" totalsRowCount="1" headerRowDxfId="312" dataDxfId="311" totalsRowDxfId="310">
  <autoFilter ref="B6:C16" xr:uid="{0A98B090-CFA6-4080-9F04-22DC6BDEBECB}">
    <filterColumn colId="0" hiddenButton="1"/>
    <filterColumn colId="1" hiddenButton="1"/>
  </autoFilter>
  <tableColumns count="2">
    <tableColumn id="1" xr3:uid="{363301ED-DA07-49D8-A823-454432448251}" name="Colaborador" totalsRowLabel="Total" dataDxfId="309" totalsRowDxfId="308"/>
    <tableColumn id="2" xr3:uid="{7BD6A126-A83C-43A7-8CEE-A79353B7A23D}" name="Total Geral" totalsRowFunction="sum" dataDxfId="307" totalsRowDxfId="306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7FADDF9-2A58-4F91-A124-A210E06D6FAC}" name="TAB_FUN02" displayName="TAB_FUN02" ref="E6:L17" totalsRowCount="1" headerRowDxfId="305" dataDxfId="304" totalsRowDxfId="303">
  <autoFilter ref="E6:L16" xr:uid="{77FADDF9-2A58-4F91-A124-A210E06D6FAC}"/>
  <tableColumns count="8">
    <tableColumn id="1" xr3:uid="{E12AB1F1-4640-4DEA-B2EA-4E1C345E6240}" name="Colaborador" totalsRowLabel="Total" dataDxfId="302" totalsRowDxfId="301"/>
    <tableColumn id="2" xr3:uid="{D401D40E-1B04-419B-9DCD-AAFB392BD0E5}" name="1º Trim." dataDxfId="300" totalsRowDxfId="299" dataCellStyle="Vírgula"/>
    <tableColumn id="3" xr3:uid="{460BFFF0-8857-42A7-B413-2A614B1CDA5C}" name="2º Trim." dataDxfId="298" totalsRowDxfId="297" dataCellStyle="Vírgula"/>
    <tableColumn id="4" xr3:uid="{6DF865D1-346D-4E4B-B7BC-5CC5BD5BDE0B}" name="3º Trim." dataDxfId="296" totalsRowDxfId="295" dataCellStyle="Vírgula"/>
    <tableColumn id="5" xr3:uid="{3E65E48F-8A73-448D-8169-2AFA15F53D52}" name="4º Trim." dataDxfId="294" totalsRowDxfId="293" dataCellStyle="Vírgula"/>
    <tableColumn id="6" xr3:uid="{54AFA666-5FAD-4127-91B8-E489AC990510}" name="Total Geral" totalsRowFunction="sum" dataDxfId="292" totalsRowDxfId="291" dataCellStyle="Vírgula">
      <calculatedColumnFormula>TAB_FUN02[[#This Row],[1º Trim.]]+TAB_FUN02[[#This Row],[2º Trim.]]+TAB_FUN02[[#This Row],[3º Trim.]]+TAB_FUN02[[#This Row],[4º Trim.]]</calculatedColumnFormula>
    </tableColumn>
    <tableColumn id="7" xr3:uid="{A34EA932-B6CC-4405-A4A8-AB36E9968499}" name="% Obtida" dataDxfId="290" totalsRowDxfId="289" dataCellStyle="Porcentagem">
      <calculatedColumnFormula array="1">TAB_FUN02[[#This Row],[Total Geral]]/Tabela55[Meta Individual 2024]</calculatedColumnFormula>
    </tableColumn>
    <tableColumn id="8" xr3:uid="{AE0BE416-79FD-41AF-898F-AB92472BC1D9}" name="Evolução" totalsRowFunction="count" dataDxfId="288" totalsRowDxfId="287" dataCellStyle="Vírgula">
      <calculatedColumnFormula>TAB_FUN02[[#This Row],[Total Geral]]-TAB_FUNDEZ01[[#This Row],[Total Geral]]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4D3DFAF-0309-4A30-ACE8-4ED6A35E8A54}" name="Tabela55" displayName="Tabela55" ref="O11:O12" totalsRowShown="0" headerRowDxfId="286" dataDxfId="285">
  <autoFilter ref="O11:O12" xr:uid="{34D3DFAF-0309-4A30-ACE8-4ED6A35E8A54}">
    <filterColumn colId="0" hiddenButton="1"/>
  </autoFilter>
  <tableColumns count="1">
    <tableColumn id="1" xr3:uid="{B2215F1D-24DF-4DCD-91ED-5D91C99CB34A}" name="Meta Individual 2024" dataDxfId="284"/>
  </tableColumns>
  <tableStyleInfo name="TableStyleDark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62E2D8AC-9744-462D-8FFD-E0A3D1DABFFE}" name="Tabela56" displayName="Tabela56" ref="O8:O9" headerRowDxfId="283" dataDxfId="282" dataCellStyle="Vírgula">
  <autoFilter ref="O8:O9" xr:uid="{62E2D8AC-9744-462D-8FFD-E0A3D1DABFFE}">
    <filterColumn colId="0" hiddenButton="1"/>
  </autoFilter>
  <tableColumns count="1">
    <tableColumn id="1" xr3:uid="{EEEAEA54-A8F1-4579-A866-B1E3B6368AB2}" name="Meta Geral 2024" totalsRowFunction="sum" dataDxfId="281" totalsRowDxfId="280" dataCellStyle="Vírgula"/>
  </tableColumns>
  <tableStyleInfo name="TableStyleDark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media_salarial" displayName="media_salarial" ref="B3:I10" totalsRowShown="0" headerRowDxfId="279" dataDxfId="278" dataCellStyle="Vírgula">
  <autoFilter ref="B3:I10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0000000-0010-0000-0A00-000001000000}" name="ID" dataDxfId="277" totalsRowDxfId="276"/>
    <tableColumn id="2" xr3:uid="{00000000-0010-0000-0A00-000002000000}" name="Funcionário" dataDxfId="275" totalsRowDxfId="274"/>
    <tableColumn id="3" xr3:uid="{00000000-0010-0000-0A00-000003000000}" name="Área" dataDxfId="273" totalsRowDxfId="272"/>
    <tableColumn id="4" xr3:uid="{00000000-0010-0000-0A00-000004000000}" name="2017" dataDxfId="271" totalsRowDxfId="270" dataCellStyle="Vírgula"/>
    <tableColumn id="5" xr3:uid="{00000000-0010-0000-0A00-000005000000}" name="2018" dataDxfId="269" totalsRowDxfId="268" dataCellStyle="Vírgula"/>
    <tableColumn id="6" xr3:uid="{00000000-0010-0000-0A00-000006000000}" name="2019" dataDxfId="267" totalsRowDxfId="266" dataCellStyle="Vírgula"/>
    <tableColumn id="7" xr3:uid="{996959EC-778E-4523-A355-57DA4D6D0F74}" name="2020" dataDxfId="265" totalsRowDxfId="264" dataCellStyle="Vírgula"/>
    <tableColumn id="8" xr3:uid="{00000000-0010-0000-0A00-000008000000}" name="Média" dataDxfId="263" totalsRowDxfId="262" dataCellStyle="Vírgula">
      <calculatedColumnFormula>AVERAGE(media_salarial[[#This Row],[2017]:[2020]])</calculatedColumnFormula>
    </tableColumn>
  </tableColumns>
  <tableStyleInfo name="TableStyleMedium1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83FF85-0D00-4633-BDC9-F3CEB77FB3C7}" name="TB_vendas" displayName="TB_vendas" ref="B4:N10" totalsRowShown="0" headerRowDxfId="261" dataDxfId="260">
  <autoFilter ref="B4:N10" xr:uid="{AB8A5465-4461-45B6-A3AE-37F42553FF2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5A45D253-8B6B-4057-BBFE-17FE495A97CE}" name="Vendedores" dataDxfId="259"/>
    <tableColumn id="2" xr3:uid="{1399D967-863A-4557-ADD2-ACE4443D7839}" name="JAN" dataDxfId="258" dataCellStyle="Vírgula"/>
    <tableColumn id="3" xr3:uid="{8D5BB045-C315-4F52-AAEE-63A9A880D8A1}" name="FEV" dataDxfId="257" dataCellStyle="Vírgula"/>
    <tableColumn id="4" xr3:uid="{444484F6-3384-464E-BCF2-02432716BB7B}" name="MAR" dataDxfId="256" dataCellStyle="Vírgula"/>
    <tableColumn id="5" xr3:uid="{D9069917-FC9C-4B02-A585-62769E3C5D3A}" name="ABR" dataDxfId="255" dataCellStyle="Vírgula"/>
    <tableColumn id="6" xr3:uid="{B1D868A8-84E7-4F78-A5C7-6AA14B805304}" name="MAI" dataDxfId="254" dataCellStyle="Vírgula"/>
    <tableColumn id="7" xr3:uid="{9F8253B7-D7E4-492E-8CEE-30F7A5F3CFA2}" name="JUN" dataDxfId="253" dataCellStyle="Vírgula"/>
    <tableColumn id="8" xr3:uid="{FE62817C-2485-45CA-B401-15C05EDDC438}" name="JUL" dataDxfId="252" dataCellStyle="Vírgula"/>
    <tableColumn id="9" xr3:uid="{FF5A7A0E-167D-40FE-815F-B54367A62AE6}" name="AGO" dataDxfId="251" dataCellStyle="Vírgula"/>
    <tableColumn id="10" xr3:uid="{4150DBF4-6171-43B5-B146-617B7C7C125A}" name="SET" dataDxfId="250" dataCellStyle="Vírgula"/>
    <tableColumn id="11" xr3:uid="{CF57F542-97C7-4E5A-95A5-146A05441EEA}" name="OUT" dataDxfId="249" dataCellStyle="Vírgula"/>
    <tableColumn id="12" xr3:uid="{E1335D4F-8B7A-4C5E-88B6-A334BA2ACF81}" name="NOV" dataDxfId="248" dataCellStyle="Vírgula"/>
    <tableColumn id="13" xr3:uid="{31148DCB-D721-4483-8C41-BC3155C76150}" name="DEZ" dataDxfId="247" dataCellStyle="Vírgula"/>
  </tableColumns>
  <tableStyleInfo name="TableStyleMedium1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56735F9-3D26-45C3-88D1-F999DB4A1F11}" name="tab_clientes" displayName="tab_clientes" ref="B4:C20" totalsRowShown="0" headerRowDxfId="246" dataDxfId="245" tableBorderDxfId="244">
  <autoFilter ref="B4:C20" xr:uid="{C893A9D2-CF2F-4864-9379-F0496F7B60C7}"/>
  <tableColumns count="2">
    <tableColumn id="1" xr3:uid="{4E48F251-5AA5-4C3F-BC2E-96405627C49B}" name="Cliente" dataDxfId="243"/>
    <tableColumn id="2" xr3:uid="{D1BED828-F126-4EFE-B290-FD6FDB202E4A}" name="Valor" dataDxfId="242" dataCellStyle="Moeda"/>
  </tableColumns>
  <tableStyleInfo name="TableStyleMedium13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E000000}" name="tblclientesdevedores" displayName="tblclientesdevedores" ref="H4:N16" totalsRowShown="0" headerRowDxfId="241" dataDxfId="240">
  <autoFilter ref="H4:N16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H5:N16">
    <sortCondition ref="H4"/>
  </sortState>
  <tableColumns count="7">
    <tableColumn id="1" xr3:uid="{00000000-0010-0000-0E00-000001000000}" name="Representante" dataDxfId="239"/>
    <tableColumn id="8" xr3:uid="{00000000-0010-0000-0E00-000008000000}" name="Filial" dataDxfId="238"/>
    <tableColumn id="2" xr3:uid="{00000000-0010-0000-0E00-000002000000}" name="Meta" dataDxfId="237" dataCellStyle="Vírgula"/>
    <tableColumn id="3" xr3:uid="{00000000-0010-0000-0E00-000003000000}" name="1º Trimestre" dataDxfId="236" dataCellStyle="Vírgula"/>
    <tableColumn id="4" xr3:uid="{00000000-0010-0000-0E00-000004000000}" name="2º Trimestre" dataDxfId="235" dataCellStyle="Vírgula"/>
    <tableColumn id="5" xr3:uid="{00000000-0010-0000-0E00-000005000000}" name="3º Trimestre" dataDxfId="234" dataCellStyle="Vírgula"/>
    <tableColumn id="6" xr3:uid="{00000000-0010-0000-0E00-000006000000}" name="4º Trimestre" dataDxfId="233" dataCellStyle="Vírgula"/>
  </tableColumns>
  <tableStyleInfo name="TableStyleMedium1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990A20C8-1F98-482B-9E73-846B7C9A1F24}" name="Tabela50" displayName="Tabela50" ref="H23:H24" totalsRowShown="0" headerRowDxfId="232" dataDxfId="230" headerRowBorderDxfId="231" tableBorderDxfId="229" totalsRowBorderDxfId="228" dataCellStyle="Porcentagem">
  <autoFilter ref="H23:H24" xr:uid="{990A20C8-1F98-482B-9E73-846B7C9A1F24}">
    <filterColumn colId="0" hiddenButton="1"/>
  </autoFilter>
  <tableColumns count="1">
    <tableColumn id="1" xr3:uid="{094A9EC4-4D17-4652-9571-BFF0109C271E}" name="Não Entregaram Relatorio" dataDxfId="227" dataCellStyle="Porcentagem">
      <calculatedColumnFormula>C24/C27</calculatedColumnFormula>
    </tableColumn>
  </tableColumns>
  <tableStyleInfo name="TableStyleDark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FFC3A2C-8111-45A4-958E-34A6328786FB}" name="Tabela51" displayName="Tabela51" ref="H27:H28" totalsRowShown="0" headerRowDxfId="226" dataDxfId="224" headerRowBorderDxfId="225" dataCellStyle="Porcentagem">
  <autoFilter ref="H27:H28" xr:uid="{0FFC3A2C-8111-45A4-958E-34A6328786FB}"/>
  <tableColumns count="1">
    <tableColumn id="1" xr3:uid="{3F31D0C2-74CB-43F6-A6BC-392688780A3C}" name="Entregaram Relatorio" dataDxfId="223" dataCellStyle="Porcentagem">
      <calculatedColumnFormula>1-H24</calculatedColumnFormula>
    </tableColumn>
  </tableColumns>
  <tableStyleInfo name="TableStyleLight1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F56F8D1-93F4-4FA0-85EC-6FE1F1955B20}" name="TB_int" displayName="TB_int" ref="B16:G26" totalsRowShown="0">
  <autoFilter ref="B16:G26" xr:uid="{AF56F8D1-93F4-4FA0-85EC-6FE1F1955B20}"/>
  <tableColumns count="6">
    <tableColumn id="1" xr3:uid="{73550CAE-7B75-451B-A244-3CA67E33C975}" name="ID"/>
    <tableColumn id="2" xr3:uid="{9122115B-58A1-4AB7-9513-465C564A8282}" name="Colaborador"/>
    <tableColumn id="3" xr3:uid="{95B4448E-7FC7-4F64-BD39-E04E3AF9849E}" name="Data de Nascimento" dataDxfId="222"/>
    <tableColumn id="4" xr3:uid="{1B7CDDC0-7FFF-43AC-B88F-82D96C4E41DE}" name="Calcular a idade" dataDxfId="221">
      <calculatedColumnFormula>YEAR(TODAY())-YEAR(TB_int[[#This Row],[Data de Nascimento]])</calculatedColumnFormula>
    </tableColumn>
    <tableColumn id="5" xr3:uid="{F78C0F57-977C-4CC7-86D9-E50811B4C96C}" name="Data atual" dataDxfId="220">
      <calculatedColumnFormula>TODAY()</calculatedColumnFormula>
    </tableColumn>
    <tableColumn id="6" xr3:uid="{D63FEA7A-475F-4E1D-987F-F40E6AE40121}" name="INT" dataDxfId="219">
      <calculatedColumnFormula>'Desafio Filiais'!F6</calculatedColumnFormula>
    </tableColumn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EF7322-953A-426D-8155-AECD5D45D8E5}" name="Tabela32" displayName="Tabela32" ref="B4:C14" totalsRowShown="0" headerRowDxfId="218" dataDxfId="217" tableBorderDxfId="216">
  <autoFilter ref="B4:C14" xr:uid="{5BEF7322-953A-426D-8155-AECD5D45D8E5}"/>
  <tableColumns count="2">
    <tableColumn id="1" xr3:uid="{4499CB26-4A9D-44CF-A020-8F021CC651D8}" name="Valores de Entrada" dataDxfId="215"/>
    <tableColumn id="2" xr3:uid="{DC6998F6-BEF6-4745-9A7C-AF4BE0450FB5}" name="Valores de Saída" dataDxfId="214">
      <calculatedColumnFormula>INT(Tabela32[[#This Row],[Valores de Entrada]])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69B201-E5FE-4CF9-99F6-FE4A7408C32E}" name="Tabela7" displayName="Tabela7" ref="B9:F15" totalsRowShown="0" headerRowDxfId="213" dataDxfId="212">
  <autoFilter ref="B9:F15" xr:uid="{150A35A8-4DAF-474F-A170-0F8EBFA96C14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B05B6CCB-4968-4F48-B230-94E1FE6D9641}" name="Despesas" dataDxfId="211"/>
    <tableColumn id="2" xr3:uid="{8433FED2-292A-4040-9DD7-4EF38EB538E3}" name="Planejado" dataDxfId="210" dataCellStyle="Vírgula"/>
    <tableColumn id="3" xr3:uid="{4FACFA64-9655-46F8-880A-251845E6A83D}" name="Realizado" dataDxfId="209" dataCellStyle="Vírgula"/>
    <tableColumn id="4" xr3:uid="{6C9C106F-B544-4A5C-A2AF-1A0A96C11728}" name="Diferença" dataDxfId="208">
      <calculatedColumnFormula>Tabela7[[#This Row],[Planejado]]-Tabela7[[#This Row],[Realizado]]</calculatedColumnFormula>
    </tableColumn>
    <tableColumn id="5" xr3:uid="{D110EE7A-F9C2-4BD2-B04F-7AEDAD03A3BB}" name="Margem de Erro" dataDxfId="207" dataCellStyle="Porcentagem">
      <calculatedColumnFormula>Tabela7[[#This Row],[Diferença]]/Tabela7[[#This Row],[Planejado]]</calculatedColumnFormula>
    </tableColumn>
  </tableColumns>
  <tableStyleInfo name="TableStyleMedium1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F0E320-01C2-4AA7-9CD6-84DB3A3BB7C8}" name="Tabela9" displayName="Tabela9" ref="B10:G16" totalsRowCount="1" headerRowDxfId="206" dataDxfId="205">
  <autoFilter ref="B10:G15" xr:uid="{AFC9E345-9748-479A-A533-96D165F9FCA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1ED33B9-31C6-4FB8-A6A2-549D24402670}" name="Cômodo" totalsRowLabel="Total" dataDxfId="204" totalsRowDxfId="203"/>
    <tableColumn id="2" xr3:uid="{C9A872EA-2DA0-4718-804F-E0F20CFC0C22}" name="Início" dataDxfId="202" totalsRowDxfId="201"/>
    <tableColumn id="3" xr3:uid="{E5B9E941-8571-43A9-94ED-E006E23E579D}" name="Término" dataDxfId="200" totalsRowDxfId="199"/>
    <tableColumn id="4" xr3:uid="{ADD6AD60-E832-4595-93F1-9067C5CD4AB9}" name="Dias" dataDxfId="198" totalsRowDxfId="197">
      <calculatedColumnFormula>Tabela9[[#This Row],[Término]]-Tabela9[[#This Row],[Início]]</calculatedColumnFormula>
    </tableColumn>
    <tableColumn id="6" xr3:uid="{4390363D-1FC3-494A-B2C1-0FF6F9C05AB0}" name="Custo Previsto" totalsRowFunction="sum" dataDxfId="196" totalsRowDxfId="195" dataCellStyle="Moeda"/>
    <tableColumn id="7" xr3:uid="{08AC1BB4-67F1-4B31-8F6B-239EB4C582AF}" name="Custo Realizado" totalsRowFunction="sum" dataDxfId="194" totalsRowDxfId="193" dataCellStyle="Moeda"/>
  </tableColumns>
  <tableStyleInfo name="TableStyleMedium1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0000000}" name="Tabela2429" displayName="Tabela2429" ref="C4:F14" totalsRowShown="0" headerRowDxfId="192" dataDxfId="191">
  <autoFilter ref="C4:F14" xr:uid="{00000000-0009-0000-0100-00001C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1000-000001000000}" name="Funcionário" dataDxfId="190"/>
    <tableColumn id="2" xr3:uid="{00000000-0010-0000-1000-000002000000}" name="Data entrada" dataDxfId="189"/>
    <tableColumn id="3" xr3:uid="{00000000-0010-0000-1000-000003000000}" name="Dias Trabalhados" dataDxfId="188"/>
    <tableColumn id="4" xr3:uid="{00000000-0010-0000-1000-000004000000}" name="Data de Saída" dataDxfId="187">
      <calculatedColumnFormula>Tabela2429[[#This Row],[Data entrada]]+Tabela2429[[#This Row],[Dias Trabalhados]]</calculatedColumnFormula>
    </tableColumn>
  </tableColumns>
  <tableStyleInfo name="TableStyleMedium1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1000000}" name="Tabela29" displayName="Tabela29" ref="J4:M7" totalsRowShown="0" headerRowDxfId="186" dataDxfId="185">
  <autoFilter ref="J4:M7" xr:uid="{00000000-0009-0000-0100-00001D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1100-000001000000}" name="Atividade" dataDxfId="184"/>
    <tableColumn id="2" xr3:uid="{00000000-0010-0000-1100-000002000000}" name="Data planejada" dataDxfId="183">
      <calculatedColumnFormula>K4+1</calculatedColumnFormula>
    </tableColumn>
    <tableColumn id="3" xr3:uid="{00000000-0010-0000-1100-000003000000}" name="Data real" dataDxfId="182">
      <calculatedColumnFormula>L4+1</calculatedColumnFormula>
    </tableColumn>
    <tableColumn id="4" xr3:uid="{00000000-0010-0000-1100-000004000000}" name="Dias de Atraso" dataDxfId="181">
      <calculatedColumnFormula>Tabela29[[#This Row],[Data planejada]]-Tabela29[[#This Row],[Data real]]</calculatedColumnFormula>
    </tableColumn>
  </tableColumns>
  <tableStyleInfo name="TableStyleMedium13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3000000}" name="Tabela2628" displayName="Tabela2628" ref="C3:F13" totalsRowShown="0" headerRowDxfId="180">
  <autoFilter ref="C3:F13" xr:uid="{00000000-0009-0000-0100-00001B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1300-000001000000}" name="Pedido" dataDxfId="179"/>
    <tableColumn id="2" xr3:uid="{00000000-0010-0000-1300-000002000000}" name="Saída" dataDxfId="178"/>
    <tableColumn id="3" xr3:uid="{00000000-0010-0000-1300-000003000000}" name="Entrega" dataDxfId="177"/>
    <tableColumn id="4" xr3:uid="{00000000-0010-0000-1300-000004000000}" name="Total em horas" dataDxfId="176">
      <calculatedColumnFormula>Tabela2628[[#This Row],[Entrega]]-Tabela2628[[#This Row],[Saída]]</calculatedColumnFormula>
    </tableColumn>
  </tableColumns>
  <tableStyleInfo name="TableStyleMedium13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122C125-3827-4D85-BE3D-5417DEDFBB3D}" name="Tabela23" displayName="Tabela23" ref="H9:H10" totalsRowShown="0">
  <autoFilter ref="H9:H10" xr:uid="{F47906B1-55BF-4298-8AF0-A6B92B8026A8}"/>
  <tableColumns count="1">
    <tableColumn id="1" xr3:uid="{670F774F-DCB5-40CE-A3B6-D64A6D17790A}" name="Média de tempo" dataDxfId="175">
      <calculatedColumnFormula>AVERAGE(Tabela2628[Total em horas])</calculatedColumnFormula>
    </tableColumn>
  </tableColumns>
  <tableStyleInfo name="TableStyleMedium10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138D4CDF-8205-4329-A435-3A42F5CEF4F8}" name="Tabela973" displayName="Tabela973" ref="J1:M2" totalsRowShown="0" headerRowDxfId="174">
  <autoFilter ref="J1:M2" xr:uid="{00000000-0009-0000-0100-000048000000}">
    <filterColumn colId="0" hiddenButton="1"/>
    <filterColumn colId="1" hiddenButton="1"/>
    <filterColumn colId="2" hiddenButton="1"/>
    <filterColumn colId="3" hiddenButton="1"/>
  </autoFilter>
  <tableColumns count="4">
    <tableColumn id="1" xr3:uid="{733B62ED-754A-46E5-8B30-CAB05731A3E9}" name="Total em Horas" dataDxfId="173">
      <calculatedColumnFormula>SUM(FolhaDeHoras48[Duração])</calculatedColumnFormula>
    </tableColumn>
    <tableColumn id="2" xr3:uid="{05898BDA-206C-4079-A6D3-FAB3C6FD7A78}" name="Total em Decimal" dataDxfId="172" dataCellStyle="Vírgula">
      <calculatedColumnFormula>Tabela973[[#This Row],[Total em Horas]]*24</calculatedColumnFormula>
    </tableColumn>
    <tableColumn id="3" xr3:uid="{771AF028-E8E6-457D-844F-25B9ED5E8C21}" name="Valor/hora" dataCellStyle="Moeda"/>
    <tableColumn id="4" xr3:uid="{8AA5BA20-2CD3-4686-9C36-961645EFAC38}" name="Total" dataDxfId="171" dataCellStyle="Moeda">
      <calculatedColumnFormula>Tabela973[[#This Row],[Total em Decimal]]*Tabela973[[#This Row],[Valor/hora]]</calculatedColumnFormula>
    </tableColumn>
  </tableColumns>
  <tableStyleInfo name="TableStyleMedium1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A4F5343-460B-4F78-8BC9-9E3FBDC59157}" name="FolhaDeHoras48" displayName="FolhaDeHoras48" ref="A1:F30" totalsRowCount="1" headerRowDxfId="170">
  <autoFilter ref="A1:F29" xr:uid="{00000000-0009-0000-0100-00002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30A5158-0416-44F0-8A43-DC52A74C004B}" name="Data" totalsRowLabel="Total" dataDxfId="169"/>
    <tableColumn id="2" xr3:uid="{87306AD0-80E1-41B6-9F1F-D0B7F2441DA6}" name="Entrada Manhã"/>
    <tableColumn id="3" xr3:uid="{3E317560-18AC-43F8-B990-66AD3A48AE26}" name="Saída Manhã"/>
    <tableColumn id="4" xr3:uid="{C4244716-C141-451F-BEC1-2AB7FE504184}" name="Entrada Tarde"/>
    <tableColumn id="5" xr3:uid="{B398B46D-BC65-4D07-9261-A8AFD700BBAD}" name="Saída Tarde"/>
    <tableColumn id="6" xr3:uid="{FF70209F-4866-4E78-9C8B-7CA19B03F34A}" name="Duração" totalsRowFunction="sum" dataDxfId="168" totalsRowDxfId="167">
      <calculatedColumnFormula>FolhaDeHoras48[[#This Row],[Saída Tarde]]-FolhaDeHoras48[[#This Row],[Entrada Manhã]]-(FolhaDeHoras48[[#This Row],[Entrada Tarde]]-FolhaDeHoras48[[#This Row],[Saída Manhã]])</calculatedColumnFormula>
    </tableColumn>
  </tableColumns>
  <tableStyleInfo name="TableStyleMedium14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654DCA3-8EF7-4651-8E45-54256C639EAD}" name="Tabela45" displayName="Tabela45" ref="F6:I14" totalsRowShown="0" headerRowDxfId="166" dataDxfId="165">
  <autoFilter ref="F6:I14" xr:uid="{7EC77AC6-5DD8-4819-AAC9-D211C66E8D14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G7:I14">
    <sortCondition ref="G6"/>
  </sortState>
  <tableColumns count="4">
    <tableColumn id="4" xr3:uid="{79786189-5E2D-4CE0-A542-A9CACF42F4C5}" name="Colaborador" dataDxfId="164"/>
    <tableColumn id="1" xr3:uid="{38A5C4C8-AC7D-49A5-AF80-A01A12F8EBBB}" name="Departamento" dataDxfId="163"/>
    <tableColumn id="2" xr3:uid="{3CC7740F-1DB5-4054-9AA0-4FEB65D3C18C}" name="Contratação" dataDxfId="162"/>
    <tableColumn id="3" xr3:uid="{8D4C08C5-A715-4006-90C5-1A7C73B84F9C}" name="Tempo de Trabalho" dataDxfId="161">
      <calculatedColumnFormula>TODAY()-Tabela45[[#This Row],[Contratação]]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6000000}" name="Tabela33" displayName="Tabela33" ref="B3:F18" totalsRowShown="0" headerRowDxfId="160">
  <autoFilter ref="B3:F18" xr:uid="{00000000-000C-0000-FFFF-FFFF16000000}"/>
  <tableColumns count="5">
    <tableColumn id="1" xr3:uid="{00000000-0010-0000-1600-000001000000}" name="Clientes" dataDxfId="159"/>
    <tableColumn id="2" xr3:uid="{00000000-0010-0000-1600-000002000000}" name="Data de Nascimento" dataDxfId="158"/>
    <tableColumn id="3" xr3:uid="{00000000-0010-0000-1600-000003000000}" name="Hora" dataDxfId="157">
      <calculatedColumnFormula>HOUR(Tabela33[[#This Row],[Data de Nascimento]])</calculatedColumnFormula>
    </tableColumn>
    <tableColumn id="4" xr3:uid="{00000000-0010-0000-1600-000004000000}" name="Minuto" dataDxfId="156">
      <calculatedColumnFormula>MINUTE(Tabela33[[#This Row],[Data de Nascimento]])</calculatedColumnFormula>
    </tableColumn>
    <tableColumn id="5" xr3:uid="{00000000-0010-0000-1600-000005000000}" name="Segundo" dataDxfId="155">
      <calculatedColumnFormula>SECOND(Tabela33[[#This Row],[Data de Nascimento]])</calculatedColumnFormula>
    </tableColumn>
  </tableColumns>
  <tableStyleInfo name="TableStyleMedium1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7000000}" name="Tabela3335" displayName="Tabela3335" ref="B3:G18" totalsRowShown="0" headerRowDxfId="154">
  <autoFilter ref="B3:G18" xr:uid="{00000000-000C-0000-FFFF-FFFF17000000}"/>
  <tableColumns count="6">
    <tableColumn id="1" xr3:uid="{00000000-0010-0000-1700-000001000000}" name="Clientes" dataDxfId="153"/>
    <tableColumn id="2" xr3:uid="{00000000-0010-0000-1700-000002000000}" name="Data de Nascimento" dataDxfId="152"/>
    <tableColumn id="3" xr3:uid="{00000000-0010-0000-1700-000003000000}" name="Dia" dataDxfId="151">
      <calculatedColumnFormula>DAY(Tabela3335[[#This Row],[Data de Nascimento]])</calculatedColumnFormula>
    </tableColumn>
    <tableColumn id="4" xr3:uid="{00000000-0010-0000-1700-000004000000}" name="Mês" dataDxfId="150">
      <calculatedColumnFormula>MONTH(Tabela3335[[#This Row],[Data de Nascimento]])</calculatedColumnFormula>
    </tableColumn>
    <tableColumn id="5" xr3:uid="{00000000-0010-0000-1700-000005000000}" name="Ano" dataDxfId="149">
      <calculatedColumnFormula>YEAR(Tabela3335[[#This Row],[Data de Nascimento]])</calculatedColumnFormula>
    </tableColumn>
    <tableColumn id="7" xr3:uid="{6F906281-8958-453D-AF09-C39BBE2ECEB3}" name="Coluna1" dataDxfId="148">
      <calculatedColumnFormula>Tabela3335[[#This Row],[Data de Nascimento]]</calculatedColumnFormula>
    </tableColumn>
  </tableColumns>
  <tableStyleInfo name="TableStyleMedium1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67B2D6F-BE08-41FE-A4EA-9413080FC8BB}" name="Tabela35" displayName="Tabela35" ref="C6:F14" totalsRowShown="0" tableBorderDxfId="147">
  <autoFilter ref="C6:F14" xr:uid="{2919C02C-F4AC-48E4-9187-77FBAB4C0FC2}">
    <filterColumn colId="0" hiddenButton="1"/>
    <filterColumn colId="1" hiddenButton="1"/>
    <filterColumn colId="2" hiddenButton="1"/>
    <filterColumn colId="3" hiddenButton="1"/>
  </autoFilter>
  <tableColumns count="4">
    <tableColumn id="1" xr3:uid="{6BCD502C-1CA9-4298-BAFE-C0F2490D11FC}" name="Colaborador" dataDxfId="146"/>
    <tableColumn id="2" xr3:uid="{B7555200-5AFB-48E4-9B22-67DA86AAC6E3}" name="Aniversário" dataDxfId="145"/>
    <tableColumn id="3" xr3:uid="{48967FFE-2B63-450F-800C-1FBF209A58FF}" name="Mês" dataDxfId="144">
      <calculatedColumnFormula>MONTH(Tabela35[[#This Row],[Aniversário]])</calculatedColumnFormula>
    </tableColumn>
    <tableColumn id="4" xr3:uid="{5785962A-264A-4FD1-B9F4-5016077CA6F4}" name="Mês por Extenso" dataDxfId="143">
      <calculatedColumnFormula>Tabela35[[#This Row],[Aniversário]]</calculatedColumnFormula>
    </tableColumn>
  </tableColumns>
  <tableStyleInfo name="TableStyleMedium1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38D15F6-5A5C-4282-9E46-219F9FA6747A}" name="Tabela3659" displayName="Tabela3659" ref="I6:M13" totalsRowShown="0" headerRowDxfId="142" dataDxfId="141" tableBorderDxfId="140">
  <autoFilter ref="I6:M13" xr:uid="{E38D15F6-5A5C-4282-9E46-219F9FA6747A}"/>
  <tableColumns count="5">
    <tableColumn id="1" xr3:uid="{F7621C6A-9254-4600-802B-C5344E239C22}" name="Despesa" dataDxfId="139"/>
    <tableColumn id="2" xr3:uid="{49145B64-D9E5-4496-9DAC-99CF2A1D06EA}" name="Vencimento" dataDxfId="138"/>
    <tableColumn id="3" xr3:uid="{83F8EC65-1686-4B7D-B419-E58828896785}" name="Valor" dataDxfId="137" dataCellStyle="Moeda"/>
    <tableColumn id="4" xr3:uid="{E8888F43-0160-4496-91B0-58299EBBE2B3}" name="Dia" dataDxfId="136">
      <calculatedColumnFormula>DAY(Tabela3659[[#This Row],[Vencimento]])</calculatedColumnFormula>
    </tableColumn>
    <tableColumn id="5" xr3:uid="{E8D937E5-C83A-46AE-A69D-7F6F4965B125}" name="Informação por extenso" dataDxfId="135">
      <calculatedColumnFormula>Tabela3659[[#This Row],[Vencimento]]</calculatedColumnFormula>
    </tableColumn>
  </tableColumns>
  <tableStyleInfo name="TableStyleMedium1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836D6ACE-606C-41D5-A6A8-4638588CBAEB}" name="Tabela57" displayName="Tabela57" ref="P6:U18" totalsRowShown="0" headerRowDxfId="134" headerRowBorderDxfId="133" tableBorderDxfId="132">
  <autoFilter ref="P6:U18" xr:uid="{836D6ACE-606C-41D5-A6A8-4638588CBAEB}">
    <filterColumn colId="1">
      <filters>
        <filter val="Camisas"/>
        <filter val="Gravatas"/>
        <filter val="Tênis"/>
      </filters>
    </filterColumn>
  </autoFilter>
  <sortState xmlns:xlrd2="http://schemas.microsoft.com/office/spreadsheetml/2017/richdata2" ref="P7:U18">
    <sortCondition ref="R6:R18"/>
  </sortState>
  <tableColumns count="6">
    <tableColumn id="1" xr3:uid="{6C0A0B65-6528-448F-A592-84A90DFE2517}" name="Nº Pedido" dataDxfId="131"/>
    <tableColumn id="2" xr3:uid="{7ACBB52E-BC00-4D0C-8A19-52CB4BFD90CA}" name="Produto" dataDxfId="130"/>
    <tableColumn id="3" xr3:uid="{49151A27-6A43-4DA3-B01F-734D6537A0C4}" name="Data do Pedido" dataDxfId="129"/>
    <tableColumn id="4" xr3:uid="{DCC8B00A-F2F0-4330-9710-9B838A927B7B}" name="Ano" dataDxfId="128"/>
    <tableColumn id="5" xr3:uid="{428D8D99-35A1-460A-B4AF-22100A63045D}" name="Data do Pedido 2024" dataDxfId="127"/>
    <tableColumn id="6" xr3:uid="{8E11CB98-7012-4CB4-AD6B-89774667324F}" name="Valor Venda" dataDxfId="126"/>
  </tableColumns>
  <tableStyleInfo name="TableStyleMedium28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1403ADF-1875-4A92-A257-8EB9A8409D94}" name="Tabela36" displayName="Tabela36" ref="B3:F10" totalsRowShown="0" headerRowDxfId="125" dataDxfId="124">
  <autoFilter ref="B3:F10" xr:uid="{74985963-A4C0-4730-9C32-1FAA6E0F62C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1DB6B141-CFB2-4B8F-B8DF-7099F4CF0420}" name="Despesa" dataDxfId="123"/>
    <tableColumn id="2" xr3:uid="{09694364-DA43-4B32-9D54-8BC6ED6A2CA0}" name="Vencimento" dataDxfId="122"/>
    <tableColumn id="3" xr3:uid="{DA35D592-E492-449A-AEC0-F1DF109FE4C5}" name="Valor" dataDxfId="121" dataCellStyle="Moeda"/>
    <tableColumn id="4" xr3:uid="{DAD7CD23-27CA-4316-88C4-DA55C59E7B96}" name="Dia" dataDxfId="120">
      <calculatedColumnFormula>DAY(Tabela36[[#This Row],[Vencimento]])</calculatedColumnFormula>
    </tableColumn>
    <tableColumn id="5" xr3:uid="{E6EC63FE-E659-4F46-8B9A-86044ED21885}" name="Informação por extenso" dataDxfId="119">
      <calculatedColumnFormula>Tabela36[[#This Row],[Vencimento]]</calculatedColumnFormula>
    </tableColumn>
  </tableColumns>
  <tableStyleInfo name="TableStyleMedium1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6AA077F-4F83-410E-8A5D-0C2D0579E788}" name="Tabela40" displayName="Tabela40" ref="B3:F18" totalsRowShown="0" headerRowDxfId="118" dataDxfId="117">
  <autoFilter ref="B3:F18" xr:uid="{E6AA077F-4F83-410E-8A5D-0C2D0579E788}">
    <filterColumn colId="2">
      <filters>
        <dateGroupItem year="2019" dateTimeGrouping="year"/>
        <dateGroupItem year="2018" dateTimeGrouping="year"/>
        <dateGroupItem year="2015" dateTimeGrouping="year"/>
        <dateGroupItem year="2009" dateTimeGrouping="year"/>
        <dateGroupItem year="2001" dateTimeGrouping="year"/>
        <dateGroupItem year="1985" dateTimeGrouping="year"/>
      </filters>
    </filterColumn>
  </autoFilter>
  <tableColumns count="5">
    <tableColumn id="1" xr3:uid="{6CFABF71-7600-42CD-A92F-FC6C11CB6DC8}" name="Nº Pedido" dataDxfId="116"/>
    <tableColumn id="2" xr3:uid="{93334E77-F745-408A-937E-3873B6863568}" name="Produto" dataDxfId="115"/>
    <tableColumn id="3" xr3:uid="{FC6E1075-F625-444B-9877-E9232B847DD9}" name="Data do Pedido" dataDxfId="114"/>
    <tableColumn id="4" xr3:uid="{4E588386-93ED-4391-83F1-2F795A7D53D7}" name="Ano" dataDxfId="113">
      <calculatedColumnFormula>YEAR(Tabela40[[#This Row],[Data do Pedido]])</calculatedColumnFormula>
    </tableColumn>
    <tableColumn id="8" xr3:uid="{8CF04EBC-4343-43FC-884B-AC83B1EF37A5}" name="Data do Pedido 2024" dataDxfId="112">
      <calculatedColumnFormula>DATE(2024, MONTH(D4), DAY(D4))</calculatedColumnFormula>
    </tableColumn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9000000}" name="Tabela16" displayName="Tabela16" ref="F2:K16" totalsRowShown="0" headerRowDxfId="111" dataDxfId="110">
  <autoFilter ref="F2:K16" xr:uid="{00000000-0009-0000-0100-00001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900-000001000000}" name="Nome Completo" dataDxfId="109"/>
    <tableColumn id="2" xr3:uid="{00000000-0010-0000-1900-000002000000}" name="Arrumar" dataDxfId="108">
      <calculatedColumnFormula>TRIM(Tabela16[[#This Row],[Nome Completo]])</calculatedColumnFormula>
    </tableColumn>
    <tableColumn id="3" xr3:uid="{00000000-0010-0000-1900-000003000000}" name="Pri.Maiúscula" dataDxfId="107">
      <calculatedColumnFormula>PROPER(Tabela16[[#This Row],[Arrumar]])</calculatedColumnFormula>
    </tableColumn>
    <tableColumn id="4" xr3:uid="{00000000-0010-0000-1900-000004000000}" name="Maiúscula" dataDxfId="106">
      <calculatedColumnFormula>UPPER(Tabela16[[#This Row],[Pri.Maiúscula]])</calculatedColumnFormula>
    </tableColumn>
    <tableColumn id="5" xr3:uid="{00000000-0010-0000-1900-000005000000}" name="Minúscula" dataDxfId="105">
      <calculatedColumnFormula>LOWER(Tabela16[[#This Row],[Pri.Maiúscula]])</calculatedColumnFormula>
    </tableColumn>
    <tableColumn id="6" xr3:uid="{00000000-0010-0000-1900-000006000000}" name="Pri.Maiúscula + Arrumar" dataDxfId="104">
      <calculatedColumnFormula>PROPER(TRIM(Tabela16[[#This Row],[Nome Completo]]))</calculatedColumnFormula>
    </tableColumn>
  </tableColumns>
  <tableStyleInfo name="TableStyleMedium1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EDF6529-5BD4-4310-8559-08B7C49A6ECB}" name="Tabela15" displayName="Tabela15" ref="B5:F20" totalsRowShown="0" headerRowDxfId="103" dataDxfId="102">
  <autoFilter ref="B5:F20" xr:uid="{11EDBD6F-724F-4684-8726-5E3B7EC62CBF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99B75366-AA4D-42C1-8886-386EF68FE79A}" name="SETOR" dataDxfId="101"/>
    <tableColumn id="2" xr3:uid="{AF20AD2E-9DBB-459F-AF92-E3541535E468}" name="FILIAL" dataDxfId="100"/>
    <tableColumn id="3" xr3:uid="{7A589687-949D-45CB-8C16-40B632EEED8C}" name="CÓD" dataDxfId="99"/>
    <tableColumn id="4" xr3:uid="{EB71EEC3-5AA9-4906-ABB4-15FF1C442027}" name="Concatenar" dataDxfId="98">
      <calculatedColumnFormula>_xlfn.CONCAT(Tabela15[[#This Row],[SETOR]],Tabela15[[#This Row],[FILIAL]],Tabela15[[#This Row],[CÓD]])</calculatedColumnFormula>
    </tableColumn>
    <tableColumn id="5" xr3:uid="{9307D51A-6571-4B13-A421-68625B28FA04}" name="Conact" dataDxfId="97">
      <calculatedColumnFormula>_xlfn.CONCAT(Tabela15[[#This Row],[SETOR]:[Concatenar]])</calculatedColumnFormula>
    </tableColumn>
  </tableColumns>
  <tableStyleInfo name="TableStyleMedium13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3335F39-15E9-4E00-8453-EEB7AD6D9B83}" name="Tabela18" displayName="Tabela18" ref="B3:C12" totalsRowShown="0">
  <autoFilter ref="B3:C12" xr:uid="{2CD7DA66-3FA3-4F65-B0D2-36AE22BE5EB3}">
    <filterColumn colId="0" hiddenButton="1"/>
    <filterColumn colId="1" hiddenButton="1"/>
  </autoFilter>
  <tableColumns count="2">
    <tableColumn id="1" xr3:uid="{97B440E2-7290-46A4-99B5-5A91740BD4D2}" name="Item"/>
    <tableColumn id="2" xr3:uid="{C78D9DFC-9D99-4B94-B858-69D841D974E3}" name="Resultado" dataDxfId="96">
      <calculatedColumnFormula>CHAR(149)&amp;" "&amp;Tabela18[[#This Row],[Item]]</calculatedColumnFormula>
    </tableColumn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52447DDA-5B2A-446A-9E94-107AB500F6E5}" name="EMAIL_COLABORADOS" displayName="EMAIL_COLABORADOS" ref="B3:G20" totalsRowShown="0" headerRowDxfId="95" dataDxfId="94">
  <autoFilter ref="B3:G20" xr:uid="{52447DDA-5B2A-446A-9E94-107AB500F6E5}"/>
  <tableColumns count="6">
    <tableColumn id="2" xr3:uid="{205F10A3-31A0-430B-B8AE-B5287AA460DC}" name="Nome" dataDxfId="93"/>
    <tableColumn id="3" xr3:uid="{1AD2A96B-61DD-4B26-82CF-08B6D9039F99}" name="Sobrenome" dataDxfId="92"/>
    <tableColumn id="5" xr3:uid="{D4FEC141-32C9-4AB4-9E7E-2C9548D12CE2}" name="Idade" dataDxfId="91"/>
    <tableColumn id="6" xr3:uid="{A90EFEE2-37A1-4A24-896D-BE54163EAAEA}" name="Departamento" dataDxfId="90"/>
    <tableColumn id="7" xr3:uid="{86C41BD5-45E0-4C2B-B2EE-E22787CD69AD}" name="Extensão para novo e-mail" dataDxfId="89"/>
    <tableColumn id="8" xr3:uid="{5C94932C-28D1-46EB-9F8C-3720D14E6982}" name="Novo E-mail" dataDxfId="88">
      <calculatedColumnFormula>LOWER(CONCATENATE(EMAIL_COLABORADOS[[#This Row],[Nome]], ".",EMAIL_COLABORADOS[[#This Row],[Sobrenome]],"@",EMAIL_COLABORADOS[[#This Row],[Extensão para novo e-mail]]))</calculatedColumnFormula>
    </tableColumn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E000000}" name="Tabela17" displayName="Tabela17" ref="B3:I15" totalsRowShown="0" headerRowDxfId="87" dataDxfId="86" dataCellStyle="Vírgula">
  <autoFilter ref="B3:I15" xr:uid="{00000000-0009-0000-0100-00001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xmlns:xlrd2="http://schemas.microsoft.com/office/spreadsheetml/2017/richdata2" ref="B4:I15">
    <sortCondition ref="B4:B15"/>
  </sortState>
  <tableColumns count="8">
    <tableColumn id="1" xr3:uid="{00000000-0010-0000-1E00-000001000000}" name="Filial" dataDxfId="85"/>
    <tableColumn id="2" xr3:uid="{00000000-0010-0000-1E00-000002000000}" name="Meta" dataDxfId="84" dataCellStyle="Vírgula"/>
    <tableColumn id="3" xr3:uid="{00000000-0010-0000-1E00-000003000000}" name="1º Trim." dataDxfId="83" dataCellStyle="Vírgula"/>
    <tableColumn id="4" xr3:uid="{604CAD27-C865-4D09-BCEC-2EAA60BA20C4}" name="Resultado 1" dataDxfId="82" dataCellStyle="Vírgula">
      <calculatedColumnFormula>Tabela17[[#This Row],[1º Trim.]]&gt;Tabela17[[#This Row],[Meta]]</calculatedColumnFormula>
    </tableColumn>
    <tableColumn id="5" xr3:uid="{A85AB52F-580C-43A0-9794-0AE6073192AC}" name="Resultado 2" dataDxfId="81" dataCellStyle="Vírgula">
      <calculatedColumnFormula>Tabela17[[#This Row],[1º Trim.]]&gt;=Tabela17[[#This Row],[Meta]]</calculatedColumnFormula>
    </tableColumn>
    <tableColumn id="6" xr3:uid="{4A3011C0-026F-458B-943F-827F09C776BC}" name="Resultado 3" dataDxfId="80" dataCellStyle="Vírgula">
      <calculatedColumnFormula>Tabela17[[#This Row],[1º Trim.]]&lt;Tabela17[[#This Row],[Meta]]</calculatedColumnFormula>
    </tableColumn>
    <tableColumn id="7" xr3:uid="{5751F73A-AA7F-429A-A074-C7288FDF82C4}" name="Resultado 4" dataDxfId="79" dataCellStyle="Vírgula">
      <calculatedColumnFormula>Tabela17[[#This Row],[1º Trim.]]=Tabela17[[#This Row],[Meta]]</calculatedColumnFormula>
    </tableColumn>
    <tableColumn id="8" xr3:uid="{F53CFE3C-BB1A-425B-B63B-927DB1B77CF1}" name="Resultado 5" dataDxfId="78" dataCellStyle="Vírgula">
      <calculatedColumnFormula>Tabela17[[#This Row],[1º Trim.]]&lt;&gt;Tabela17[[#This Row],[Meta]]</calculatedColumnFormula>
    </tableColumn>
  </tableColumns>
  <tableStyleInfo name="TableStyleMedium13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1F000000}" name="Tabela37" displayName="Tabela37" ref="K2:M7" totalsRowShown="0" headerRowDxfId="77">
  <autoFilter ref="K2:M7" xr:uid="{00000000-0009-0000-0100-000025000000}">
    <filterColumn colId="0" hiddenButton="1"/>
    <filterColumn colId="1" hiddenButton="1"/>
    <filterColumn colId="2" hiddenButton="1"/>
  </autoFilter>
  <tableColumns count="3">
    <tableColumn id="1" xr3:uid="{00000000-0010-0000-1F00-000001000000}" name="Colaborador"/>
    <tableColumn id="2" xr3:uid="{00000000-0010-0000-1F00-000002000000}" name="Adulto"/>
    <tableColumn id="3" xr3:uid="{00000000-0010-0000-1F00-000003000000}" name="É adulto?" dataDxfId="76">
      <calculatedColumnFormula>Tabela37[[#This Row],[Adulto]]="sim"</calculatedColumnFormula>
    </tableColumn>
  </tableColumns>
  <tableStyleInfo name="TableStyleMedium13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2B12B44-9F22-4ACE-9245-13D1289E233E}" name="Tabela3747" displayName="Tabela3747" ref="K9:M14" totalsRowShown="0" headerRowDxfId="75">
  <autoFilter ref="K9:M14" xr:uid="{72B12B44-9F22-4ACE-9245-13D1289E233E}"/>
  <tableColumns count="3">
    <tableColumn id="1" xr3:uid="{28C5C3DC-C8F6-4DFF-BFD1-225FC59A0874}" name="Colaborador"/>
    <tableColumn id="2" xr3:uid="{9FDAA76E-6380-4827-A881-E8E3E709BF52}" name="Idade"/>
    <tableColumn id="3" xr3:uid="{C409142F-371D-493A-B107-94E0A3D6BC18}" name="É maior de idade?" dataDxfId="74">
      <calculatedColumnFormula>Tabela3747[[#This Row],[Idade]]&gt;Tabela3747[[#This Row],[Colaborador]]</calculatedColumnFormula>
    </tableColumn>
  </tableColumns>
  <tableStyleInfo name="TableStyleMedium13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421C649A-2311-4E92-BCED-9887E4202278}" name="Tabela47" displayName="Tabela47" ref="B15:H25" totalsRowShown="0" headerRowDxfId="73" dataDxfId="72">
  <autoFilter ref="B15:H25" xr:uid="{421C649A-2311-4E92-BCED-9887E420227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7" xr3:uid="{6AE0BCFF-E334-4A1A-AEB9-57361811EFA4}" name="ID" dataDxfId="71"/>
    <tableColumn id="1" xr3:uid="{24AE6613-C831-4D6C-863C-6981DED93579}" name="Cliente" dataDxfId="70"/>
    <tableColumn id="2" xr3:uid="{F692E109-7979-479F-8D7C-BBDA795E8474}" name="Produto" dataDxfId="69"/>
    <tableColumn id="6" xr3:uid="{B964C50A-FB12-4982-B631-271EF8AE77BC}" name="Valor" dataDxfId="68" dataCellStyle="Moeda"/>
    <tableColumn id="3" xr3:uid="{A3DDF4FE-9101-4280-BF9E-5DCE86F0EF97}" name="Vencimento" dataDxfId="67"/>
    <tableColumn id="4" xr3:uid="{46F95381-7175-4D37-838C-AAFC1C829F9B}" name="Data de Pgto" dataDxfId="66"/>
    <tableColumn id="5" xr3:uid="{A0B78D1E-D595-4E5A-8A37-0B91002136F9}" name="Status" dataDxfId="65">
      <calculatedColumnFormula>IF(Tabela47[[#This Row],[Data de Pgto]]&gt;Tabela47[[#This Row],[Vencimento]],"Cobrar Multa","Ok")</calculatedColumnFormula>
    </tableColumn>
  </tableColumns>
  <tableStyleInfo name="TableStyleMedium13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20000000}" name="tbl_idade" displayName="tbl_idade" ref="B13:F25" totalsRowShown="0" headerRowDxfId="64">
  <autoFilter ref="B13:F25" xr:uid="{00000000-0009-0000-0100-00001400000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0000000-0010-0000-2000-000001000000}" name="Colaborador"/>
    <tableColumn id="2" xr3:uid="{00000000-0010-0000-2000-000002000000}" name="Idade" dataDxfId="63"/>
    <tableColumn id="3" xr3:uid="{00000000-0010-0000-2000-000003000000}" name="Exemplo 1" dataDxfId="62">
      <calculatedColumnFormula>IF(tbl_idade[[#This Row],[Idade]]&gt;=18,"Adulto","Adolecente")</calculatedColumnFormula>
    </tableColumn>
    <tableColumn id="4" xr3:uid="{00000000-0010-0000-2000-000004000000}" name="Exemplo 2" dataDxfId="61">
      <calculatedColumnFormula>IF(tbl_idade[[#This Row],[Idade]]&lt;18,"Adolecente","Adulto")</calculatedColumnFormula>
    </tableColumn>
    <tableColumn id="5" xr3:uid="{00000000-0010-0000-2000-000005000000}" name="Exemplo 3" dataDxfId="60">
      <calculatedColumnFormula>IF(tbl_idade[[#This Row],[Idade]]&gt;17,"Adulto","Adolescente")</calculatedColumnFormula>
    </tableColumn>
  </tableColumns>
  <tableStyleInfo name="TableStyleMedium1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21000000}" name="tblclientesdevedores20" displayName="tblclientesdevedores20" ref="B4:I16" totalsRowShown="0" headerRowDxfId="59" dataDxfId="58">
  <autoFilter ref="B4:I16" xr:uid="{00000000-0009-0000-0100-00001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xmlns:xlrd2="http://schemas.microsoft.com/office/spreadsheetml/2017/richdata2" ref="B5:G16">
    <sortCondition ref="B4"/>
  </sortState>
  <tableColumns count="8">
    <tableColumn id="1" xr3:uid="{00000000-0010-0000-2100-000001000000}" name="Representante" dataDxfId="57"/>
    <tableColumn id="8" xr3:uid="{00000000-0010-0000-2100-000008000000}" name="Filial" dataDxfId="56"/>
    <tableColumn id="3" xr3:uid="{00000000-0010-0000-2100-000003000000}" name="1º Trimestre" dataDxfId="55" dataCellStyle="Vírgula"/>
    <tableColumn id="4" xr3:uid="{00000000-0010-0000-2100-000004000000}" name="2º Trimestre" dataDxfId="54" dataCellStyle="Vírgula"/>
    <tableColumn id="5" xr3:uid="{00000000-0010-0000-2100-000005000000}" name="3º Trimestre" dataDxfId="53" dataCellStyle="Vírgula"/>
    <tableColumn id="6" xr3:uid="{00000000-0010-0000-2100-000006000000}" name="4º Trimestre" dataDxfId="52" dataCellStyle="Vírgula"/>
    <tableColumn id="7" xr3:uid="{00000000-0010-0000-2100-000007000000}" name="Média de vendas" dataDxfId="51" dataCellStyle="Vírgula">
      <calculatedColumnFormula>AVERAGE(D5:G5)</calculatedColumnFormula>
    </tableColumn>
    <tableColumn id="9" xr3:uid="{00000000-0010-0000-2100-000009000000}" name="Situação" dataDxfId="50" dataCellStyle="Vírgula">
      <calculatedColumnFormula>IF(tblclientesdevedores20[[#This Row],[Média de vendas]]&lt;5000000,"Não Tem Bonus","Tem Bonus")</calculatedColumnFormula>
    </tableColumn>
  </tableColumns>
  <tableStyleInfo name="TableStyleMedium13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4000000}" name="FolhaDeHoras" displayName="FolhaDeHoras" ref="B2:G33" totalsRowCount="1" headerRowDxfId="49">
  <autoFilter ref="B2:G32" xr:uid="{00000000-0009-0000-0100-00001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2400-000001000000}" name="Data" totalsRowLabel="Total" dataDxfId="48"/>
    <tableColumn id="2" xr3:uid="{00000000-0010-0000-2400-000002000000}" name="Entrada Manhã" dataDxfId="47"/>
    <tableColumn id="3" xr3:uid="{00000000-0010-0000-2400-000003000000}" name="Saída Manhã" dataDxfId="46"/>
    <tableColumn id="4" xr3:uid="{00000000-0010-0000-2400-000004000000}" name="Entrada Tarde" dataDxfId="45"/>
    <tableColumn id="5" xr3:uid="{00000000-0010-0000-2400-000005000000}" name="Saída Tarde" dataDxfId="44"/>
    <tableColumn id="6" xr3:uid="{00000000-0010-0000-2400-000006000000}" name="Duração" totalsRowFunction="sum" dataDxfId="43" totalsRowDxfId="42">
      <calculatedColumnFormula>IF(FolhaDeHoras[[#This Row],[Entrada Manhã]]="","",FolhaDeHoras[[#This Row],[Saída Tarde]]-FolhaDeHoras[[#This Row],[Entrada Tarde]]+FolhaDeHoras[[#This Row],[Saída Manhã]]-FolhaDeHoras[[#This Row],[Entrada Manhã]])</calculatedColumnFormula>
    </tableColumn>
  </tableColumns>
  <tableStyleInfo name="TableStyleMedium14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2000000}" name="Tabela39" displayName="Tabela39" ref="D8:J20" totalsRowShown="0" headerRowDxfId="41" dataDxfId="40" tableBorderDxfId="39">
  <autoFilter ref="D8:J20" xr:uid="{00000000-000C-0000-FFFF-FFFF22000000}">
    <filterColumn colId="0" hiddenButton="1"/>
    <filterColumn colId="1" hiddenButton="1">
      <filters>
        <dateGroupItem year="2024" dateTimeGrouping="year"/>
        <dateGroupItem year="2023" dateTimeGrouping="year"/>
        <dateGroupItem year="2021" dateTimeGrouping="year"/>
      </filters>
    </filterColumn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D9:J20">
    <sortCondition descending="1" ref="E8:E20"/>
  </sortState>
  <tableColumns count="7">
    <tableColumn id="1" xr3:uid="{00000000-0010-0000-2200-000001000000}" name="Funcionário" dataDxfId="38"/>
    <tableColumn id="2" xr3:uid="{00000000-0010-0000-2200-000002000000}" name="Data de entrada" dataDxfId="37"/>
    <tableColumn id="3" xr3:uid="{00000000-0010-0000-2200-000003000000}" name="Tempo de Casa" dataDxfId="36">
      <calculatedColumnFormula>TODAY()-Tabela39[[#This Row],[Data de entrada]]</calculatedColumnFormula>
    </tableColumn>
    <tableColumn id="4" xr3:uid="{00000000-0010-0000-2200-000004000000}" name="Salário atual" dataDxfId="35"/>
    <tableColumn id="5" xr3:uid="{00000000-0010-0000-2200-000005000000}" name="Aumento" dataDxfId="34">
      <calculatedColumnFormula>IF(Tabela39[[#This Row],[Tempo de Casa]]&gt;=200,Tabela39[[#This Row],[Salário atual]]*15%,0)</calculatedColumnFormula>
    </tableColumn>
    <tableColumn id="6" xr3:uid="{00000000-0010-0000-2200-000006000000}" name="Novo Salário" dataDxfId="33">
      <calculatedColumnFormula>Tabela39[[#This Row],[Salário atual]]+Tabela39[[#This Row],[Aumento]]</calculatedColumnFormula>
    </tableColumn>
    <tableColumn id="7" xr3:uid="{00000000-0010-0000-2200-000007000000}" name="Recebeu Aumento?" dataDxfId="32">
      <calculatedColumnFormula>IF(Tabela39[[#This Row],[Aumento]]&gt;0,"Sim","Não")</calculatedColumnFormula>
    </tableColumn>
  </tableColumns>
  <tableStyleInfo name="TableStyleMedium16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3000000}" name="Data_atual" displayName="Data_atual" ref="B8:B9" totalsRowShown="0" headerRowDxfId="31" dataDxfId="30" tableBorderDxfId="29">
  <autoFilter ref="B8:B9" xr:uid="{00000000-0009-0000-0100-000029000000}">
    <filterColumn colId="0" hiddenButton="1"/>
  </autoFilter>
  <tableColumns count="1">
    <tableColumn id="1" xr3:uid="{00000000-0010-0000-2300-000001000000}" name="Data Atual" dataDxfId="28">
      <calculatedColumnFormula>TODAY()</calculatedColumnFormula>
    </tableColumn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5000000}" name="Tabela26" displayName="Tabela26" ref="E8:G16" totalsRowShown="0">
  <autoFilter ref="E8:G16" xr:uid="{00000000-0009-0000-0100-000019000000}">
    <filterColumn colId="0" hiddenButton="1"/>
    <filterColumn colId="1" hiddenButton="1"/>
    <filterColumn colId="2" hiddenButton="1"/>
  </autoFilter>
  <sortState xmlns:xlrd2="http://schemas.microsoft.com/office/spreadsheetml/2017/richdata2" ref="E9:G16">
    <sortCondition ref="E8:E16"/>
  </sortState>
  <tableColumns count="3">
    <tableColumn id="3" xr3:uid="{DAD3C22C-05DA-4409-8FB5-5C205987A87C}" name="Esporte"/>
    <tableColumn id="1" xr3:uid="{00000000-0010-0000-2500-000001000000}" name="Participante"/>
    <tableColumn id="2" xr3:uid="{00000000-0010-0000-2500-000002000000}" name="Idade"/>
  </tableColumns>
  <tableStyleInfo name="TableStyleMedium13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46EF4F53-6FD0-4035-9E76-CD155B201A68}" name="Tabela2650" displayName="Tabela2650" ref="E6:F14" totalsRowShown="0" dataDxfId="27">
  <autoFilter ref="E6:F14" xr:uid="{00000000-0009-0000-0100-000019000000}">
    <filterColumn colId="0" hiddenButton="1"/>
    <filterColumn colId="1" hiddenButton="1"/>
  </autoFilter>
  <sortState xmlns:xlrd2="http://schemas.microsoft.com/office/spreadsheetml/2017/richdata2" ref="E7:F14">
    <sortCondition ref="F7:F14"/>
  </sortState>
  <tableColumns count="2">
    <tableColumn id="1" xr3:uid="{45F5393D-EEF5-43B0-B4E6-935D5AF9A84F}" name="Participante" dataDxfId="26"/>
    <tableColumn id="2" xr3:uid="{0AED419D-6AD5-42E0-8ED4-318708552A35}" name="Idade" dataDxfId="25"/>
  </tableColumns>
  <tableStyleInfo name="TableStyleDark5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26000000}" name="Vendas2122" displayName="Vendas2122" ref="B25:F37" totalsRowShown="0" headerRowDxfId="425" dataDxfId="424">
  <autoFilter ref="B25:F37" xr:uid="{00000000-0009-0000-0100-00001A00000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0000000-0010-0000-2600-000001000000}" name="Período" dataDxfId="423"/>
    <tableColumn id="2" xr3:uid="{00000000-0010-0000-2600-000002000000}" name="Ana Elisa" dataDxfId="422"/>
    <tableColumn id="3" xr3:uid="{00000000-0010-0000-2600-000003000000}" name="Marcia Sotero" dataDxfId="421"/>
    <tableColumn id="4" xr3:uid="{00000000-0010-0000-2600-000004000000}" name="Patrícia Guimarães" dataDxfId="420"/>
    <tableColumn id="5" xr3:uid="{2CDEB29D-1589-4530-A06E-3FFC963082A6}" name="Média" dataDxfId="419">
      <calculatedColumnFormula>AVERAGE(Vendas2122[[#This Row],[Ana Elisa]:[Patrícia Guimarães]])</calculatedColumnFormula>
    </tableColumn>
  </tableColumns>
  <tableStyleInfo name="TableStyleMedium13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46D3DC-3908-4123-B499-068E7F457878}" name="Tabela3" displayName="Tabela3" ref="B3:D12" totalsRowShown="0">
  <autoFilter ref="B3:D12" xr:uid="{2527BE55-AA44-4B9C-BA2D-8B729002AE49}">
    <filterColumn colId="0" hiddenButton="1"/>
    <filterColumn colId="1" hiddenButton="1"/>
    <filterColumn colId="2" hiddenButton="1"/>
  </autoFilter>
  <sortState xmlns:xlrd2="http://schemas.microsoft.com/office/spreadsheetml/2017/richdata2" ref="B4:D12">
    <sortCondition ref="B4:B12"/>
  </sortState>
  <tableColumns count="3">
    <tableColumn id="1" xr3:uid="{242B4C36-3029-4F61-9E04-62239C11918B}" name="Região"/>
    <tableColumn id="2" xr3:uid="{BAE80918-B6E4-4CB2-83D4-35A0D33FEEC3}" name="Vendedor"/>
    <tableColumn id="3" xr3:uid="{11FD5414-536B-48C0-A9A9-51DBFCE28DDF}" name="Venda" dataDxfId="24" dataCellStyle="Vírgula"/>
  </tableColumns>
  <tableStyleInfo name="TableStyleMedium13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8E6FC90E-9CF9-47AD-A1A3-AEB39BCDBCB7}" name="Tabela60" displayName="Tabela60" ref="A6:H19" totalsRowCount="1" headerRowDxfId="23" dataDxfId="22" totalsRowDxfId="20" tableBorderDxfId="21">
  <autoFilter ref="A6:H18" xr:uid="{8E6FC90E-9CF9-47AD-A1A3-AEB39BCDBCB7}"/>
  <tableColumns count="8">
    <tableColumn id="1" xr3:uid="{0E333545-6C12-4891-9444-70F12186BEAA}" name="Mês" totalsRowLabel="Media Filial'" dataDxfId="19" totalsRowDxfId="18"/>
    <tableColumn id="2" xr3:uid="{079A1067-66D2-49C6-87B4-537718ED61FB}" name="Filial Alagoas" totalsRowFunction="average" dataDxfId="17" totalsRowDxfId="16"/>
    <tableColumn id="3" xr3:uid="{2A43E1FB-FACD-4126-99DB-C6AD8684B50F}" name="Filial Barueri" totalsRowFunction="average" dataDxfId="15" totalsRowDxfId="14"/>
    <tableColumn id="4" xr3:uid="{C5C77095-71AC-414B-A27D-D358D54FE63F}" name="Filial Campinas" totalsRowFunction="average" dataDxfId="13" totalsRowDxfId="12"/>
    <tableColumn id="5" xr3:uid="{9856809E-0E8B-4CBF-8AC2-0AA10B915137}" name="Filial Niterói" totalsRowFunction="average" dataDxfId="11" totalsRowDxfId="10"/>
    <tableColumn id="6" xr3:uid="{FE91BDDE-AB20-4B47-8282-125B687C4948}" name="Filial Blumenau" totalsRowFunction="average" dataDxfId="9" totalsRowDxfId="8"/>
    <tableColumn id="7" xr3:uid="{62DD3C15-B54F-4BA0-B5E9-CEE0F35464BE}" name="Filial Salvador" totalsRowFunction="average" dataDxfId="7" totalsRowDxfId="6"/>
    <tableColumn id="8" xr3:uid="{1143B873-DF23-4EB5-8429-D3DFA6E87DC8}" name="Média anual" totalsRowFunction="average" dataDxfId="5" totalsRowDxfId="4">
      <calculatedColumnFormula>AVERAGE(B6:G7)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tonihon.com.b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amelia.maria@xyz.com.br" TargetMode="External"/><Relationship Id="rId13" Type="http://schemas.openxmlformats.org/officeDocument/2006/relationships/hyperlink" Target="mailto:clodoaldo.aguiar@abc.com.br" TargetMode="External"/><Relationship Id="rId3" Type="http://schemas.openxmlformats.org/officeDocument/2006/relationships/hyperlink" Target="mailto:carlos.miguel@xyz.com.br" TargetMode="External"/><Relationship Id="rId7" Type="http://schemas.openxmlformats.org/officeDocument/2006/relationships/hyperlink" Target="mailto:tallia.larissa@abc.com.br" TargetMode="External"/><Relationship Id="rId12" Type="http://schemas.openxmlformats.org/officeDocument/2006/relationships/hyperlink" Target="mailto:giovanni.camargo@xyz.com.br" TargetMode="External"/><Relationship Id="rId2" Type="http://schemas.openxmlformats.org/officeDocument/2006/relationships/hyperlink" Target="mailto:joaquim.severo@xyz.com.br" TargetMode="External"/><Relationship Id="rId16" Type="http://schemas.openxmlformats.org/officeDocument/2006/relationships/drawing" Target="../drawings/drawing9.xml"/><Relationship Id="rId1" Type="http://schemas.openxmlformats.org/officeDocument/2006/relationships/hyperlink" Target="mailto:guilherme.macedo@xyz.com.br" TargetMode="External"/><Relationship Id="rId6" Type="http://schemas.openxmlformats.org/officeDocument/2006/relationships/hyperlink" Target="mailto:eduardo.yoshio@xyz.com.br" TargetMode="External"/><Relationship Id="rId11" Type="http://schemas.openxmlformats.org/officeDocument/2006/relationships/hyperlink" Target="mailto:hermes.fonseca@abc.com.br" TargetMode="External"/><Relationship Id="rId5" Type="http://schemas.openxmlformats.org/officeDocument/2006/relationships/hyperlink" Target="mailto:bruna.guimaraes@xyz.com.br" TargetMode="External"/><Relationship Id="rId15" Type="http://schemas.openxmlformats.org/officeDocument/2006/relationships/hyperlink" Target="mailto:elaine.maciel@xyz.com.br" TargetMode="External"/><Relationship Id="rId10" Type="http://schemas.openxmlformats.org/officeDocument/2006/relationships/hyperlink" Target="mailto:florinda.hernandez@xyz.com.br" TargetMode="External"/><Relationship Id="rId4" Type="http://schemas.openxmlformats.org/officeDocument/2006/relationships/hyperlink" Target="mailto:maria.silvia@abc.com.br" TargetMode="External"/><Relationship Id="rId9" Type="http://schemas.openxmlformats.org/officeDocument/2006/relationships/hyperlink" Target="mailto:valter.vasilijukus@xyz.com.br" TargetMode="External"/><Relationship Id="rId14" Type="http://schemas.openxmlformats.org/officeDocument/2006/relationships/hyperlink" Target="mailto:marcia.meirelles@xyz.com.br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Relationship Id="rId4" Type="http://schemas.microsoft.com/office/2007/relationships/slicer" Target="../slicers/slicer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drawing" Target="../drawings/drawing22.xml"/><Relationship Id="rId4" Type="http://schemas.openxmlformats.org/officeDocument/2006/relationships/table" Target="../tables/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8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drawing" Target="../drawings/drawing32.xml"/><Relationship Id="rId4" Type="http://schemas.openxmlformats.org/officeDocument/2006/relationships/table" Target="../tables/table2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5.bin"/><Relationship Id="rId5" Type="http://schemas.openxmlformats.org/officeDocument/2006/relationships/table" Target="../tables/table40.xml"/><Relationship Id="rId4" Type="http://schemas.openxmlformats.org/officeDocument/2006/relationships/table" Target="../tables/table39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8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drawing" Target="../drawings/drawing63.xml"/><Relationship Id="rId4" Type="http://schemas.openxmlformats.org/officeDocument/2006/relationships/table" Target="../tables/table49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2" Type="http://schemas.openxmlformats.org/officeDocument/2006/relationships/table" Target="../tables/table54.xml"/><Relationship Id="rId1" Type="http://schemas.openxmlformats.org/officeDocument/2006/relationships/drawing" Target="../drawings/drawing68.xml"/><Relationship Id="rId4" Type="http://schemas.microsoft.com/office/2007/relationships/slicer" Target="../slicers/slicer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70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71.xml"/></Relationships>
</file>

<file path=xl/worksheets/_rels/sheet7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58.xml"/><Relationship Id="rId1" Type="http://schemas.openxmlformats.org/officeDocument/2006/relationships/drawing" Target="../drawings/drawing72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73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21.bin"/></Relationships>
</file>

<file path=xl/worksheets/_rels/sheet79.xml.rels><?xml version="1.0" encoding="UTF-8" standalone="yes"?>
<Relationships xmlns="http://schemas.openxmlformats.org/package/2006/relationships"><Relationship Id="rId2" Type="http://schemas.microsoft.com/office/2007/relationships/slicer" Target="../slicers/slicer5.xml"/><Relationship Id="rId1" Type="http://schemas.openxmlformats.org/officeDocument/2006/relationships/drawing" Target="../drawings/drawing76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hyperlink" Target="mailto:amelia.maria@xyz.com.br" TargetMode="External"/><Relationship Id="rId13" Type="http://schemas.openxmlformats.org/officeDocument/2006/relationships/hyperlink" Target="mailto:clodoaldo.aguiar@abc.com.br" TargetMode="External"/><Relationship Id="rId3" Type="http://schemas.openxmlformats.org/officeDocument/2006/relationships/hyperlink" Target="mailto:carlos.miguel@xyz.com.br" TargetMode="External"/><Relationship Id="rId7" Type="http://schemas.openxmlformats.org/officeDocument/2006/relationships/hyperlink" Target="mailto:tallia.larissa@abc.com.br" TargetMode="External"/><Relationship Id="rId12" Type="http://schemas.openxmlformats.org/officeDocument/2006/relationships/hyperlink" Target="mailto:giovanni.camargo@xyz.com.br" TargetMode="External"/><Relationship Id="rId2" Type="http://schemas.openxmlformats.org/officeDocument/2006/relationships/hyperlink" Target="mailto:joaquim.severo@xyz.com.br" TargetMode="External"/><Relationship Id="rId16" Type="http://schemas.openxmlformats.org/officeDocument/2006/relationships/drawing" Target="../drawings/drawing78.xml"/><Relationship Id="rId1" Type="http://schemas.openxmlformats.org/officeDocument/2006/relationships/hyperlink" Target="mailto:guilherme.macedo@xyz.com.br" TargetMode="External"/><Relationship Id="rId6" Type="http://schemas.openxmlformats.org/officeDocument/2006/relationships/hyperlink" Target="mailto:eduardo.yoshio@xyz.com.br" TargetMode="External"/><Relationship Id="rId11" Type="http://schemas.openxmlformats.org/officeDocument/2006/relationships/hyperlink" Target="mailto:hermes.fonseca@abc.com.br" TargetMode="External"/><Relationship Id="rId5" Type="http://schemas.openxmlformats.org/officeDocument/2006/relationships/hyperlink" Target="mailto:bruna.guimaraes@xyz.com.br" TargetMode="External"/><Relationship Id="rId15" Type="http://schemas.openxmlformats.org/officeDocument/2006/relationships/hyperlink" Target="mailto:elaine.maciel@xyz.com.br" TargetMode="External"/><Relationship Id="rId10" Type="http://schemas.openxmlformats.org/officeDocument/2006/relationships/hyperlink" Target="mailto:florinda.hernandez@xyz.com.br" TargetMode="External"/><Relationship Id="rId4" Type="http://schemas.openxmlformats.org/officeDocument/2006/relationships/hyperlink" Target="mailto:maria.silvia@abc.com.br" TargetMode="External"/><Relationship Id="rId9" Type="http://schemas.openxmlformats.org/officeDocument/2006/relationships/hyperlink" Target="mailto:valter.vasilijukus@xyz.com.br" TargetMode="External"/><Relationship Id="rId14" Type="http://schemas.openxmlformats.org/officeDocument/2006/relationships/hyperlink" Target="mailto:marcia.meirelles@xyz.com.br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2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printerSettings" Target="../printerSettings/printerSettings2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ACC13-FEC5-43DD-8BA6-2A2F428328C0}">
  <sheetPr>
    <tabColor rgb="FF0B7406"/>
  </sheetPr>
  <dimension ref="B3:E11"/>
  <sheetViews>
    <sheetView showGridLines="0" zoomScaleNormal="100" workbookViewId="0">
      <selection activeCell="Q11" sqref="Q11"/>
    </sheetView>
  </sheetViews>
  <sheetFormatPr defaultRowHeight="15"/>
  <cols>
    <col min="1" max="1" width="3.140625" customWidth="1"/>
    <col min="2" max="2" width="16.7109375" bestFit="1" customWidth="1"/>
    <col min="3" max="3" width="15" customWidth="1"/>
    <col min="4" max="4" width="14" customWidth="1"/>
    <col min="5" max="5" width="17.85546875" customWidth="1"/>
  </cols>
  <sheetData>
    <row r="3" spans="2:5" ht="15.75" thickBot="1">
      <c r="B3" s="386" t="s">
        <v>187</v>
      </c>
      <c r="C3" s="387" t="s">
        <v>762</v>
      </c>
      <c r="D3" s="387" t="s">
        <v>442</v>
      </c>
      <c r="E3" s="386" t="s">
        <v>876</v>
      </c>
    </row>
    <row r="4" spans="2:5" ht="15.75" thickTop="1">
      <c r="B4" s="388" t="s">
        <v>710</v>
      </c>
      <c r="C4" s="389">
        <v>41645</v>
      </c>
      <c r="D4" s="390">
        <f>MONTH(Tabela3553[[#This Row],[Aniversário]])</f>
        <v>1</v>
      </c>
      <c r="E4" s="608">
        <f>Tabela3553[[#This Row],[Aniversário]]</f>
        <v>41645</v>
      </c>
    </row>
    <row r="5" spans="2:5">
      <c r="B5" s="391" t="s">
        <v>468</v>
      </c>
      <c r="C5" s="392">
        <v>22017</v>
      </c>
      <c r="D5" s="393">
        <f>MONTH(Tabela3553[[#This Row],[Aniversário]])</f>
        <v>4</v>
      </c>
      <c r="E5" s="609">
        <f>Tabela3553[[#This Row],[Aniversário]]</f>
        <v>22017</v>
      </c>
    </row>
    <row r="6" spans="2:5">
      <c r="B6" s="391" t="s">
        <v>711</v>
      </c>
      <c r="C6" s="392">
        <v>43208</v>
      </c>
      <c r="D6" s="393">
        <f>MONTH(Tabela3553[[#This Row],[Aniversário]])</f>
        <v>4</v>
      </c>
      <c r="E6" s="609">
        <f>Tabela3553[[#This Row],[Aniversário]]</f>
        <v>43208</v>
      </c>
    </row>
    <row r="7" spans="2:5">
      <c r="B7" s="391" t="s">
        <v>586</v>
      </c>
      <c r="C7" s="392">
        <v>31320</v>
      </c>
      <c r="D7" s="393">
        <f>MONTH(Tabela3553[[#This Row],[Aniversário]])</f>
        <v>9</v>
      </c>
      <c r="E7" s="609">
        <f>Tabela3553[[#This Row],[Aniversário]]</f>
        <v>31320</v>
      </c>
    </row>
    <row r="8" spans="2:5">
      <c r="B8" s="391" t="s">
        <v>583</v>
      </c>
      <c r="C8" s="392">
        <v>24916</v>
      </c>
      <c r="D8" s="393">
        <f>MONTH(Tabela3553[[#This Row],[Aniversário]])</f>
        <v>3</v>
      </c>
      <c r="E8" s="609">
        <f>Tabela3553[[#This Row],[Aniversário]]</f>
        <v>24916</v>
      </c>
    </row>
    <row r="9" spans="2:5">
      <c r="B9" s="391" t="s">
        <v>760</v>
      </c>
      <c r="C9" s="392">
        <v>34446</v>
      </c>
      <c r="D9" s="393">
        <f>MONTH(Tabela3553[[#This Row],[Aniversário]])</f>
        <v>4</v>
      </c>
      <c r="E9" s="609">
        <f>Tabela3553[[#This Row],[Aniversário]]</f>
        <v>34446</v>
      </c>
    </row>
    <row r="10" spans="2:5">
      <c r="B10" s="391" t="s">
        <v>761</v>
      </c>
      <c r="C10" s="392">
        <v>39226</v>
      </c>
      <c r="D10" s="393">
        <f>MONTH(Tabela3553[[#This Row],[Aniversário]])</f>
        <v>5</v>
      </c>
      <c r="E10" s="609">
        <f>Tabela3553[[#This Row],[Aniversário]]</f>
        <v>39226</v>
      </c>
    </row>
    <row r="11" spans="2:5">
      <c r="B11" s="391" t="s">
        <v>984</v>
      </c>
      <c r="C11" s="392">
        <v>31724</v>
      </c>
      <c r="D11" s="393">
        <f>MONTH(Tabela3553[[#This Row],[Aniversário]])</f>
        <v>11</v>
      </c>
      <c r="E11" s="609">
        <f>Tabela3553[[#This Row],[Aniversário]]</f>
        <v>31724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B2:L22"/>
  <sheetViews>
    <sheetView showGridLines="0" zoomScaleNormal="100" workbookViewId="0">
      <selection activeCell="O2" sqref="O2"/>
    </sheetView>
  </sheetViews>
  <sheetFormatPr defaultRowHeight="15"/>
  <cols>
    <col min="3" max="4" width="8.7109375" customWidth="1"/>
  </cols>
  <sheetData>
    <row r="2" spans="3:12">
      <c r="L2" s="266" t="s">
        <v>824</v>
      </c>
    </row>
    <row r="4" spans="3:12">
      <c r="C4" s="6"/>
    </row>
    <row r="9" spans="3:12">
      <c r="E9" s="5"/>
    </row>
    <row r="22" spans="2:2">
      <c r="B22" s="433"/>
    </row>
  </sheetData>
  <sheetProtection selectLockedCells="1" selectUnlockedCells="1"/>
  <hyperlinks>
    <hyperlink ref="L2" r:id="rId1" xr:uid="{2BA3EBC0-3E32-466D-8AD4-E80BACCE4E50}"/>
  </hyperlinks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"/>
  <sheetViews>
    <sheetView showGridLines="0" showRowColHeaders="0" topLeftCell="A7" zoomScaleNormal="100" workbookViewId="0">
      <selection activeCell="A4" sqref="A4"/>
    </sheetView>
  </sheetViews>
  <sheetFormatPr defaultRowHeight="15"/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70C0"/>
  </sheetPr>
  <dimension ref="A1:XEY1048565"/>
  <sheetViews>
    <sheetView zoomScale="70" zoomScaleNormal="70" workbookViewId="0">
      <selection activeCell="I16" sqref="I16:I23"/>
    </sheetView>
  </sheetViews>
  <sheetFormatPr defaultRowHeight="15"/>
  <cols>
    <col min="1" max="1" width="4.42578125" style="10" customWidth="1"/>
    <col min="2" max="2" width="38" bestFit="1" customWidth="1"/>
    <col min="3" max="4" width="15.42578125" customWidth="1"/>
    <col min="7" max="7" width="5.28515625" customWidth="1"/>
    <col min="8" max="8" width="4" customWidth="1"/>
    <col min="9" max="9" width="38" style="10" bestFit="1" customWidth="1"/>
    <col min="10" max="10" width="22.42578125" style="10" bestFit="1" customWidth="1"/>
    <col min="11" max="11" width="16.85546875" style="10" customWidth="1"/>
    <col min="12" max="13" width="4.42578125" style="10" customWidth="1"/>
    <col min="14" max="16" width="9.140625" style="10" customWidth="1"/>
    <col min="17" max="16384" width="9.140625" style="10"/>
  </cols>
  <sheetData>
    <row r="1" spans="2:16">
      <c r="B1" s="433"/>
    </row>
    <row r="2" spans="2:16" ht="15" customHeight="1">
      <c r="H2" s="686" t="s">
        <v>47</v>
      </c>
      <c r="I2" s="686"/>
      <c r="J2" s="686"/>
      <c r="K2" s="686"/>
    </row>
    <row r="3" spans="2:16">
      <c r="H3" s="435"/>
    </row>
    <row r="4" spans="2:16" ht="15" customHeight="1">
      <c r="H4" s="435"/>
      <c r="I4" s="18" t="s">
        <v>45</v>
      </c>
      <c r="J4" s="17"/>
      <c r="K4" s="17"/>
    </row>
    <row r="5" spans="2:16">
      <c r="H5" s="435"/>
      <c r="I5" s="16" t="s">
        <v>29</v>
      </c>
      <c r="J5" s="16">
        <v>2020</v>
      </c>
      <c r="K5" s="17">
        <v>2021</v>
      </c>
    </row>
    <row r="6" spans="2:16">
      <c r="H6" s="435"/>
      <c r="I6" s="9" t="s">
        <v>30</v>
      </c>
      <c r="J6" s="13">
        <v>18050</v>
      </c>
      <c r="K6" s="13">
        <v>18100</v>
      </c>
    </row>
    <row r="7" spans="2:16">
      <c r="H7" s="435"/>
      <c r="I7" s="9" t="s">
        <v>31</v>
      </c>
      <c r="J7" s="13">
        <v>12300</v>
      </c>
      <c r="K7" s="13">
        <v>12350</v>
      </c>
    </row>
    <row r="8" spans="2:16">
      <c r="H8" s="435"/>
      <c r="I8" s="9" t="s">
        <v>32</v>
      </c>
      <c r="J8" s="13">
        <v>13000</v>
      </c>
      <c r="K8" s="13">
        <v>12910</v>
      </c>
    </row>
    <row r="9" spans="2:16">
      <c r="H9" s="435"/>
      <c r="I9" s="9" t="s">
        <v>33</v>
      </c>
      <c r="J9" s="13">
        <v>7550</v>
      </c>
      <c r="K9" s="13">
        <v>7600</v>
      </c>
    </row>
    <row r="10" spans="2:16">
      <c r="H10" s="435"/>
      <c r="I10" s="9" t="s">
        <v>34</v>
      </c>
      <c r="J10" s="13">
        <v>15000</v>
      </c>
      <c r="K10" s="13">
        <v>15450</v>
      </c>
    </row>
    <row r="11" spans="2:16">
      <c r="H11" s="435"/>
      <c r="I11" s="9" t="s">
        <v>35</v>
      </c>
      <c r="J11" s="13">
        <v>8550</v>
      </c>
      <c r="K11" s="13">
        <v>8305</v>
      </c>
    </row>
    <row r="12" spans="2:16">
      <c r="H12" s="435"/>
      <c r="I12" s="9" t="s">
        <v>36</v>
      </c>
      <c r="J12" s="13">
        <v>6750</v>
      </c>
      <c r="K12" s="13">
        <v>6850</v>
      </c>
    </row>
    <row r="13" spans="2:16">
      <c r="H13" s="435"/>
      <c r="I13" s="9" t="s">
        <v>37</v>
      </c>
      <c r="J13" s="13">
        <v>10500</v>
      </c>
      <c r="K13" s="13">
        <v>9450</v>
      </c>
    </row>
    <row r="14" spans="2:16" ht="15.75">
      <c r="H14" s="435"/>
      <c r="I14" s="9" t="s">
        <v>38</v>
      </c>
      <c r="J14" s="13">
        <v>5500</v>
      </c>
      <c r="K14" s="13">
        <v>5550</v>
      </c>
      <c r="N14" s="18"/>
    </row>
    <row r="15" spans="2:16">
      <c r="H15" s="435"/>
      <c r="I15" s="9"/>
      <c r="J15" s="13"/>
      <c r="K15" s="13"/>
      <c r="N15" s="16"/>
      <c r="O15" s="16"/>
      <c r="P15" s="17"/>
    </row>
    <row r="16" spans="2:16" ht="15.75">
      <c r="H16" s="435"/>
      <c r="I16" s="18" t="s">
        <v>46</v>
      </c>
      <c r="M16" s="11"/>
      <c r="N16" s="9"/>
    </row>
    <row r="17" spans="1:16">
      <c r="H17" s="435"/>
      <c r="I17" s="14" t="s">
        <v>29</v>
      </c>
      <c r="J17" s="16">
        <v>2020</v>
      </c>
      <c r="K17" s="16">
        <v>2021</v>
      </c>
      <c r="M17" s="11"/>
      <c r="N17" s="9"/>
    </row>
    <row r="18" spans="1:16">
      <c r="H18" s="435"/>
      <c r="I18" s="7" t="s">
        <v>39</v>
      </c>
      <c r="J18" s="13">
        <v>25000</v>
      </c>
      <c r="K18" s="13">
        <v>27500</v>
      </c>
      <c r="M18" s="11"/>
      <c r="N18" s="9"/>
    </row>
    <row r="19" spans="1:16">
      <c r="H19" s="435"/>
      <c r="I19" s="7" t="s">
        <v>40</v>
      </c>
      <c r="J19" s="13">
        <v>13000</v>
      </c>
      <c r="K19" s="13">
        <v>15000</v>
      </c>
      <c r="M19" s="11"/>
      <c r="N19" s="9"/>
    </row>
    <row r="20" spans="1:16">
      <c r="H20" s="435"/>
      <c r="I20" s="7" t="s">
        <v>41</v>
      </c>
      <c r="J20" s="13">
        <v>9500</v>
      </c>
      <c r="K20" s="13">
        <v>9600</v>
      </c>
      <c r="M20" s="11"/>
      <c r="N20" s="9"/>
    </row>
    <row r="21" spans="1:16">
      <c r="H21" s="435"/>
      <c r="I21" s="7" t="s">
        <v>42</v>
      </c>
      <c r="J21" s="13">
        <v>13000</v>
      </c>
      <c r="K21" s="13">
        <v>13160</v>
      </c>
      <c r="M21" s="11"/>
      <c r="N21" s="9"/>
    </row>
    <row r="22" spans="1:16">
      <c r="H22" s="19"/>
      <c r="I22" s="7" t="s">
        <v>43</v>
      </c>
      <c r="J22" s="13">
        <v>18500</v>
      </c>
      <c r="K22" s="13">
        <v>20000</v>
      </c>
      <c r="M22" s="11"/>
      <c r="N22" s="9"/>
    </row>
    <row r="23" spans="1:16">
      <c r="H23" s="19"/>
      <c r="I23" s="7" t="s">
        <v>44</v>
      </c>
      <c r="J23" s="13">
        <v>9500</v>
      </c>
      <c r="K23" s="13">
        <v>10600</v>
      </c>
      <c r="M23" s="11"/>
      <c r="N23" s="9"/>
    </row>
    <row r="24" spans="1:16" ht="15.75" customHeight="1">
      <c r="M24" s="11"/>
      <c r="N24" s="9"/>
    </row>
    <row r="25" spans="1:16">
      <c r="M25" s="11"/>
      <c r="N25" s="9"/>
    </row>
    <row r="28" spans="1:16" ht="15.75" customHeight="1">
      <c r="A28" s="685" t="s">
        <v>48</v>
      </c>
      <c r="B28" s="18" t="s">
        <v>45</v>
      </c>
      <c r="C28" s="17"/>
      <c r="D28" s="17"/>
      <c r="I28" s="18"/>
      <c r="J28" s="17"/>
      <c r="K28" s="17"/>
      <c r="N28" s="18"/>
    </row>
    <row r="29" spans="1:16" ht="15.75" thickBot="1">
      <c r="A29" s="685"/>
      <c r="B29" s="16" t="s">
        <v>29</v>
      </c>
      <c r="C29" s="16">
        <v>2020</v>
      </c>
      <c r="D29" s="17">
        <v>2021</v>
      </c>
      <c r="I29" s="16"/>
      <c r="J29" s="16">
        <v>2020</v>
      </c>
      <c r="K29" s="17">
        <v>2021</v>
      </c>
      <c r="N29" s="14"/>
      <c r="O29" s="15"/>
      <c r="P29" s="15"/>
    </row>
    <row r="30" spans="1:16">
      <c r="A30" s="685"/>
      <c r="B30" s="9" t="s">
        <v>30</v>
      </c>
      <c r="C30" s="31">
        <v>18050</v>
      </c>
      <c r="D30" s="32">
        <v>18100</v>
      </c>
      <c r="I30" s="9"/>
      <c r="N30" s="7"/>
      <c r="O30" s="8"/>
    </row>
    <row r="31" spans="1:16">
      <c r="A31" s="685"/>
      <c r="B31" s="9" t="s">
        <v>31</v>
      </c>
      <c r="C31" s="33">
        <v>12300</v>
      </c>
      <c r="D31" s="34">
        <v>12350</v>
      </c>
      <c r="N31" s="7"/>
      <c r="O31" s="8"/>
    </row>
    <row r="32" spans="1:16">
      <c r="A32" s="685"/>
      <c r="B32" s="9" t="s">
        <v>32</v>
      </c>
      <c r="C32" s="33">
        <v>13000</v>
      </c>
      <c r="D32" s="34">
        <v>12910</v>
      </c>
      <c r="N32" s="7"/>
      <c r="O32" s="8"/>
    </row>
    <row r="33" spans="1:15">
      <c r="A33" s="685"/>
      <c r="B33" s="9" t="s">
        <v>33</v>
      </c>
      <c r="C33" s="33">
        <v>7550</v>
      </c>
      <c r="D33" s="34">
        <v>7600</v>
      </c>
      <c r="N33" s="7"/>
      <c r="O33" s="8"/>
    </row>
    <row r="34" spans="1:15">
      <c r="A34" s="685"/>
      <c r="B34" s="9" t="s">
        <v>34</v>
      </c>
      <c r="C34" s="33">
        <v>15000</v>
      </c>
      <c r="D34" s="34">
        <v>15450</v>
      </c>
      <c r="N34" s="7"/>
      <c r="O34" s="8"/>
    </row>
    <row r="35" spans="1:15">
      <c r="A35" s="685"/>
      <c r="B35" s="9" t="s">
        <v>35</v>
      </c>
      <c r="C35" s="33">
        <v>8550</v>
      </c>
      <c r="D35" s="34">
        <v>8305</v>
      </c>
      <c r="N35" s="7"/>
      <c r="O35" s="8"/>
    </row>
    <row r="36" spans="1:15">
      <c r="A36" s="685"/>
      <c r="B36" s="9" t="s">
        <v>36</v>
      </c>
      <c r="C36" s="33">
        <v>6750</v>
      </c>
      <c r="D36" s="34">
        <v>6850</v>
      </c>
    </row>
    <row r="37" spans="1:15">
      <c r="A37" s="685"/>
      <c r="B37" s="9" t="s">
        <v>37</v>
      </c>
      <c r="C37" s="33">
        <v>10500</v>
      </c>
      <c r="D37" s="34">
        <v>9450</v>
      </c>
    </row>
    <row r="38" spans="1:15" ht="15.75" thickBot="1">
      <c r="A38" s="685"/>
      <c r="B38" s="9" t="s">
        <v>38</v>
      </c>
      <c r="C38" s="35">
        <v>5500</v>
      </c>
      <c r="D38" s="36">
        <v>5550</v>
      </c>
    </row>
    <row r="39" spans="1:15" ht="15.75" thickBot="1">
      <c r="A39" s="685"/>
      <c r="B39" s="9"/>
      <c r="C39" s="13"/>
      <c r="D39" s="13"/>
    </row>
    <row r="40" spans="1:15">
      <c r="A40" s="685"/>
      <c r="B40" s="37" t="s">
        <v>29</v>
      </c>
      <c r="C40" s="16">
        <v>2020</v>
      </c>
      <c r="D40" s="17">
        <v>2021</v>
      </c>
    </row>
    <row r="41" spans="1:15">
      <c r="A41" s="685"/>
      <c r="B41" s="38" t="s">
        <v>30</v>
      </c>
      <c r="C41" s="13">
        <v>18050</v>
      </c>
      <c r="D41" s="13">
        <v>18100</v>
      </c>
    </row>
    <row r="42" spans="1:15">
      <c r="A42" s="685"/>
      <c r="B42" s="38" t="s">
        <v>31</v>
      </c>
      <c r="C42" s="13">
        <v>12300</v>
      </c>
      <c r="D42" s="13">
        <v>12350</v>
      </c>
    </row>
    <row r="43" spans="1:15">
      <c r="A43" s="685"/>
      <c r="B43" s="38" t="s">
        <v>32</v>
      </c>
      <c r="C43" s="13">
        <v>13000</v>
      </c>
      <c r="D43" s="13">
        <v>12910</v>
      </c>
    </row>
    <row r="44" spans="1:15">
      <c r="A44" s="685"/>
      <c r="B44" s="38" t="s">
        <v>33</v>
      </c>
      <c r="C44" s="13">
        <v>7550</v>
      </c>
      <c r="D44" s="13">
        <v>7600</v>
      </c>
    </row>
    <row r="45" spans="1:15">
      <c r="A45" s="685"/>
      <c r="B45" s="38" t="s">
        <v>34</v>
      </c>
      <c r="C45" s="13">
        <v>15000</v>
      </c>
      <c r="D45" s="13">
        <v>15450</v>
      </c>
    </row>
    <row r="46" spans="1:15">
      <c r="A46" s="685"/>
      <c r="B46" s="38" t="s">
        <v>35</v>
      </c>
      <c r="C46" s="13">
        <v>8550</v>
      </c>
      <c r="D46" s="13">
        <v>8305</v>
      </c>
    </row>
    <row r="47" spans="1:15">
      <c r="A47" s="685"/>
      <c r="B47" s="38" t="s">
        <v>36</v>
      </c>
      <c r="C47" s="13">
        <v>6750</v>
      </c>
      <c r="D47" s="13">
        <v>6850</v>
      </c>
    </row>
    <row r="48" spans="1:15">
      <c r="A48" s="685"/>
      <c r="B48" s="38" t="s">
        <v>37</v>
      </c>
      <c r="C48" s="13">
        <v>10500</v>
      </c>
      <c r="D48" s="13">
        <v>9450</v>
      </c>
    </row>
    <row r="49" spans="1:4" ht="15.75" thickBot="1">
      <c r="A49" s="685"/>
      <c r="B49" s="39" t="s">
        <v>38</v>
      </c>
      <c r="C49" s="13">
        <v>5500</v>
      </c>
      <c r="D49" s="13">
        <v>5550</v>
      </c>
    </row>
    <row r="1048565" spans="16379:16379">
      <c r="XEY1048565" s="10" t="s">
        <v>825</v>
      </c>
    </row>
  </sheetData>
  <mergeCells count="2">
    <mergeCell ref="A28:A49"/>
    <mergeCell ref="H2:K2"/>
  </mergeCells>
  <conditionalFormatting sqref="I16:I23">
    <cfRule type="duplicateValues" dxfId="1" priority="1"/>
  </conditionalFormatting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B1:P32"/>
  <sheetViews>
    <sheetView zoomScaleNormal="100" workbookViewId="0">
      <selection activeCell="J5" sqref="J5"/>
    </sheetView>
  </sheetViews>
  <sheetFormatPr defaultRowHeight="15"/>
  <cols>
    <col min="1" max="1" width="4.42578125" style="10" customWidth="1"/>
    <col min="2" max="2" width="38.140625" bestFit="1" customWidth="1"/>
    <col min="3" max="5" width="23.85546875" bestFit="1" customWidth="1"/>
    <col min="7" max="7" width="5.28515625" customWidth="1"/>
    <col min="8" max="8" width="4" customWidth="1"/>
    <col min="9" max="9" width="38" style="10" bestFit="1" customWidth="1"/>
    <col min="10" max="10" width="28.140625" style="10" bestFit="1" customWidth="1"/>
    <col min="11" max="11" width="16.85546875" style="10" customWidth="1"/>
    <col min="12" max="13" width="4.42578125" style="10" customWidth="1"/>
    <col min="14" max="16" width="9.140625" style="10" customWidth="1"/>
    <col min="17" max="16384" width="9.140625" style="10"/>
  </cols>
  <sheetData>
    <row r="1" spans="2:16">
      <c r="B1" s="433"/>
    </row>
    <row r="2" spans="2:16" ht="20.25" customHeight="1">
      <c r="H2" s="687" t="s">
        <v>67</v>
      </c>
      <c r="I2" s="28" t="s">
        <v>49</v>
      </c>
      <c r="J2" s="29"/>
      <c r="K2" s="17"/>
    </row>
    <row r="3" spans="2:16" ht="16.5">
      <c r="H3" s="687"/>
      <c r="I3" s="30" t="s">
        <v>50</v>
      </c>
      <c r="J3" s="30" t="s">
        <v>51</v>
      </c>
      <c r="K3" s="17"/>
    </row>
    <row r="4" spans="2:16" ht="15" customHeight="1">
      <c r="H4" s="687"/>
      <c r="I4" s="21">
        <v>1</v>
      </c>
      <c r="J4" s="22">
        <v>1</v>
      </c>
      <c r="K4" s="12"/>
    </row>
    <row r="5" spans="2:16" ht="15.75">
      <c r="H5" s="687"/>
      <c r="I5" s="21">
        <v>2</v>
      </c>
      <c r="J5" s="22"/>
      <c r="K5" s="12"/>
    </row>
    <row r="6" spans="2:16" ht="15.75">
      <c r="H6" s="687"/>
      <c r="I6" s="21"/>
      <c r="J6" s="22"/>
      <c r="K6" s="12"/>
    </row>
    <row r="7" spans="2:16" ht="15.75">
      <c r="H7" s="687"/>
      <c r="I7" s="21"/>
      <c r="J7" s="22"/>
      <c r="K7" s="12"/>
    </row>
    <row r="8" spans="2:16" ht="15.75">
      <c r="H8" s="687"/>
      <c r="I8" s="21"/>
      <c r="J8" s="22"/>
      <c r="K8" s="12"/>
    </row>
    <row r="9" spans="2:16" ht="16.5" thickBot="1">
      <c r="H9" s="687"/>
      <c r="I9" s="23"/>
      <c r="J9" s="24"/>
      <c r="K9" s="12"/>
    </row>
    <row r="10" spans="2:16">
      <c r="H10" s="687"/>
      <c r="J10" s="20"/>
      <c r="K10" s="12"/>
    </row>
    <row r="11" spans="2:16" ht="20.25">
      <c r="H11" s="687"/>
      <c r="I11" s="28" t="s">
        <v>52</v>
      </c>
      <c r="J11" s="29"/>
      <c r="K11" s="12"/>
    </row>
    <row r="12" spans="2:16" ht="16.5">
      <c r="H12" s="687"/>
      <c r="I12" s="30" t="s">
        <v>53</v>
      </c>
      <c r="J12" s="30" t="s">
        <v>54</v>
      </c>
      <c r="K12" s="12"/>
    </row>
    <row r="13" spans="2:16">
      <c r="H13" s="687"/>
      <c r="I13" s="27" t="s">
        <v>56</v>
      </c>
      <c r="J13" s="27" t="s">
        <v>55</v>
      </c>
      <c r="K13" s="13"/>
    </row>
    <row r="14" spans="2:16" ht="15.75">
      <c r="H14" s="687"/>
      <c r="I14" s="27" t="s">
        <v>1001</v>
      </c>
      <c r="J14" s="27" t="s">
        <v>1006</v>
      </c>
      <c r="N14" s="18"/>
    </row>
    <row r="15" spans="2:16">
      <c r="H15" s="687"/>
      <c r="I15" s="27" t="s">
        <v>1002</v>
      </c>
      <c r="J15" s="27" t="s">
        <v>1007</v>
      </c>
      <c r="N15" s="16"/>
      <c r="O15" s="16"/>
      <c r="P15" s="17"/>
    </row>
    <row r="16" spans="2:16">
      <c r="H16" s="687"/>
      <c r="I16" s="27" t="s">
        <v>1003</v>
      </c>
      <c r="J16" s="27" t="s">
        <v>1008</v>
      </c>
      <c r="M16" s="11"/>
      <c r="N16" s="9"/>
    </row>
    <row r="17" spans="2:14">
      <c r="H17" s="687"/>
      <c r="I17" s="27" t="s">
        <v>1004</v>
      </c>
      <c r="J17" s="27" t="s">
        <v>1009</v>
      </c>
      <c r="K17" s="16"/>
      <c r="M17" s="11"/>
      <c r="N17" s="9"/>
    </row>
    <row r="18" spans="2:14">
      <c r="H18" s="687"/>
      <c r="I18" s="27" t="s">
        <v>1005</v>
      </c>
      <c r="J18" s="27" t="s">
        <v>1010</v>
      </c>
      <c r="K18" s="13"/>
      <c r="M18" s="11"/>
      <c r="N18" s="9"/>
    </row>
    <row r="19" spans="2:14">
      <c r="H19" s="687"/>
      <c r="I19" s="7"/>
      <c r="J19" s="13"/>
      <c r="K19" s="13"/>
      <c r="M19" s="11"/>
      <c r="N19" s="9"/>
    </row>
    <row r="20" spans="2:14" ht="20.25">
      <c r="H20" s="687"/>
      <c r="I20" s="28" t="s">
        <v>61</v>
      </c>
      <c r="J20" s="29"/>
      <c r="K20" s="13"/>
      <c r="M20" s="11"/>
      <c r="N20" s="9"/>
    </row>
    <row r="21" spans="2:14" ht="16.5">
      <c r="H21" s="687"/>
      <c r="I21" s="30" t="s">
        <v>57</v>
      </c>
      <c r="J21" s="30" t="s">
        <v>59</v>
      </c>
      <c r="K21" s="13"/>
      <c r="M21" s="11"/>
      <c r="N21" s="9"/>
    </row>
    <row r="22" spans="2:14" ht="20.25">
      <c r="B22" s="688" t="s">
        <v>66</v>
      </c>
      <c r="C22" s="689"/>
      <c r="D22" s="689"/>
      <c r="E22" s="690"/>
      <c r="H22" s="687"/>
      <c r="I22" s="27" t="s">
        <v>58</v>
      </c>
      <c r="J22" s="27" t="s">
        <v>58</v>
      </c>
      <c r="K22" s="13"/>
      <c r="M22" s="11"/>
      <c r="N22" s="9"/>
    </row>
    <row r="23" spans="2:14" ht="16.5">
      <c r="B23" s="488" t="s">
        <v>62</v>
      </c>
      <c r="C23" s="488" t="s">
        <v>63</v>
      </c>
      <c r="D23" s="488" t="s">
        <v>64</v>
      </c>
      <c r="E23" s="488" t="s">
        <v>65</v>
      </c>
      <c r="H23" s="687"/>
      <c r="I23" s="27"/>
      <c r="J23" s="27" t="s">
        <v>60</v>
      </c>
      <c r="K23" s="13"/>
      <c r="M23" s="11"/>
      <c r="N23" s="9"/>
    </row>
    <row r="24" spans="2:14">
      <c r="B24" s="489">
        <v>43232</v>
      </c>
      <c r="C24" s="489">
        <v>43293</v>
      </c>
      <c r="D24" s="489">
        <v>42429</v>
      </c>
      <c r="E24" s="489">
        <v>43184</v>
      </c>
      <c r="H24" s="687"/>
      <c r="I24" s="27"/>
      <c r="J24" s="27"/>
    </row>
    <row r="25" spans="2:14">
      <c r="B25" s="489">
        <v>43233</v>
      </c>
      <c r="C25" s="489">
        <v>43296</v>
      </c>
      <c r="D25" s="489">
        <v>42430</v>
      </c>
      <c r="E25" s="489">
        <v>43549</v>
      </c>
      <c r="H25" s="687"/>
      <c r="I25" s="27"/>
      <c r="J25" s="27"/>
    </row>
    <row r="26" spans="2:14">
      <c r="B26" s="489">
        <v>43234</v>
      </c>
      <c r="C26" s="489">
        <v>43299</v>
      </c>
      <c r="D26" s="489">
        <v>42431</v>
      </c>
      <c r="E26" s="489">
        <v>43915</v>
      </c>
      <c r="H26" s="687"/>
      <c r="I26" s="27"/>
      <c r="J26" s="27"/>
    </row>
    <row r="27" spans="2:14" ht="15.75" thickBot="1">
      <c r="B27" s="489">
        <v>43235</v>
      </c>
      <c r="C27" s="489">
        <v>43302</v>
      </c>
      <c r="D27" s="489">
        <v>42432</v>
      </c>
      <c r="E27" s="489">
        <v>44280</v>
      </c>
      <c r="H27" s="687"/>
      <c r="I27" s="25"/>
      <c r="J27" s="26"/>
    </row>
    <row r="28" spans="2:14">
      <c r="B28" s="489">
        <v>43236</v>
      </c>
      <c r="C28" s="489">
        <v>43305</v>
      </c>
      <c r="D28" s="489">
        <v>42433</v>
      </c>
      <c r="E28" s="489">
        <v>44645</v>
      </c>
    </row>
    <row r="29" spans="2:14">
      <c r="B29" s="489">
        <v>43237</v>
      </c>
      <c r="C29" s="489">
        <v>43308</v>
      </c>
      <c r="D29" s="489">
        <v>42434</v>
      </c>
      <c r="E29" s="489">
        <v>45010</v>
      </c>
    </row>
    <row r="31" spans="2:14">
      <c r="B31" s="40"/>
      <c r="C31" s="40"/>
      <c r="D31" s="40"/>
      <c r="E31" s="40"/>
    </row>
    <row r="32" spans="2:14">
      <c r="B32" s="41"/>
      <c r="C32" s="41"/>
      <c r="D32" s="41"/>
      <c r="E32" s="41"/>
    </row>
  </sheetData>
  <mergeCells count="2">
    <mergeCell ref="H2:H27"/>
    <mergeCell ref="B22:E22"/>
  </mergeCells>
  <phoneticPr fontId="76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</sheetPr>
  <dimension ref="M1:Q37"/>
  <sheetViews>
    <sheetView showGridLines="0" zoomScaleNormal="100" workbookViewId="0">
      <selection activeCell="S15" sqref="S15"/>
    </sheetView>
  </sheetViews>
  <sheetFormatPr defaultRowHeight="15"/>
  <cols>
    <col min="10" max="12" width="2.140625" customWidth="1"/>
    <col min="13" max="13" width="23.42578125" bestFit="1" customWidth="1"/>
    <col min="14" max="14" width="23.42578125" customWidth="1"/>
    <col min="15" max="15" width="4.5703125" customWidth="1"/>
    <col min="16" max="16" width="22.7109375" customWidth="1"/>
    <col min="17" max="17" width="23.42578125" customWidth="1"/>
    <col min="18" max="21" width="9.140625" customWidth="1"/>
  </cols>
  <sheetData>
    <row r="1" spans="13:17" ht="13.5" customHeight="1"/>
    <row r="3" spans="13:17" ht="18" thickBot="1">
      <c r="M3" s="691" t="s">
        <v>68</v>
      </c>
      <c r="N3" s="691"/>
      <c r="O3" s="496"/>
      <c r="P3" s="497" t="s">
        <v>70</v>
      </c>
      <c r="Q3" s="497" t="s">
        <v>70</v>
      </c>
    </row>
    <row r="4" spans="13:17" ht="20.25" thickTop="1">
      <c r="M4" s="491" t="s">
        <v>72</v>
      </c>
      <c r="N4" s="492">
        <v>1200</v>
      </c>
      <c r="P4" s="491" t="s">
        <v>72</v>
      </c>
      <c r="Q4" s="492">
        <v>1200</v>
      </c>
    </row>
    <row r="5" spans="13:17">
      <c r="M5" s="491" t="s">
        <v>74</v>
      </c>
      <c r="N5" s="493">
        <v>121.27</v>
      </c>
      <c r="P5" s="491" t="s">
        <v>74</v>
      </c>
      <c r="Q5" s="493">
        <v>121.27</v>
      </c>
    </row>
    <row r="6" spans="13:17">
      <c r="M6" s="491" t="s">
        <v>75</v>
      </c>
      <c r="N6" s="493">
        <v>197.35</v>
      </c>
      <c r="P6" s="491" t="s">
        <v>75</v>
      </c>
      <c r="Q6" s="493">
        <v>197.35</v>
      </c>
    </row>
    <row r="7" spans="13:17">
      <c r="M7" s="491" t="s">
        <v>73</v>
      </c>
      <c r="N7" s="493">
        <v>874.21</v>
      </c>
      <c r="P7" s="491" t="s">
        <v>73</v>
      </c>
      <c r="Q7" s="493">
        <v>874.21</v>
      </c>
    </row>
    <row r="8" spans="13:17" ht="19.5">
      <c r="M8" s="491" t="s">
        <v>76</v>
      </c>
      <c r="N8" s="492">
        <v>460</v>
      </c>
      <c r="P8" s="491" t="s">
        <v>76</v>
      </c>
      <c r="Q8" s="492">
        <v>460</v>
      </c>
    </row>
    <row r="9" spans="13:17">
      <c r="M9" s="494" t="s">
        <v>77</v>
      </c>
      <c r="N9" s="495">
        <f>SUM(N4:N8)</f>
        <v>2852.83</v>
      </c>
      <c r="P9" s="494" t="s">
        <v>77</v>
      </c>
      <c r="Q9" s="495">
        <f>SUM(Q4:Q8)</f>
        <v>2852.83</v>
      </c>
    </row>
    <row r="11" spans="13:17" ht="18" thickBot="1">
      <c r="M11" s="691" t="s">
        <v>69</v>
      </c>
      <c r="N11" s="691"/>
      <c r="O11" s="496"/>
      <c r="P11" s="497" t="s">
        <v>71</v>
      </c>
      <c r="Q11" s="497" t="s">
        <v>71</v>
      </c>
    </row>
    <row r="12" spans="13:17" ht="20.25" thickTop="1">
      <c r="M12" s="491" t="s">
        <v>72</v>
      </c>
      <c r="N12" s="492">
        <v>2500</v>
      </c>
      <c r="P12" s="491" t="s">
        <v>72</v>
      </c>
      <c r="Q12" s="492">
        <v>1200</v>
      </c>
    </row>
    <row r="13" spans="13:17">
      <c r="M13" s="491" t="s">
        <v>74</v>
      </c>
      <c r="N13" s="493">
        <v>121.27</v>
      </c>
      <c r="P13" s="491" t="s">
        <v>74</v>
      </c>
      <c r="Q13" s="493">
        <v>121.27</v>
      </c>
    </row>
    <row r="14" spans="13:17">
      <c r="M14" s="491" t="s">
        <v>75</v>
      </c>
      <c r="N14" s="493">
        <v>197.35</v>
      </c>
      <c r="P14" s="491" t="s">
        <v>75</v>
      </c>
      <c r="Q14" s="493">
        <v>197.35</v>
      </c>
    </row>
    <row r="15" spans="13:17">
      <c r="M15" s="491" t="s">
        <v>73</v>
      </c>
      <c r="N15" s="493">
        <v>874.21</v>
      </c>
      <c r="P15" s="491" t="s">
        <v>73</v>
      </c>
      <c r="Q15" s="493">
        <v>874.21</v>
      </c>
    </row>
    <row r="16" spans="13:17" ht="19.5">
      <c r="M16" s="491" t="s">
        <v>76</v>
      </c>
      <c r="N16" s="492">
        <v>460</v>
      </c>
      <c r="P16" s="491" t="s">
        <v>76</v>
      </c>
      <c r="Q16" s="492">
        <v>460</v>
      </c>
    </row>
    <row r="17" spans="13:17">
      <c r="M17" s="494" t="s">
        <v>77</v>
      </c>
      <c r="N17" s="495">
        <f>SUM(N12:N16)</f>
        <v>4152.83</v>
      </c>
      <c r="P17" s="494" t="s">
        <v>77</v>
      </c>
      <c r="Q17" s="495">
        <f>SUM(Q12:Q16)</f>
        <v>2852.83</v>
      </c>
    </row>
    <row r="20" spans="13:17" ht="18" thickBot="1">
      <c r="M20" s="691" t="s">
        <v>78</v>
      </c>
      <c r="N20" s="691"/>
      <c r="O20" s="496"/>
      <c r="P20" s="497"/>
      <c r="Q20" s="497"/>
    </row>
    <row r="21" spans="13:17" ht="20.25" thickTop="1">
      <c r="M21" s="491" t="s">
        <v>72</v>
      </c>
      <c r="N21" s="492">
        <v>1200</v>
      </c>
      <c r="P21" s="491" t="s">
        <v>72</v>
      </c>
      <c r="Q21" s="492">
        <v>3500</v>
      </c>
    </row>
    <row r="22" spans="13:17">
      <c r="M22" s="491" t="s">
        <v>74</v>
      </c>
      <c r="N22" s="493">
        <v>121.27</v>
      </c>
      <c r="P22" s="491" t="s">
        <v>74</v>
      </c>
      <c r="Q22" s="493">
        <v>121.27</v>
      </c>
    </row>
    <row r="23" spans="13:17">
      <c r="M23" s="491" t="s">
        <v>75</v>
      </c>
      <c r="N23" s="493">
        <v>197.35</v>
      </c>
      <c r="P23" s="491" t="s">
        <v>75</v>
      </c>
      <c r="Q23" s="493">
        <v>197.35</v>
      </c>
    </row>
    <row r="24" spans="13:17">
      <c r="M24" s="491" t="s">
        <v>73</v>
      </c>
      <c r="N24" s="493">
        <v>874.21</v>
      </c>
      <c r="P24" s="491" t="s">
        <v>73</v>
      </c>
      <c r="Q24" s="493">
        <v>874.21</v>
      </c>
    </row>
    <row r="25" spans="13:17" ht="19.5">
      <c r="M25" s="491" t="s">
        <v>76</v>
      </c>
      <c r="N25" s="492">
        <v>460</v>
      </c>
      <c r="P25" s="491" t="s">
        <v>76</v>
      </c>
      <c r="Q25" s="492">
        <v>460</v>
      </c>
    </row>
    <row r="26" spans="13:17">
      <c r="M26" s="494" t="s">
        <v>77</v>
      </c>
      <c r="N26" s="495">
        <f>SUM(N21:N25)</f>
        <v>2852.83</v>
      </c>
      <c r="P26" s="494" t="s">
        <v>77</v>
      </c>
      <c r="Q26" s="495">
        <f>SUM(Q21:Q25)</f>
        <v>5152.83</v>
      </c>
    </row>
    <row r="31" spans="13:17" ht="21">
      <c r="P31" s="490"/>
    </row>
    <row r="32" spans="13:17" ht="21">
      <c r="M32" s="490"/>
    </row>
    <row r="37" spans="14:15" ht="21">
      <c r="N37" s="490"/>
      <c r="O37" s="490"/>
    </row>
  </sheetData>
  <mergeCells count="3">
    <mergeCell ref="M20:N20"/>
    <mergeCell ref="M11:N11"/>
    <mergeCell ref="M3:N3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0:R35"/>
  <sheetViews>
    <sheetView showGridLines="0" topLeftCell="A4" zoomScale="115" zoomScaleNormal="115" workbookViewId="0">
      <selection activeCell="E17" sqref="E17:E26"/>
    </sheetView>
  </sheetViews>
  <sheetFormatPr defaultRowHeight="15"/>
  <cols>
    <col min="1" max="1" width="4.5703125" customWidth="1"/>
    <col min="2" max="2" width="32.5703125" bestFit="1" customWidth="1"/>
    <col min="3" max="4" width="10" bestFit="1" customWidth="1"/>
    <col min="5" max="5" width="9.140625" customWidth="1"/>
    <col min="6" max="6" width="4.42578125" customWidth="1"/>
    <col min="7" max="7" width="3.85546875" customWidth="1"/>
    <col min="8" max="8" width="4" customWidth="1"/>
    <col min="9" max="9" width="43.7109375" customWidth="1"/>
    <col min="10" max="10" width="12.140625" bestFit="1" customWidth="1"/>
    <col min="11" max="11" width="10.5703125" bestFit="1" customWidth="1"/>
    <col min="12" max="12" width="12.140625" bestFit="1" customWidth="1"/>
    <col min="13" max="13" width="2.85546875" customWidth="1"/>
    <col min="14" max="15" width="9.140625" customWidth="1"/>
    <col min="17" max="17" width="17.7109375" bestFit="1" customWidth="1"/>
    <col min="18" max="18" width="12.7109375" bestFit="1" customWidth="1"/>
  </cols>
  <sheetData>
    <row r="10" spans="1:18">
      <c r="R10" s="42"/>
    </row>
    <row r="11" spans="1:18">
      <c r="R11" s="42"/>
    </row>
    <row r="12" spans="1:18">
      <c r="R12" s="42"/>
    </row>
    <row r="13" spans="1:18" ht="21">
      <c r="A13" s="693" t="s">
        <v>79</v>
      </c>
      <c r="B13" s="693"/>
      <c r="C13" s="693"/>
      <c r="D13" s="693"/>
      <c r="E13" s="693"/>
      <c r="F13" s="511"/>
      <c r="H13" s="693" t="s">
        <v>79</v>
      </c>
      <c r="I13" s="693"/>
      <c r="J13" s="693"/>
      <c r="K13" s="693"/>
      <c r="L13" s="693"/>
      <c r="R13" s="42"/>
    </row>
    <row r="14" spans="1:18" ht="21">
      <c r="A14" s="498"/>
      <c r="B14" s="501" t="s">
        <v>80</v>
      </c>
      <c r="C14" s="501" t="s">
        <v>81</v>
      </c>
      <c r="D14" s="501" t="s">
        <v>82</v>
      </c>
      <c r="E14" s="501" t="s">
        <v>83</v>
      </c>
      <c r="F14" s="498"/>
      <c r="H14" s="514"/>
      <c r="I14" s="513" t="s">
        <v>96</v>
      </c>
      <c r="J14" s="513" t="s">
        <v>81</v>
      </c>
      <c r="K14" s="513" t="s">
        <v>82</v>
      </c>
      <c r="L14" s="513" t="s">
        <v>83</v>
      </c>
      <c r="M14" s="515"/>
      <c r="R14" s="42"/>
    </row>
    <row r="15" spans="1:18">
      <c r="A15" s="498"/>
      <c r="B15" s="502" t="s">
        <v>84</v>
      </c>
      <c r="C15" s="503">
        <v>3800</v>
      </c>
      <c r="D15" s="503">
        <v>3500</v>
      </c>
      <c r="E15" s="504">
        <f>C15-D15</f>
        <v>300</v>
      </c>
      <c r="F15" s="498"/>
      <c r="H15" s="514"/>
      <c r="I15" s="47" t="s">
        <v>84</v>
      </c>
      <c r="J15" s="50">
        <v>3800</v>
      </c>
      <c r="K15" s="50">
        <v>3500</v>
      </c>
      <c r="L15" s="50">
        <f>J15-K15</f>
        <v>300</v>
      </c>
      <c r="M15" s="514"/>
      <c r="Q15" s="43"/>
      <c r="R15" s="44"/>
    </row>
    <row r="16" spans="1:18">
      <c r="A16" s="498"/>
      <c r="B16" s="505"/>
      <c r="C16" s="506"/>
      <c r="D16" s="506"/>
      <c r="E16" s="506"/>
      <c r="F16" s="499"/>
      <c r="G16" s="45"/>
      <c r="H16" s="514"/>
      <c r="I16" s="514"/>
      <c r="J16" s="514"/>
      <c r="K16" s="514"/>
      <c r="L16" s="514"/>
      <c r="M16" s="514"/>
    </row>
    <row r="17" spans="1:13" ht="15" customHeight="1">
      <c r="A17" s="694" t="s">
        <v>1011</v>
      </c>
      <c r="B17" s="507" t="s">
        <v>85</v>
      </c>
      <c r="C17" s="508">
        <f>SUM(C18:C26)</f>
        <v>3250</v>
      </c>
      <c r="D17" s="508">
        <f>SUM(D18:D26)</f>
        <v>2300</v>
      </c>
      <c r="E17" s="516">
        <f>D17-C17</f>
        <v>-950</v>
      </c>
      <c r="F17" s="500"/>
      <c r="G17" s="46"/>
      <c r="H17" s="692" t="s">
        <v>97</v>
      </c>
      <c r="I17" s="48" t="s">
        <v>85</v>
      </c>
      <c r="J17" s="49">
        <f>SUM(J18:J26)</f>
        <v>3250</v>
      </c>
      <c r="K17" s="49">
        <f>SUM(K18:K26)</f>
        <v>2300</v>
      </c>
      <c r="L17" s="49">
        <f>K17-J17</f>
        <v>-950</v>
      </c>
      <c r="M17" s="514"/>
    </row>
    <row r="18" spans="1:13" ht="16.5" customHeight="1">
      <c r="A18" s="694"/>
      <c r="B18" s="507" t="s">
        <v>86</v>
      </c>
      <c r="C18" s="508">
        <v>1150</v>
      </c>
      <c r="D18" s="508">
        <v>600</v>
      </c>
      <c r="E18" s="516">
        <f>D18-C18</f>
        <v>-550</v>
      </c>
      <c r="F18" s="499"/>
      <c r="G18" s="45"/>
      <c r="H18" s="692"/>
      <c r="I18" s="47" t="s">
        <v>86</v>
      </c>
      <c r="J18" s="50">
        <v>1150</v>
      </c>
      <c r="K18" s="50">
        <v>600</v>
      </c>
      <c r="L18" s="50">
        <f>K18-J18</f>
        <v>-550</v>
      </c>
      <c r="M18" s="514"/>
    </row>
    <row r="19" spans="1:13">
      <c r="A19" s="694"/>
      <c r="B19" s="507" t="s">
        <v>87</v>
      </c>
      <c r="C19" s="508">
        <v>390</v>
      </c>
      <c r="D19" s="508">
        <v>120</v>
      </c>
      <c r="E19" s="516">
        <f t="shared" ref="E19:E26" si="0">D19-C19</f>
        <v>-270</v>
      </c>
      <c r="F19" s="498"/>
      <c r="H19" s="692"/>
      <c r="I19" s="47" t="s">
        <v>87</v>
      </c>
      <c r="J19" s="50">
        <v>390</v>
      </c>
      <c r="K19" s="50">
        <v>120</v>
      </c>
      <c r="L19" s="50">
        <f t="shared" ref="L19:L26" si="1">K19-J19</f>
        <v>-270</v>
      </c>
      <c r="M19" s="514"/>
    </row>
    <row r="20" spans="1:13">
      <c r="A20" s="694"/>
      <c r="B20" s="507" t="s">
        <v>88</v>
      </c>
      <c r="C20" s="508">
        <v>600</v>
      </c>
      <c r="D20" s="508">
        <v>600</v>
      </c>
      <c r="E20" s="516">
        <f t="shared" si="0"/>
        <v>0</v>
      </c>
      <c r="F20" s="498"/>
      <c r="H20" s="692"/>
      <c r="I20" s="47" t="s">
        <v>88</v>
      </c>
      <c r="J20" s="50">
        <v>600</v>
      </c>
      <c r="K20" s="50">
        <v>600</v>
      </c>
      <c r="L20" s="50">
        <f t="shared" si="1"/>
        <v>0</v>
      </c>
      <c r="M20" s="514"/>
    </row>
    <row r="21" spans="1:13">
      <c r="A21" s="694"/>
      <c r="B21" s="507" t="s">
        <v>89</v>
      </c>
      <c r="C21" s="508">
        <v>125</v>
      </c>
      <c r="D21" s="508">
        <v>230</v>
      </c>
      <c r="E21" s="516">
        <f t="shared" si="0"/>
        <v>105</v>
      </c>
      <c r="F21" s="498"/>
      <c r="H21" s="692"/>
      <c r="I21" s="47" t="s">
        <v>89</v>
      </c>
      <c r="J21" s="50">
        <v>125</v>
      </c>
      <c r="K21" s="50">
        <v>230</v>
      </c>
      <c r="L21" s="50">
        <f t="shared" si="1"/>
        <v>105</v>
      </c>
      <c r="M21" s="514"/>
    </row>
    <row r="22" spans="1:13">
      <c r="A22" s="694"/>
      <c r="B22" s="507" t="s">
        <v>90</v>
      </c>
      <c r="C22" s="508">
        <v>240</v>
      </c>
      <c r="D22" s="508">
        <v>120</v>
      </c>
      <c r="E22" s="516">
        <f t="shared" si="0"/>
        <v>-120</v>
      </c>
      <c r="F22" s="498"/>
      <c r="H22" s="692"/>
      <c r="I22" s="47" t="s">
        <v>90</v>
      </c>
      <c r="J22" s="50">
        <v>240</v>
      </c>
      <c r="K22" s="50">
        <v>120</v>
      </c>
      <c r="L22" s="50">
        <f t="shared" si="1"/>
        <v>-120</v>
      </c>
      <c r="M22" s="514"/>
    </row>
    <row r="23" spans="1:13">
      <c r="A23" s="694"/>
      <c r="B23" s="507" t="s">
        <v>91</v>
      </c>
      <c r="C23" s="508">
        <v>45</v>
      </c>
      <c r="D23" s="508">
        <v>90</v>
      </c>
      <c r="E23" s="516">
        <f t="shared" si="0"/>
        <v>45</v>
      </c>
      <c r="F23" s="498"/>
      <c r="H23" s="692"/>
      <c r="I23" s="47" t="s">
        <v>91</v>
      </c>
      <c r="J23" s="50">
        <v>45</v>
      </c>
      <c r="K23" s="50">
        <v>90</v>
      </c>
      <c r="L23" s="50">
        <f t="shared" si="1"/>
        <v>45</v>
      </c>
      <c r="M23" s="514"/>
    </row>
    <row r="24" spans="1:13">
      <c r="A24" s="694"/>
      <c r="B24" s="507" t="s">
        <v>92</v>
      </c>
      <c r="C24" s="508">
        <v>100</v>
      </c>
      <c r="D24" s="508">
        <v>40</v>
      </c>
      <c r="E24" s="516">
        <f t="shared" si="0"/>
        <v>-60</v>
      </c>
      <c r="F24" s="498"/>
      <c r="H24" s="692"/>
      <c r="I24" s="47" t="s">
        <v>92</v>
      </c>
      <c r="J24" s="50">
        <v>100</v>
      </c>
      <c r="K24" s="50">
        <v>40</v>
      </c>
      <c r="L24" s="50">
        <f t="shared" si="1"/>
        <v>-60</v>
      </c>
      <c r="M24" s="514"/>
    </row>
    <row r="25" spans="1:13">
      <c r="A25" s="694"/>
      <c r="B25" s="507" t="s">
        <v>93</v>
      </c>
      <c r="C25" s="508">
        <v>100</v>
      </c>
      <c r="D25" s="508">
        <v>370</v>
      </c>
      <c r="E25" s="516">
        <f t="shared" si="0"/>
        <v>270</v>
      </c>
      <c r="F25" s="498"/>
      <c r="H25" s="692"/>
      <c r="I25" s="47" t="s">
        <v>93</v>
      </c>
      <c r="J25" s="50">
        <v>100</v>
      </c>
      <c r="K25" s="50">
        <v>370</v>
      </c>
      <c r="L25" s="50">
        <f t="shared" si="1"/>
        <v>270</v>
      </c>
      <c r="M25" s="514"/>
    </row>
    <row r="26" spans="1:13">
      <c r="A26" s="694"/>
      <c r="B26" s="507" t="s">
        <v>94</v>
      </c>
      <c r="C26" s="508">
        <v>500</v>
      </c>
      <c r="D26" s="508">
        <v>130</v>
      </c>
      <c r="E26" s="516">
        <f t="shared" si="0"/>
        <v>-370</v>
      </c>
      <c r="F26" s="498"/>
      <c r="H26" s="692"/>
      <c r="I26" s="47" t="s">
        <v>94</v>
      </c>
      <c r="J26" s="50">
        <v>500</v>
      </c>
      <c r="K26" s="50">
        <v>130</v>
      </c>
      <c r="L26" s="50">
        <f t="shared" si="1"/>
        <v>-370</v>
      </c>
      <c r="M26" s="514"/>
    </row>
    <row r="27" spans="1:13" ht="15.75">
      <c r="A27" s="498"/>
      <c r="B27" s="501" t="s">
        <v>95</v>
      </c>
      <c r="C27" s="509">
        <f>C15-C17</f>
        <v>550</v>
      </c>
      <c r="D27" s="509">
        <f>D15-D17</f>
        <v>1200</v>
      </c>
      <c r="E27" s="510">
        <f>C27+D27</f>
        <v>1750</v>
      </c>
      <c r="F27" s="498"/>
      <c r="H27" s="514"/>
      <c r="I27" s="513" t="s">
        <v>95</v>
      </c>
      <c r="J27" s="513">
        <f>J15-J17</f>
        <v>550</v>
      </c>
      <c r="K27" s="513">
        <f>K15-K17</f>
        <v>1200</v>
      </c>
      <c r="L27" s="513">
        <f>J27+K27</f>
        <v>1750</v>
      </c>
      <c r="M27" s="514"/>
    </row>
    <row r="28" spans="1:13">
      <c r="M28" s="512"/>
    </row>
    <row r="29" spans="1:13">
      <c r="J29" s="42"/>
      <c r="L29" s="45"/>
      <c r="M29" s="45"/>
    </row>
    <row r="30" spans="1:13">
      <c r="J30" s="42"/>
      <c r="L30" s="45"/>
      <c r="M30" s="45"/>
    </row>
    <row r="31" spans="1:13">
      <c r="J31" s="42"/>
      <c r="L31" s="45"/>
      <c r="M31" s="45"/>
    </row>
    <row r="32" spans="1:13">
      <c r="J32" s="42"/>
      <c r="L32" s="45"/>
      <c r="M32" s="45"/>
    </row>
    <row r="33" spans="10:13">
      <c r="J33" s="42"/>
      <c r="L33" s="45"/>
      <c r="M33" s="45"/>
    </row>
    <row r="34" spans="10:13">
      <c r="L34" s="45"/>
      <c r="M34" s="45"/>
    </row>
    <row r="35" spans="10:13">
      <c r="M35" s="45"/>
    </row>
  </sheetData>
  <mergeCells count="4">
    <mergeCell ref="H17:H26"/>
    <mergeCell ref="H13:L13"/>
    <mergeCell ref="A13:E13"/>
    <mergeCell ref="A17:A26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C1:H30"/>
  <sheetViews>
    <sheetView zoomScaleNormal="100" workbookViewId="0">
      <selection activeCell="D10" sqref="D10"/>
    </sheetView>
  </sheetViews>
  <sheetFormatPr defaultColWidth="9.140625" defaultRowHeight="15"/>
  <cols>
    <col min="3" max="3" width="13.85546875" style="53" customWidth="1"/>
    <col min="4" max="4" width="27.85546875" customWidth="1"/>
    <col min="5" max="5" width="14" customWidth="1"/>
    <col min="6" max="6" width="13.140625" bestFit="1" customWidth="1"/>
    <col min="7" max="7" width="11.42578125" style="54" customWidth="1"/>
    <col min="8" max="8" width="15.28515625" style="54" customWidth="1"/>
  </cols>
  <sheetData>
    <row r="1" spans="3:8">
      <c r="C1" s="523" t="s">
        <v>135</v>
      </c>
      <c r="D1" s="524" t="s">
        <v>111</v>
      </c>
      <c r="E1" s="524" t="s">
        <v>136</v>
      </c>
      <c r="F1" s="524" t="s">
        <v>137</v>
      </c>
      <c r="G1" s="525" t="s">
        <v>138</v>
      </c>
      <c r="H1" s="525" t="s">
        <v>139</v>
      </c>
    </row>
    <row r="2" spans="3:8">
      <c r="C2" s="520">
        <v>43471</v>
      </c>
      <c r="D2" s="521" t="s">
        <v>131</v>
      </c>
      <c r="E2" s="521" t="str">
        <f t="shared" ref="E2:E30" si="0">IF(OR(LEFT(D2,3)="Joh",LEFT(D2,3)="Lic"),"Bebidas",IF(OR(LEFT(D2,3)="Lor",LEFT(D2,3)="Bol",LEFT(D2,3)="Bom",LEFT(D2,3)="Buc"),"Outros","Eletrônicos"))</f>
        <v>Eletrônicos</v>
      </c>
      <c r="F2" s="521" t="s">
        <v>140</v>
      </c>
      <c r="G2" s="522">
        <v>5078</v>
      </c>
      <c r="H2" s="522">
        <v>878</v>
      </c>
    </row>
    <row r="3" spans="3:8">
      <c r="C3" s="517">
        <v>43474</v>
      </c>
      <c r="D3" s="518" t="s">
        <v>131</v>
      </c>
      <c r="E3" s="518" t="str">
        <f t="shared" si="0"/>
        <v>Eletrônicos</v>
      </c>
      <c r="F3" s="518" t="s">
        <v>141</v>
      </c>
      <c r="G3" s="519">
        <v>5078</v>
      </c>
      <c r="H3" s="519">
        <v>728</v>
      </c>
    </row>
    <row r="4" spans="3:8">
      <c r="C4" s="517">
        <v>43477</v>
      </c>
      <c r="D4" s="518" t="s">
        <v>145</v>
      </c>
      <c r="E4" s="518" t="str">
        <f t="shared" si="0"/>
        <v>Bebidas</v>
      </c>
      <c r="F4" s="518" t="s">
        <v>143</v>
      </c>
      <c r="G4" s="519">
        <v>4926</v>
      </c>
      <c r="H4" s="519">
        <v>527</v>
      </c>
    </row>
    <row r="5" spans="3:8">
      <c r="C5" s="517">
        <v>43477</v>
      </c>
      <c r="D5" s="518" t="s">
        <v>146</v>
      </c>
      <c r="E5" s="518" t="str">
        <f t="shared" si="0"/>
        <v>Outros</v>
      </c>
      <c r="F5" s="518" t="s">
        <v>140</v>
      </c>
      <c r="G5" s="519">
        <v>120</v>
      </c>
      <c r="H5" s="519">
        <v>489</v>
      </c>
    </row>
    <row r="6" spans="3:8">
      <c r="C6" s="517">
        <v>43478</v>
      </c>
      <c r="D6" s="518" t="s">
        <v>145</v>
      </c>
      <c r="E6" s="518" t="str">
        <f t="shared" si="0"/>
        <v>Bebidas</v>
      </c>
      <c r="F6" s="518" t="s">
        <v>140</v>
      </c>
      <c r="G6" s="519">
        <v>4926</v>
      </c>
      <c r="H6" s="519">
        <v>881</v>
      </c>
    </row>
    <row r="7" spans="3:8">
      <c r="C7" s="517">
        <v>43478</v>
      </c>
      <c r="D7" s="518" t="s">
        <v>146</v>
      </c>
      <c r="E7" s="518" t="str">
        <f t="shared" si="0"/>
        <v>Outros</v>
      </c>
      <c r="F7" s="518" t="s">
        <v>144</v>
      </c>
      <c r="G7" s="519">
        <v>120</v>
      </c>
      <c r="H7" s="519">
        <v>477</v>
      </c>
    </row>
    <row r="8" spans="3:8">
      <c r="C8" s="517">
        <v>43479</v>
      </c>
      <c r="D8" s="518" t="s">
        <v>131</v>
      </c>
      <c r="E8" s="518" t="str">
        <f t="shared" si="0"/>
        <v>Eletrônicos</v>
      </c>
      <c r="F8" s="518" t="s">
        <v>142</v>
      </c>
      <c r="G8" s="519">
        <v>5078</v>
      </c>
      <c r="H8" s="519">
        <v>877</v>
      </c>
    </row>
    <row r="9" spans="3:8">
      <c r="C9" s="517">
        <v>43482</v>
      </c>
      <c r="D9" s="518" t="s">
        <v>146</v>
      </c>
      <c r="E9" s="518" t="str">
        <f t="shared" si="0"/>
        <v>Outros</v>
      </c>
      <c r="F9" s="518" t="s">
        <v>143</v>
      </c>
      <c r="G9" s="519">
        <v>120</v>
      </c>
      <c r="H9" s="519">
        <v>652</v>
      </c>
    </row>
    <row r="10" spans="3:8">
      <c r="C10" s="517">
        <v>43483</v>
      </c>
      <c r="D10" s="518" t="s">
        <v>131</v>
      </c>
      <c r="E10" s="518" t="str">
        <f t="shared" si="0"/>
        <v>Eletrônicos</v>
      </c>
      <c r="F10" s="518" t="s">
        <v>143</v>
      </c>
      <c r="G10" s="519">
        <v>5078</v>
      </c>
      <c r="H10" s="519">
        <v>774</v>
      </c>
    </row>
    <row r="11" spans="3:8">
      <c r="C11" s="517">
        <v>43486</v>
      </c>
      <c r="D11" s="518" t="s">
        <v>131</v>
      </c>
      <c r="E11" s="518" t="str">
        <f t="shared" si="0"/>
        <v>Eletrônicos</v>
      </c>
      <c r="F11" s="518" t="s">
        <v>143</v>
      </c>
      <c r="G11" s="519">
        <v>5078</v>
      </c>
      <c r="H11" s="519">
        <v>764</v>
      </c>
    </row>
    <row r="12" spans="3:8">
      <c r="C12" s="517">
        <v>43486</v>
      </c>
      <c r="D12" s="518" t="s">
        <v>145</v>
      </c>
      <c r="E12" s="518" t="str">
        <f t="shared" si="0"/>
        <v>Bebidas</v>
      </c>
      <c r="F12" s="518" t="s">
        <v>141</v>
      </c>
      <c r="G12" s="519">
        <v>4926</v>
      </c>
      <c r="H12" s="519">
        <v>452</v>
      </c>
    </row>
    <row r="13" spans="3:8">
      <c r="C13" s="517">
        <v>43487</v>
      </c>
      <c r="D13" s="518" t="s">
        <v>145</v>
      </c>
      <c r="E13" s="518" t="str">
        <f t="shared" si="0"/>
        <v>Bebidas</v>
      </c>
      <c r="F13" s="518" t="s">
        <v>142</v>
      </c>
      <c r="G13" s="519">
        <v>4926</v>
      </c>
      <c r="H13" s="519">
        <v>528</v>
      </c>
    </row>
    <row r="14" spans="3:8">
      <c r="C14" s="517">
        <v>43487</v>
      </c>
      <c r="D14" s="518" t="s">
        <v>146</v>
      </c>
      <c r="E14" s="518" t="str">
        <f t="shared" si="0"/>
        <v>Outros</v>
      </c>
      <c r="F14" s="518" t="s">
        <v>143</v>
      </c>
      <c r="G14" s="519">
        <v>120</v>
      </c>
      <c r="H14" s="519">
        <v>830</v>
      </c>
    </row>
    <row r="15" spans="3:8">
      <c r="C15" s="517">
        <v>43488</v>
      </c>
      <c r="D15" s="518" t="s">
        <v>145</v>
      </c>
      <c r="E15" s="518" t="str">
        <f t="shared" si="0"/>
        <v>Bebidas</v>
      </c>
      <c r="F15" s="518" t="s">
        <v>144</v>
      </c>
      <c r="G15" s="519">
        <v>4926</v>
      </c>
      <c r="H15" s="519">
        <v>779</v>
      </c>
    </row>
    <row r="16" spans="3:8">
      <c r="C16" s="517">
        <v>43503</v>
      </c>
      <c r="D16" s="518" t="s">
        <v>145</v>
      </c>
      <c r="E16" s="518" t="str">
        <f t="shared" si="0"/>
        <v>Bebidas</v>
      </c>
      <c r="F16" s="518" t="s">
        <v>144</v>
      </c>
      <c r="G16" s="519">
        <v>4926</v>
      </c>
      <c r="H16" s="519">
        <v>576</v>
      </c>
    </row>
    <row r="17" spans="3:8">
      <c r="C17" s="517">
        <v>43503</v>
      </c>
      <c r="D17" s="518" t="s">
        <v>146</v>
      </c>
      <c r="E17" s="518" t="str">
        <f t="shared" si="0"/>
        <v>Outros</v>
      </c>
      <c r="F17" s="518" t="s">
        <v>142</v>
      </c>
      <c r="G17" s="519">
        <v>120</v>
      </c>
      <c r="H17" s="519">
        <v>889</v>
      </c>
    </row>
    <row r="18" spans="3:8">
      <c r="C18" s="517">
        <v>43508</v>
      </c>
      <c r="D18" s="518" t="s">
        <v>146</v>
      </c>
      <c r="E18" s="518" t="str">
        <f t="shared" si="0"/>
        <v>Outros</v>
      </c>
      <c r="F18" s="518" t="s">
        <v>144</v>
      </c>
      <c r="G18" s="519">
        <v>120</v>
      </c>
      <c r="H18" s="519">
        <v>492</v>
      </c>
    </row>
    <row r="19" spans="3:8">
      <c r="C19" s="517">
        <v>43509</v>
      </c>
      <c r="D19" s="518" t="s">
        <v>145</v>
      </c>
      <c r="E19" s="518" t="str">
        <f t="shared" si="0"/>
        <v>Bebidas</v>
      </c>
      <c r="F19" s="518" t="s">
        <v>144</v>
      </c>
      <c r="G19" s="519">
        <v>4926</v>
      </c>
      <c r="H19" s="519">
        <v>553</v>
      </c>
    </row>
    <row r="20" spans="3:8">
      <c r="C20" s="517">
        <v>43509</v>
      </c>
      <c r="D20" s="518" t="s">
        <v>146</v>
      </c>
      <c r="E20" s="518" t="str">
        <f t="shared" si="0"/>
        <v>Outros</v>
      </c>
      <c r="F20" s="518" t="s">
        <v>141</v>
      </c>
      <c r="G20" s="519">
        <v>120</v>
      </c>
      <c r="H20" s="519">
        <v>653</v>
      </c>
    </row>
    <row r="21" spans="3:8">
      <c r="C21" s="517">
        <v>43513</v>
      </c>
      <c r="D21" s="518" t="s">
        <v>146</v>
      </c>
      <c r="E21" s="518" t="str">
        <f t="shared" si="0"/>
        <v>Outros</v>
      </c>
      <c r="F21" s="518" t="s">
        <v>141</v>
      </c>
      <c r="G21" s="519">
        <v>120</v>
      </c>
      <c r="H21" s="519">
        <v>875</v>
      </c>
    </row>
    <row r="22" spans="3:8">
      <c r="C22" s="517">
        <v>43517</v>
      </c>
      <c r="D22" s="518" t="s">
        <v>145</v>
      </c>
      <c r="E22" s="518" t="str">
        <f t="shared" si="0"/>
        <v>Bebidas</v>
      </c>
      <c r="F22" s="518" t="s">
        <v>144</v>
      </c>
      <c r="G22" s="519">
        <v>4926</v>
      </c>
      <c r="H22" s="519">
        <v>607</v>
      </c>
    </row>
    <row r="23" spans="3:8">
      <c r="C23" s="517">
        <v>43520</v>
      </c>
      <c r="D23" s="518" t="s">
        <v>145</v>
      </c>
      <c r="E23" s="518" t="str">
        <f t="shared" si="0"/>
        <v>Bebidas</v>
      </c>
      <c r="F23" s="518" t="s">
        <v>140</v>
      </c>
      <c r="G23" s="519">
        <v>4926</v>
      </c>
      <c r="H23" s="519">
        <v>770</v>
      </c>
    </row>
    <row r="24" spans="3:8">
      <c r="C24" s="517">
        <v>43522</v>
      </c>
      <c r="D24" s="518" t="s">
        <v>146</v>
      </c>
      <c r="E24" s="518" t="str">
        <f t="shared" si="0"/>
        <v>Outros</v>
      </c>
      <c r="F24" s="518" t="s">
        <v>141</v>
      </c>
      <c r="G24" s="519">
        <v>120</v>
      </c>
      <c r="H24" s="519">
        <v>457</v>
      </c>
    </row>
    <row r="25" spans="3:8">
      <c r="C25" s="517">
        <v>43523</v>
      </c>
      <c r="D25" s="518" t="s">
        <v>145</v>
      </c>
      <c r="E25" s="518" t="str">
        <f t="shared" si="0"/>
        <v>Bebidas</v>
      </c>
      <c r="F25" s="518" t="s">
        <v>140</v>
      </c>
      <c r="G25" s="519">
        <v>4926</v>
      </c>
      <c r="H25" s="519">
        <v>598</v>
      </c>
    </row>
    <row r="26" spans="3:8">
      <c r="C26" s="517">
        <v>43525</v>
      </c>
      <c r="D26" s="518" t="s">
        <v>145</v>
      </c>
      <c r="E26" s="518" t="str">
        <f t="shared" si="0"/>
        <v>Bebidas</v>
      </c>
      <c r="F26" s="518" t="s">
        <v>144</v>
      </c>
      <c r="G26" s="519">
        <v>4926</v>
      </c>
      <c r="H26" s="519">
        <v>761</v>
      </c>
    </row>
    <row r="27" spans="3:8">
      <c r="C27" s="517">
        <v>43525</v>
      </c>
      <c r="D27" s="518" t="s">
        <v>146</v>
      </c>
      <c r="E27" s="518" t="str">
        <f t="shared" si="0"/>
        <v>Outros</v>
      </c>
      <c r="F27" s="518" t="s">
        <v>141</v>
      </c>
      <c r="G27" s="519">
        <v>120</v>
      </c>
      <c r="H27" s="519">
        <v>693</v>
      </c>
    </row>
    <row r="28" spans="3:8">
      <c r="C28" s="517">
        <v>43530</v>
      </c>
      <c r="D28" s="518" t="s">
        <v>145</v>
      </c>
      <c r="E28" s="518" t="str">
        <f t="shared" si="0"/>
        <v>Bebidas</v>
      </c>
      <c r="F28" s="518" t="s">
        <v>144</v>
      </c>
      <c r="G28" s="519">
        <v>4926</v>
      </c>
      <c r="H28" s="519">
        <v>510</v>
      </c>
    </row>
    <row r="29" spans="3:8">
      <c r="C29" s="517">
        <v>43540</v>
      </c>
      <c r="D29" s="518" t="s">
        <v>146</v>
      </c>
      <c r="E29" s="518" t="str">
        <f t="shared" si="0"/>
        <v>Outros</v>
      </c>
      <c r="F29" s="518" t="s">
        <v>141</v>
      </c>
      <c r="G29" s="519">
        <v>120</v>
      </c>
      <c r="H29" s="519">
        <v>828</v>
      </c>
    </row>
    <row r="30" spans="3:8">
      <c r="C30" s="517">
        <v>43547</v>
      </c>
      <c r="D30" s="518" t="s">
        <v>146</v>
      </c>
      <c r="E30" s="518" t="str">
        <f t="shared" si="0"/>
        <v>Outros</v>
      </c>
      <c r="F30" s="518" t="s">
        <v>141</v>
      </c>
      <c r="G30" s="519">
        <v>120</v>
      </c>
      <c r="H30" s="519">
        <v>605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B1:N25"/>
  <sheetViews>
    <sheetView zoomScaleNormal="100" workbookViewId="0">
      <selection activeCell="K14" sqref="K14"/>
    </sheetView>
  </sheetViews>
  <sheetFormatPr defaultColWidth="9.140625" defaultRowHeight="15"/>
  <cols>
    <col min="1" max="1" width="2.42578125" customWidth="1"/>
    <col min="8" max="8" width="3.7109375" customWidth="1"/>
    <col min="9" max="9" width="3.5703125" customWidth="1"/>
    <col min="10" max="10" width="12.85546875" style="53" customWidth="1"/>
    <col min="11" max="11" width="27.85546875" customWidth="1"/>
    <col min="12" max="12" width="14.5703125" customWidth="1"/>
    <col min="13" max="13" width="13.140625" bestFit="1" customWidth="1"/>
    <col min="14" max="14" width="30.42578125" style="54" customWidth="1"/>
  </cols>
  <sheetData>
    <row r="1" spans="2:14">
      <c r="B1" s="433" t="s">
        <v>908</v>
      </c>
    </row>
    <row r="2" spans="2:14" ht="15.75" thickBot="1"/>
    <row r="3" spans="2:14" ht="15.75" thickBot="1">
      <c r="J3" s="278" t="s">
        <v>147</v>
      </c>
      <c r="K3" s="61" t="s">
        <v>187</v>
      </c>
      <c r="L3" s="68" t="s">
        <v>161</v>
      </c>
      <c r="M3" s="61" t="s">
        <v>167</v>
      </c>
      <c r="N3" s="62" t="s">
        <v>181</v>
      </c>
    </row>
    <row r="4" spans="2:14">
      <c r="J4" s="526">
        <v>45297</v>
      </c>
      <c r="K4" s="276" t="s">
        <v>148</v>
      </c>
      <c r="L4" s="69" t="s">
        <v>182</v>
      </c>
      <c r="M4" s="67">
        <v>4833.1770187312504</v>
      </c>
      <c r="N4" s="64" t="s">
        <v>168</v>
      </c>
    </row>
    <row r="5" spans="2:14">
      <c r="J5" s="527">
        <v>42378</v>
      </c>
      <c r="K5" s="275" t="s">
        <v>149</v>
      </c>
      <c r="L5" s="70" t="s">
        <v>162</v>
      </c>
      <c r="M5" s="60">
        <v>3352.3975371670772</v>
      </c>
      <c r="N5" s="64" t="s">
        <v>174</v>
      </c>
    </row>
    <row r="6" spans="2:14">
      <c r="J6" s="527">
        <v>45303</v>
      </c>
      <c r="K6" s="275" t="s">
        <v>150</v>
      </c>
      <c r="L6" s="70" t="s">
        <v>163</v>
      </c>
      <c r="M6" s="60">
        <v>3418.7454722297261</v>
      </c>
      <c r="N6" s="64" t="s">
        <v>175</v>
      </c>
    </row>
    <row r="7" spans="2:14">
      <c r="J7" s="527">
        <v>45303</v>
      </c>
      <c r="K7" s="275" t="s">
        <v>151</v>
      </c>
      <c r="L7" s="70" t="s">
        <v>164</v>
      </c>
      <c r="M7" s="60">
        <v>5024.640566554207</v>
      </c>
      <c r="N7" s="64" t="s">
        <v>186</v>
      </c>
    </row>
    <row r="8" spans="2:14">
      <c r="J8" s="527">
        <v>42382</v>
      </c>
      <c r="K8" s="275" t="s">
        <v>152</v>
      </c>
      <c r="L8" s="70" t="s">
        <v>261</v>
      </c>
      <c r="M8" s="60">
        <v>3390.2894658256059</v>
      </c>
      <c r="N8" s="64" t="s">
        <v>173</v>
      </c>
    </row>
    <row r="9" spans="2:14">
      <c r="J9" s="527">
        <v>45304</v>
      </c>
      <c r="K9" s="275" t="s">
        <v>170</v>
      </c>
      <c r="L9" s="70" t="s">
        <v>182</v>
      </c>
      <c r="M9" s="60">
        <v>4626.3748371840566</v>
      </c>
      <c r="N9" s="64" t="s">
        <v>172</v>
      </c>
    </row>
    <row r="10" spans="2:14">
      <c r="J10" s="527">
        <v>45305</v>
      </c>
      <c r="K10" s="275" t="s">
        <v>153</v>
      </c>
      <c r="L10" s="70" t="s">
        <v>261</v>
      </c>
      <c r="M10" s="60">
        <v>4168.3972941194015</v>
      </c>
      <c r="N10" s="64" t="s">
        <v>169</v>
      </c>
    </row>
    <row r="11" spans="2:14">
      <c r="J11" s="527">
        <v>45308</v>
      </c>
      <c r="K11" s="275" t="s">
        <v>154</v>
      </c>
      <c r="L11" s="70" t="s">
        <v>164</v>
      </c>
      <c r="M11" s="60">
        <v>5476.6440636427451</v>
      </c>
      <c r="N11" s="64" t="s">
        <v>183</v>
      </c>
    </row>
    <row r="12" spans="2:14">
      <c r="J12" s="527">
        <v>42387</v>
      </c>
      <c r="K12" s="275" t="s">
        <v>155</v>
      </c>
      <c r="L12" s="70" t="s">
        <v>261</v>
      </c>
      <c r="M12" s="60">
        <v>5291.6785608582086</v>
      </c>
      <c r="N12" s="64" t="s">
        <v>176</v>
      </c>
    </row>
    <row r="13" spans="2:14">
      <c r="J13" s="527">
        <v>45312</v>
      </c>
      <c r="K13" s="275" t="s">
        <v>171</v>
      </c>
      <c r="L13" s="70" t="s">
        <v>163</v>
      </c>
      <c r="M13" s="60">
        <v>4894.8286619433766</v>
      </c>
      <c r="N13" s="64" t="s">
        <v>177</v>
      </c>
    </row>
    <row r="14" spans="2:14">
      <c r="J14" s="527">
        <v>45312</v>
      </c>
      <c r="K14" s="275" t="s">
        <v>156</v>
      </c>
      <c r="L14" s="70" t="s">
        <v>165</v>
      </c>
      <c r="M14" s="60">
        <v>5012.8552357835924</v>
      </c>
      <c r="N14" s="64" t="s">
        <v>178</v>
      </c>
    </row>
    <row r="15" spans="2:14">
      <c r="J15" s="527">
        <v>45313</v>
      </c>
      <c r="K15" s="275" t="s">
        <v>157</v>
      </c>
      <c r="L15" s="70" t="s">
        <v>261</v>
      </c>
      <c r="M15" s="60">
        <v>5533.1844162878078</v>
      </c>
      <c r="N15" s="64" t="s">
        <v>185</v>
      </c>
    </row>
    <row r="16" spans="2:14">
      <c r="J16" s="527">
        <v>42391</v>
      </c>
      <c r="K16" s="275" t="s">
        <v>158</v>
      </c>
      <c r="L16" s="70" t="s">
        <v>166</v>
      </c>
      <c r="M16" s="60">
        <v>4754.6443707765429</v>
      </c>
      <c r="N16" s="64" t="s">
        <v>179</v>
      </c>
    </row>
    <row r="17" spans="10:14">
      <c r="J17" s="527">
        <v>45314</v>
      </c>
      <c r="K17" s="275" t="s">
        <v>159</v>
      </c>
      <c r="L17" s="70" t="s">
        <v>166</v>
      </c>
      <c r="M17" s="60">
        <v>4894.5822067942217</v>
      </c>
      <c r="N17" s="64" t="s">
        <v>184</v>
      </c>
    </row>
    <row r="18" spans="10:14" ht="15.75" thickBot="1">
      <c r="J18" s="528">
        <v>45329</v>
      </c>
      <c r="K18" s="277" t="s">
        <v>160</v>
      </c>
      <c r="L18" s="71" t="s">
        <v>261</v>
      </c>
      <c r="M18" s="65">
        <v>1822.1134623367968</v>
      </c>
      <c r="N18" s="66" t="s">
        <v>180</v>
      </c>
    </row>
    <row r="19" spans="10:14">
      <c r="J19" s="55"/>
      <c r="K19" s="56"/>
      <c r="L19" s="56"/>
      <c r="M19" s="56"/>
      <c r="N19" s="63"/>
    </row>
    <row r="20" spans="10:14">
      <c r="J20" s="57"/>
      <c r="K20" s="58"/>
      <c r="L20" s="58"/>
      <c r="M20" s="58"/>
      <c r="N20" s="59"/>
    </row>
    <row r="21" spans="10:14">
      <c r="J21" s="57"/>
      <c r="K21" s="58"/>
      <c r="L21" s="58"/>
      <c r="M21" s="58"/>
      <c r="N21" s="59"/>
    </row>
    <row r="22" spans="10:14">
      <c r="J22" s="57"/>
      <c r="K22" s="58"/>
      <c r="L22" s="58"/>
      <c r="M22" s="58"/>
      <c r="N22" s="59"/>
    </row>
    <row r="23" spans="10:14">
      <c r="J23" s="57"/>
      <c r="K23" s="58"/>
      <c r="L23" s="58"/>
      <c r="M23" s="58"/>
      <c r="N23" s="59"/>
    </row>
    <row r="24" spans="10:14">
      <c r="J24" s="57"/>
      <c r="K24" s="58"/>
      <c r="L24" s="58"/>
      <c r="M24" s="58"/>
      <c r="N24" s="59"/>
    </row>
    <row r="25" spans="10:14">
      <c r="J25" s="57"/>
      <c r="K25" s="58"/>
      <c r="L25" s="58"/>
      <c r="M25" s="58"/>
      <c r="N25" s="59"/>
    </row>
  </sheetData>
  <hyperlinks>
    <hyperlink ref="N4" r:id="rId1" xr:uid="{00000000-0004-0000-0900-000000000000}"/>
    <hyperlink ref="N5" r:id="rId2" xr:uid="{00000000-0004-0000-0900-000001000000}"/>
    <hyperlink ref="N6" r:id="rId3" xr:uid="{00000000-0004-0000-0900-000002000000}"/>
    <hyperlink ref="N7" r:id="rId4" xr:uid="{00000000-0004-0000-0900-000003000000}"/>
    <hyperlink ref="N9" r:id="rId5" xr:uid="{00000000-0004-0000-0900-000004000000}"/>
    <hyperlink ref="N10" r:id="rId6" xr:uid="{00000000-0004-0000-0900-000005000000}"/>
    <hyperlink ref="N11" r:id="rId7" xr:uid="{00000000-0004-0000-0900-000006000000}"/>
    <hyperlink ref="N13" r:id="rId8" xr:uid="{00000000-0004-0000-0900-000007000000}"/>
    <hyperlink ref="N14" r:id="rId9" xr:uid="{00000000-0004-0000-0900-000008000000}"/>
    <hyperlink ref="N16" r:id="rId10" xr:uid="{00000000-0004-0000-0900-000009000000}"/>
    <hyperlink ref="N17" r:id="rId11" xr:uid="{00000000-0004-0000-0900-00000A000000}"/>
    <hyperlink ref="N12" r:id="rId12" xr:uid="{00000000-0004-0000-0900-00000B000000}"/>
    <hyperlink ref="N15" r:id="rId13" xr:uid="{00000000-0004-0000-0900-00000C000000}"/>
    <hyperlink ref="N18" r:id="rId14" xr:uid="{00000000-0004-0000-0900-00000D000000}"/>
    <hyperlink ref="N8" r:id="rId15" xr:uid="{00000000-0004-0000-0900-00000E000000}"/>
  </hyperlinks>
  <pageMargins left="0.511811024" right="0.511811024" top="0.78740157499999996" bottom="0.78740157499999996" header="0.31496062000000002" footer="0.31496062000000002"/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K42"/>
  <sheetViews>
    <sheetView showGridLines="0" zoomScale="90" zoomScaleNormal="90" workbookViewId="0">
      <selection activeCell="J19" sqref="J19"/>
    </sheetView>
  </sheetViews>
  <sheetFormatPr defaultColWidth="9.140625" defaultRowHeight="15"/>
  <cols>
    <col min="1" max="1" width="8.42578125" bestFit="1" customWidth="1"/>
    <col min="2" max="2" width="14.42578125" bestFit="1" customWidth="1"/>
    <col min="3" max="3" width="11.28515625" bestFit="1" customWidth="1"/>
    <col min="4" max="4" width="19.7109375" bestFit="1" customWidth="1"/>
    <col min="5" max="5" width="18" bestFit="1" customWidth="1"/>
    <col min="6" max="6" width="12.42578125" customWidth="1"/>
    <col min="7" max="7" width="43" bestFit="1" customWidth="1"/>
    <col min="8" max="8" width="12.140625" customWidth="1"/>
    <col min="9" max="9" width="15.140625" customWidth="1"/>
    <col min="10" max="10" width="14.28515625" bestFit="1" customWidth="1"/>
    <col min="11" max="11" width="21.7109375" customWidth="1"/>
    <col min="12" max="14" width="6.85546875" customWidth="1"/>
  </cols>
  <sheetData>
    <row r="1" spans="7:11">
      <c r="G1" s="74" t="s">
        <v>238</v>
      </c>
      <c r="H1" s="74" t="s">
        <v>27</v>
      </c>
      <c r="I1" s="74" t="s">
        <v>1</v>
      </c>
      <c r="J1" s="74" t="s">
        <v>239</v>
      </c>
      <c r="K1" s="74" t="s">
        <v>244</v>
      </c>
    </row>
    <row r="2" spans="7:11">
      <c r="G2" s="73" t="s">
        <v>231</v>
      </c>
      <c r="H2" s="73" t="s">
        <v>1050</v>
      </c>
      <c r="I2" s="73" t="s">
        <v>517</v>
      </c>
      <c r="J2" s="73" t="s">
        <v>26</v>
      </c>
      <c r="K2" s="73" t="s">
        <v>1062</v>
      </c>
    </row>
    <row r="3" spans="7:11">
      <c r="G3" s="73" t="s">
        <v>232</v>
      </c>
      <c r="H3" s="73" t="s">
        <v>1051</v>
      </c>
      <c r="I3" s="73" t="s">
        <v>517</v>
      </c>
      <c r="J3" s="73" t="s">
        <v>26</v>
      </c>
      <c r="K3" s="73" t="s">
        <v>1063</v>
      </c>
    </row>
    <row r="4" spans="7:11">
      <c r="G4" s="73" t="s">
        <v>233</v>
      </c>
      <c r="H4" s="73" t="s">
        <v>1050</v>
      </c>
      <c r="I4" s="73" t="s">
        <v>23</v>
      </c>
      <c r="J4" s="73" t="s">
        <v>26</v>
      </c>
      <c r="K4" s="73" t="s">
        <v>1064</v>
      </c>
    </row>
    <row r="5" spans="7:11">
      <c r="G5" s="73" t="s">
        <v>243</v>
      </c>
      <c r="H5" s="73" t="s">
        <v>1051</v>
      </c>
      <c r="I5" s="73" t="s">
        <v>1055</v>
      </c>
      <c r="J5" s="73" t="s">
        <v>782</v>
      </c>
      <c r="K5" s="73" t="s">
        <v>1065</v>
      </c>
    </row>
    <row r="6" spans="7:11">
      <c r="G6" s="73" t="s">
        <v>234</v>
      </c>
      <c r="H6" s="73" t="s">
        <v>1050</v>
      </c>
      <c r="I6" s="73" t="s">
        <v>529</v>
      </c>
      <c r="J6" s="73" t="s">
        <v>26</v>
      </c>
      <c r="K6" s="73" t="s">
        <v>1066</v>
      </c>
    </row>
    <row r="7" spans="7:11">
      <c r="G7" s="73" t="s">
        <v>240</v>
      </c>
      <c r="H7" s="73" t="s">
        <v>1051</v>
      </c>
      <c r="I7" s="73" t="s">
        <v>1056</v>
      </c>
      <c r="J7" s="73" t="s">
        <v>890</v>
      </c>
      <c r="K7" s="73" t="s">
        <v>1067</v>
      </c>
    </row>
    <row r="8" spans="7:11">
      <c r="G8" s="73" t="s">
        <v>235</v>
      </c>
      <c r="H8" s="73" t="s">
        <v>1052</v>
      </c>
      <c r="I8" s="73" t="s">
        <v>1057</v>
      </c>
      <c r="J8" s="73" t="s">
        <v>26</v>
      </c>
      <c r="K8" s="73" t="s">
        <v>1068</v>
      </c>
    </row>
    <row r="9" spans="7:11">
      <c r="G9" s="73" t="s">
        <v>242</v>
      </c>
      <c r="H9" s="73" t="s">
        <v>1053</v>
      </c>
      <c r="I9" s="73" t="s">
        <v>1058</v>
      </c>
      <c r="J9" s="73" t="s">
        <v>889</v>
      </c>
      <c r="K9" s="73" t="s">
        <v>1069</v>
      </c>
    </row>
    <row r="10" spans="7:11">
      <c r="G10" s="73" t="s">
        <v>241</v>
      </c>
      <c r="H10" s="73" t="s">
        <v>1054</v>
      </c>
      <c r="I10" s="73" t="s">
        <v>520</v>
      </c>
      <c r="J10" s="73" t="s">
        <v>1060</v>
      </c>
      <c r="K10" s="73" t="s">
        <v>1070</v>
      </c>
    </row>
    <row r="11" spans="7:11">
      <c r="G11" s="73" t="s">
        <v>257</v>
      </c>
      <c r="H11" s="73" t="s">
        <v>1050</v>
      </c>
      <c r="I11" s="73" t="s">
        <v>1059</v>
      </c>
      <c r="J11" s="73" t="s">
        <v>1061</v>
      </c>
      <c r="K11" s="73" t="s">
        <v>1071</v>
      </c>
    </row>
    <row r="12" spans="7:11">
      <c r="G12" s="73" t="s">
        <v>719</v>
      </c>
      <c r="H12" s="73" t="s">
        <v>1053</v>
      </c>
      <c r="I12" s="73" t="s">
        <v>21</v>
      </c>
      <c r="J12" s="73" t="s">
        <v>26</v>
      </c>
      <c r="K12" s="73" t="s">
        <v>1072</v>
      </c>
    </row>
    <row r="13" spans="7:11">
      <c r="G13" s="73" t="s">
        <v>236</v>
      </c>
      <c r="H13" s="73" t="s">
        <v>1050</v>
      </c>
      <c r="I13" s="73" t="s">
        <v>19</v>
      </c>
      <c r="J13" s="73" t="s">
        <v>26</v>
      </c>
      <c r="K13" s="73" t="s">
        <v>1073</v>
      </c>
    </row>
    <row r="14" spans="7:11">
      <c r="G14" s="73" t="s">
        <v>720</v>
      </c>
      <c r="H14" s="73" t="s">
        <v>1052</v>
      </c>
      <c r="I14" s="73" t="s">
        <v>20</v>
      </c>
      <c r="J14" s="73" t="s">
        <v>26</v>
      </c>
      <c r="K14" s="73" t="s">
        <v>1074</v>
      </c>
    </row>
    <row r="15" spans="7:11">
      <c r="G15" s="73" t="s">
        <v>237</v>
      </c>
      <c r="H15" s="73" t="s">
        <v>1050</v>
      </c>
      <c r="I15" s="73" t="s">
        <v>22</v>
      </c>
      <c r="J15" s="73" t="s">
        <v>26</v>
      </c>
      <c r="K15" s="73" t="s">
        <v>1075</v>
      </c>
    </row>
    <row r="17" spans="1:11" ht="15.75">
      <c r="J17" s="695" t="s">
        <v>258</v>
      </c>
      <c r="K17" s="695"/>
    </row>
    <row r="18" spans="1:11">
      <c r="G18" s="72" t="s">
        <v>256</v>
      </c>
      <c r="H18" s="72" t="s">
        <v>245</v>
      </c>
      <c r="J18" s="74" t="s">
        <v>259</v>
      </c>
      <c r="K18" s="74" t="s">
        <v>260</v>
      </c>
    </row>
    <row r="19" spans="1:11">
      <c r="G19" s="73" t="s">
        <v>1040</v>
      </c>
      <c r="H19" s="73" t="s">
        <v>246</v>
      </c>
      <c r="J19" s="530">
        <v>20180509</v>
      </c>
      <c r="K19" s="73"/>
    </row>
    <row r="20" spans="1:11">
      <c r="G20" s="73" t="s">
        <v>1041</v>
      </c>
      <c r="H20" s="73" t="s">
        <v>247</v>
      </c>
      <c r="J20" s="530">
        <v>19730307</v>
      </c>
      <c r="K20" s="73"/>
    </row>
    <row r="21" spans="1:11">
      <c r="G21" s="73" t="s">
        <v>1042</v>
      </c>
      <c r="H21" s="73" t="s">
        <v>248</v>
      </c>
      <c r="J21" s="530">
        <v>20060207</v>
      </c>
      <c r="K21" s="73"/>
    </row>
    <row r="22" spans="1:11">
      <c r="G22" s="73" t="s">
        <v>1043</v>
      </c>
      <c r="H22" s="73" t="s">
        <v>249</v>
      </c>
      <c r="J22" s="530">
        <v>19750921</v>
      </c>
      <c r="K22" s="73"/>
    </row>
    <row r="23" spans="1:11">
      <c r="G23" s="73" t="s">
        <v>1044</v>
      </c>
      <c r="H23" s="73" t="s">
        <v>250</v>
      </c>
      <c r="J23" s="530">
        <v>20110405</v>
      </c>
      <c r="K23" s="73"/>
    </row>
    <row r="24" spans="1:11">
      <c r="A24" s="72" t="s">
        <v>0</v>
      </c>
      <c r="B24" s="72" t="s">
        <v>188</v>
      </c>
      <c r="C24" s="72" t="s">
        <v>189</v>
      </c>
      <c r="D24" s="72" t="s">
        <v>228</v>
      </c>
      <c r="E24" s="72" t="s">
        <v>229</v>
      </c>
      <c r="G24" s="73" t="s">
        <v>1045</v>
      </c>
      <c r="H24" s="73" t="s">
        <v>251</v>
      </c>
      <c r="J24" s="530">
        <v>19820202</v>
      </c>
      <c r="K24" s="73"/>
    </row>
    <row r="25" spans="1:11">
      <c r="A25" s="73" t="s">
        <v>190</v>
      </c>
      <c r="B25" s="73" t="s">
        <v>230</v>
      </c>
      <c r="C25" s="73" t="s">
        <v>214</v>
      </c>
      <c r="D25" s="73" t="s">
        <v>1012</v>
      </c>
      <c r="E25" s="73" t="str">
        <f>PROPER(_xlfn.CONCAT(A25:D25))</f>
        <v>Marcosxalencarmarcos X Ribeiro</v>
      </c>
      <c r="G25" s="73" t="s">
        <v>1046</v>
      </c>
      <c r="H25" s="73" t="s">
        <v>252</v>
      </c>
      <c r="J25" s="530">
        <v>20090325</v>
      </c>
      <c r="K25" s="73"/>
    </row>
    <row r="26" spans="1:11">
      <c r="A26" s="73" t="s">
        <v>191</v>
      </c>
      <c r="B26" s="73" t="s">
        <v>204</v>
      </c>
      <c r="C26" s="73" t="s">
        <v>215</v>
      </c>
      <c r="D26" s="73" t="s">
        <v>1013</v>
      </c>
      <c r="E26" s="73" t="s">
        <v>1026</v>
      </c>
      <c r="G26" s="73" t="s">
        <v>1047</v>
      </c>
      <c r="H26" s="73" t="s">
        <v>253</v>
      </c>
      <c r="J26" s="530">
        <v>19900212</v>
      </c>
      <c r="K26" s="73"/>
    </row>
    <row r="27" spans="1:11">
      <c r="A27" s="73" t="s">
        <v>192</v>
      </c>
      <c r="B27" s="73" t="s">
        <v>205</v>
      </c>
      <c r="C27" s="73" t="s">
        <v>216</v>
      </c>
      <c r="D27" s="73" t="s">
        <v>1014</v>
      </c>
      <c r="E27" s="73" t="s">
        <v>1027</v>
      </c>
      <c r="G27" s="73" t="s">
        <v>1048</v>
      </c>
      <c r="H27" s="73" t="s">
        <v>254</v>
      </c>
    </row>
    <row r="28" spans="1:11">
      <c r="A28" s="73" t="s">
        <v>193</v>
      </c>
      <c r="B28" s="73" t="s">
        <v>205</v>
      </c>
      <c r="C28" s="73" t="s">
        <v>217</v>
      </c>
      <c r="D28" s="73" t="s">
        <v>1015</v>
      </c>
      <c r="E28" s="73" t="s">
        <v>1028</v>
      </c>
      <c r="G28" s="73" t="s">
        <v>1049</v>
      </c>
      <c r="H28" s="73" t="s">
        <v>255</v>
      </c>
    </row>
    <row r="29" spans="1:11">
      <c r="A29" s="73" t="s">
        <v>194</v>
      </c>
      <c r="B29" s="73" t="s">
        <v>206</v>
      </c>
      <c r="C29" s="73" t="s">
        <v>218</v>
      </c>
      <c r="D29" s="73" t="s">
        <v>1016</v>
      </c>
      <c r="E29" s="73" t="s">
        <v>1029</v>
      </c>
    </row>
    <row r="30" spans="1:11">
      <c r="A30" s="73" t="s">
        <v>195</v>
      </c>
      <c r="B30" s="73" t="s">
        <v>207</v>
      </c>
      <c r="C30" s="73" t="s">
        <v>219</v>
      </c>
      <c r="D30" s="73" t="s">
        <v>1017</v>
      </c>
      <c r="E30" s="73" t="s">
        <v>1030</v>
      </c>
    </row>
    <row r="31" spans="1:11">
      <c r="A31" s="73" t="s">
        <v>196</v>
      </c>
      <c r="B31" s="73" t="s">
        <v>208</v>
      </c>
      <c r="C31" s="73" t="s">
        <v>220</v>
      </c>
      <c r="D31" s="73" t="s">
        <v>1018</v>
      </c>
      <c r="E31" s="73" t="s">
        <v>1031</v>
      </c>
    </row>
    <row r="32" spans="1:11">
      <c r="A32" s="73" t="s">
        <v>197</v>
      </c>
      <c r="B32" s="73" t="s">
        <v>209</v>
      </c>
      <c r="C32" s="73" t="s">
        <v>221</v>
      </c>
      <c r="D32" s="73" t="s">
        <v>1019</v>
      </c>
      <c r="E32" s="73" t="s">
        <v>1032</v>
      </c>
      <c r="H32" s="529"/>
      <c r="I32" s="529"/>
      <c r="J32" s="529"/>
    </row>
    <row r="33" spans="1:10">
      <c r="A33" s="73" t="s">
        <v>198</v>
      </c>
      <c r="B33" s="73" t="s">
        <v>210</v>
      </c>
      <c r="C33" s="73" t="s">
        <v>222</v>
      </c>
      <c r="D33" s="73" t="s">
        <v>1020</v>
      </c>
      <c r="E33" s="73" t="s">
        <v>1033</v>
      </c>
      <c r="H33" s="529" t="s">
        <v>1039</v>
      </c>
      <c r="I33" s="529"/>
      <c r="J33" s="529"/>
    </row>
    <row r="34" spans="1:10">
      <c r="A34" s="73" t="s">
        <v>199</v>
      </c>
      <c r="B34" s="73" t="s">
        <v>211</v>
      </c>
      <c r="C34" s="73" t="s">
        <v>223</v>
      </c>
      <c r="D34" s="73" t="s">
        <v>1021</v>
      </c>
      <c r="E34" s="73" t="s">
        <v>1034</v>
      </c>
      <c r="H34" s="529"/>
      <c r="I34" s="529"/>
      <c r="J34" s="529"/>
    </row>
    <row r="35" spans="1:10">
      <c r="A35" s="73" t="s">
        <v>200</v>
      </c>
      <c r="B35" s="73" t="s">
        <v>205</v>
      </c>
      <c r="C35" s="73" t="s">
        <v>224</v>
      </c>
      <c r="D35" s="73" t="s">
        <v>1022</v>
      </c>
      <c r="E35" s="73" t="s">
        <v>1035</v>
      </c>
      <c r="I35" s="75"/>
      <c r="J35" s="75"/>
    </row>
    <row r="36" spans="1:10">
      <c r="A36" s="73" t="s">
        <v>201</v>
      </c>
      <c r="B36" s="73" t="s">
        <v>208</v>
      </c>
      <c r="C36" s="73" t="s">
        <v>225</v>
      </c>
      <c r="D36" s="73" t="s">
        <v>1023</v>
      </c>
      <c r="E36" s="73" t="s">
        <v>1036</v>
      </c>
      <c r="I36" s="75"/>
      <c r="J36" s="75"/>
    </row>
    <row r="37" spans="1:10">
      <c r="A37" s="73" t="s">
        <v>202</v>
      </c>
      <c r="B37" s="73" t="s">
        <v>212</v>
      </c>
      <c r="C37" s="73" t="s">
        <v>226</v>
      </c>
      <c r="D37" s="73" t="s">
        <v>1024</v>
      </c>
      <c r="E37" s="73" t="s">
        <v>1037</v>
      </c>
      <c r="I37" s="75"/>
      <c r="J37" s="75"/>
    </row>
    <row r="38" spans="1:10">
      <c r="A38" s="73" t="s">
        <v>203</v>
      </c>
      <c r="B38" s="73" t="s">
        <v>213</v>
      </c>
      <c r="C38" s="73" t="s">
        <v>227</v>
      </c>
      <c r="D38" s="73" t="s">
        <v>1025</v>
      </c>
      <c r="E38" s="73" t="s">
        <v>1038</v>
      </c>
      <c r="I38" s="75"/>
      <c r="J38" s="75"/>
    </row>
    <row r="39" spans="1:10">
      <c r="I39" s="75"/>
      <c r="J39" s="75"/>
    </row>
    <row r="40" spans="1:10">
      <c r="I40" s="75"/>
      <c r="J40" s="75"/>
    </row>
    <row r="41" spans="1:10">
      <c r="I41" s="75"/>
      <c r="J41" s="75"/>
    </row>
    <row r="42" spans="1:10">
      <c r="I42" s="75"/>
      <c r="J42" s="75"/>
    </row>
  </sheetData>
  <mergeCells count="1">
    <mergeCell ref="J17:K17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/>
  </sheetPr>
  <dimension ref="A1"/>
  <sheetViews>
    <sheetView showGridLines="0" showRowColHeaders="0" topLeftCell="A4" zoomScaleNormal="100" workbookViewId="0">
      <selection activeCell="V8" sqref="V8"/>
    </sheetView>
  </sheetViews>
  <sheetFormatPr defaultRowHeight="15"/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70C0"/>
  </sheetPr>
  <dimension ref="K4:Q14"/>
  <sheetViews>
    <sheetView showGridLines="0" workbookViewId="0">
      <selection activeCell="K5" sqref="K5:Q13"/>
    </sheetView>
  </sheetViews>
  <sheetFormatPr defaultRowHeight="15"/>
  <cols>
    <col min="9" max="9" width="8.5703125" customWidth="1"/>
    <col min="10" max="10" width="2.28515625" customWidth="1"/>
    <col min="12" max="12" width="18.140625" bestFit="1" customWidth="1"/>
    <col min="13" max="17" width="14.5703125" customWidth="1"/>
  </cols>
  <sheetData>
    <row r="4" spans="11:17">
      <c r="K4" s="52" t="s">
        <v>98</v>
      </c>
      <c r="L4" s="52" t="s">
        <v>99</v>
      </c>
      <c r="M4" s="52" t="s">
        <v>104</v>
      </c>
      <c r="N4" s="52" t="s">
        <v>105</v>
      </c>
      <c r="O4" s="52" t="s">
        <v>106</v>
      </c>
      <c r="P4" s="52" t="s">
        <v>107</v>
      </c>
      <c r="Q4" s="52" t="s">
        <v>108</v>
      </c>
    </row>
    <row r="5" spans="11:17">
      <c r="K5" s="52">
        <v>8596</v>
      </c>
      <c r="L5" s="52" t="s">
        <v>100</v>
      </c>
      <c r="M5" s="51">
        <v>11949</v>
      </c>
      <c r="N5" s="51">
        <v>11912</v>
      </c>
      <c r="O5" s="51">
        <v>10289</v>
      </c>
      <c r="P5" s="51">
        <v>12007</v>
      </c>
      <c r="Q5" s="51">
        <f t="shared" ref="Q5:Q13" si="0">SUM(M5:P5)</f>
        <v>46157</v>
      </c>
    </row>
    <row r="6" spans="11:17">
      <c r="K6" s="52">
        <v>7784</v>
      </c>
      <c r="L6" s="52" t="s">
        <v>101</v>
      </c>
      <c r="M6" s="51">
        <v>10220</v>
      </c>
      <c r="N6" s="51">
        <v>11380</v>
      </c>
      <c r="O6" s="51">
        <v>11007</v>
      </c>
      <c r="P6" s="51">
        <v>9728</v>
      </c>
      <c r="Q6" s="51">
        <f t="shared" si="0"/>
        <v>42335</v>
      </c>
    </row>
    <row r="7" spans="11:17">
      <c r="K7" s="52">
        <v>8596</v>
      </c>
      <c r="L7" s="52" t="s">
        <v>100</v>
      </c>
      <c r="M7" s="51">
        <v>11927</v>
      </c>
      <c r="N7" s="51">
        <v>9564</v>
      </c>
      <c r="O7" s="51">
        <v>11666</v>
      </c>
      <c r="P7" s="51">
        <v>10396</v>
      </c>
      <c r="Q7" s="51">
        <f t="shared" si="0"/>
        <v>43553</v>
      </c>
    </row>
    <row r="8" spans="11:17">
      <c r="K8" s="52">
        <v>4546</v>
      </c>
      <c r="L8" s="52" t="s">
        <v>102</v>
      </c>
      <c r="M8" s="51">
        <v>11622</v>
      </c>
      <c r="N8" s="51">
        <v>11768</v>
      </c>
      <c r="O8" s="51">
        <v>11674</v>
      </c>
      <c r="P8" s="51">
        <v>10839</v>
      </c>
      <c r="Q8" s="51">
        <f t="shared" si="0"/>
        <v>45903</v>
      </c>
    </row>
    <row r="9" spans="11:17">
      <c r="K9" s="52">
        <v>4546</v>
      </c>
      <c r="L9" s="52" t="s">
        <v>102</v>
      </c>
      <c r="M9" s="51">
        <v>9885</v>
      </c>
      <c r="N9" s="51">
        <v>10028</v>
      </c>
      <c r="O9" s="51">
        <v>10474</v>
      </c>
      <c r="P9" s="51">
        <v>11968</v>
      </c>
      <c r="Q9" s="51">
        <f t="shared" si="0"/>
        <v>42355</v>
      </c>
    </row>
    <row r="10" spans="11:17">
      <c r="K10" s="52">
        <v>8596</v>
      </c>
      <c r="L10" s="52" t="s">
        <v>100</v>
      </c>
      <c r="M10" s="51">
        <v>11292</v>
      </c>
      <c r="N10" s="51">
        <v>9667</v>
      </c>
      <c r="O10" s="51">
        <v>9558</v>
      </c>
      <c r="P10" s="51">
        <v>9760</v>
      </c>
      <c r="Q10" s="51">
        <f t="shared" si="0"/>
        <v>40277</v>
      </c>
    </row>
    <row r="11" spans="11:17">
      <c r="K11" s="52">
        <v>9785</v>
      </c>
      <c r="L11" s="52" t="s">
        <v>103</v>
      </c>
      <c r="M11" s="51">
        <v>11415</v>
      </c>
      <c r="N11" s="51">
        <v>9772</v>
      </c>
      <c r="O11" s="51">
        <v>12479</v>
      </c>
      <c r="P11" s="51">
        <v>10208</v>
      </c>
      <c r="Q11" s="51">
        <f t="shared" si="0"/>
        <v>43874</v>
      </c>
    </row>
    <row r="12" spans="11:17">
      <c r="K12" s="52">
        <v>9785</v>
      </c>
      <c r="L12" s="52" t="s">
        <v>103</v>
      </c>
      <c r="M12" s="51">
        <v>10387</v>
      </c>
      <c r="N12" s="51">
        <v>11923</v>
      </c>
      <c r="O12" s="51">
        <v>10810</v>
      </c>
      <c r="P12" s="51">
        <v>10611</v>
      </c>
      <c r="Q12" s="51">
        <f t="shared" si="0"/>
        <v>43731</v>
      </c>
    </row>
    <row r="13" spans="11:17">
      <c r="K13" s="52">
        <v>7784</v>
      </c>
      <c r="L13" s="52" t="s">
        <v>101</v>
      </c>
      <c r="M13" s="51">
        <v>10722</v>
      </c>
      <c r="N13" s="51">
        <v>11970</v>
      </c>
      <c r="O13" s="51">
        <v>12306</v>
      </c>
      <c r="P13" s="51">
        <v>9530</v>
      </c>
      <c r="Q13" s="51">
        <f t="shared" si="0"/>
        <v>44528</v>
      </c>
    </row>
    <row r="14" spans="11:17">
      <c r="K14" s="52" t="s">
        <v>108</v>
      </c>
      <c r="L14" s="52">
        <f>SUBTOTAL(103,Tabela38[Vendedor])</f>
        <v>9</v>
      </c>
      <c r="M14" s="51">
        <f>SUBTOTAL(101,Tabela38[1º Trimestre])</f>
        <v>11046.555555555555</v>
      </c>
      <c r="N14" s="51">
        <f>SUBTOTAL(101,Tabela38[2º Trimestre])</f>
        <v>10887.111111111111</v>
      </c>
      <c r="O14" s="51">
        <f>SUBTOTAL(101,Tabela38[3º Trimestre])</f>
        <v>11140.333333333334</v>
      </c>
      <c r="P14" s="51">
        <f>SUBTOTAL(101,Tabela38[4º Trimestre])</f>
        <v>10560.777777777777</v>
      </c>
      <c r="Q14" s="51">
        <f>SUBTOTAL(109,Tabela38[Total])</f>
        <v>392713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C999-D0E9-4F1F-AB4E-CFF395545E85}">
  <sheetPr>
    <tabColor rgb="FF0070C0"/>
  </sheetPr>
  <dimension ref="K1:Q18"/>
  <sheetViews>
    <sheetView showGridLines="0" workbookViewId="0">
      <selection activeCell="S8" sqref="S8"/>
    </sheetView>
  </sheetViews>
  <sheetFormatPr defaultRowHeight="15"/>
  <cols>
    <col min="9" max="9" width="8.5703125" customWidth="1"/>
    <col min="10" max="10" width="2.28515625" customWidth="1"/>
    <col min="12" max="12" width="18.140625" bestFit="1" customWidth="1"/>
    <col min="13" max="17" width="14.5703125" customWidth="1"/>
  </cols>
  <sheetData>
    <row r="1" spans="11:17">
      <c r="L1" s="434"/>
    </row>
    <row r="8" spans="11:17">
      <c r="K8" s="531" t="s">
        <v>98</v>
      </c>
      <c r="L8" s="531" t="s">
        <v>99</v>
      </c>
      <c r="M8" s="531" t="s">
        <v>104</v>
      </c>
      <c r="N8" s="531" t="s">
        <v>105</v>
      </c>
      <c r="O8" s="531" t="s">
        <v>106</v>
      </c>
      <c r="P8" s="531" t="s">
        <v>107</v>
      </c>
      <c r="Q8" s="531" t="s">
        <v>108</v>
      </c>
    </row>
    <row r="9" spans="11:17" hidden="1">
      <c r="K9" s="532">
        <v>4546</v>
      </c>
      <c r="L9" s="532" t="s">
        <v>102</v>
      </c>
      <c r="M9" s="533">
        <v>11622</v>
      </c>
      <c r="N9" s="533">
        <v>11768</v>
      </c>
      <c r="O9" s="533">
        <v>11674</v>
      </c>
      <c r="P9" s="533">
        <v>10839</v>
      </c>
      <c r="Q9" s="533">
        <f>SUM(M9:P9)</f>
        <v>45903</v>
      </c>
    </row>
    <row r="10" spans="11:17" hidden="1">
      <c r="K10" s="532">
        <v>4546</v>
      </c>
      <c r="L10" s="532" t="s">
        <v>102</v>
      </c>
      <c r="M10" s="533">
        <v>9885</v>
      </c>
      <c r="N10" s="533">
        <v>10028</v>
      </c>
      <c r="O10" s="533">
        <v>10474</v>
      </c>
      <c r="P10" s="533">
        <v>11968</v>
      </c>
      <c r="Q10" s="533">
        <f t="shared" ref="Q10:Q18" si="0">SUM(M10:P10)</f>
        <v>42355</v>
      </c>
    </row>
    <row r="11" spans="11:17" hidden="1">
      <c r="K11" s="532">
        <v>7784</v>
      </c>
      <c r="L11" s="532" t="s">
        <v>101</v>
      </c>
      <c r="M11" s="533">
        <v>10220</v>
      </c>
      <c r="N11" s="533">
        <v>11380</v>
      </c>
      <c r="O11" s="533">
        <v>11007</v>
      </c>
      <c r="P11" s="533">
        <v>9728</v>
      </c>
      <c r="Q11" s="533">
        <f t="shared" si="0"/>
        <v>42335</v>
      </c>
    </row>
    <row r="12" spans="11:17" hidden="1">
      <c r="K12" s="532">
        <v>7784</v>
      </c>
      <c r="L12" s="532" t="s">
        <v>101</v>
      </c>
      <c r="M12" s="533">
        <v>10722</v>
      </c>
      <c r="N12" s="533">
        <v>11970</v>
      </c>
      <c r="O12" s="533">
        <v>12306</v>
      </c>
      <c r="P12" s="533">
        <v>9530</v>
      </c>
      <c r="Q12" s="533">
        <f t="shared" si="0"/>
        <v>44528</v>
      </c>
    </row>
    <row r="13" spans="11:17" hidden="1">
      <c r="K13" s="532">
        <v>8596</v>
      </c>
      <c r="L13" s="532" t="s">
        <v>100</v>
      </c>
      <c r="M13" s="533">
        <v>11949</v>
      </c>
      <c r="N13" s="533">
        <v>11912</v>
      </c>
      <c r="O13" s="533">
        <v>10289</v>
      </c>
      <c r="P13" s="533">
        <v>12007</v>
      </c>
      <c r="Q13" s="533">
        <f t="shared" si="0"/>
        <v>46157</v>
      </c>
    </row>
    <row r="14" spans="11:17" hidden="1">
      <c r="K14" s="532">
        <v>8596</v>
      </c>
      <c r="L14" s="532" t="s">
        <v>100</v>
      </c>
      <c r="M14" s="533">
        <v>11927</v>
      </c>
      <c r="N14" s="533">
        <v>9564</v>
      </c>
      <c r="O14" s="533">
        <v>11666</v>
      </c>
      <c r="P14" s="533">
        <v>10396</v>
      </c>
      <c r="Q14" s="533">
        <f t="shared" si="0"/>
        <v>43553</v>
      </c>
    </row>
    <row r="15" spans="11:17" hidden="1">
      <c r="K15" s="532">
        <v>8596</v>
      </c>
      <c r="L15" s="532" t="s">
        <v>100</v>
      </c>
      <c r="M15" s="533">
        <v>11292</v>
      </c>
      <c r="N15" s="533">
        <v>9667</v>
      </c>
      <c r="O15" s="533">
        <v>9558</v>
      </c>
      <c r="P15" s="533">
        <v>9760</v>
      </c>
      <c r="Q15" s="533">
        <f t="shared" si="0"/>
        <v>40277</v>
      </c>
    </row>
    <row r="16" spans="11:17">
      <c r="K16" s="532">
        <v>9785</v>
      </c>
      <c r="L16" s="532" t="s">
        <v>103</v>
      </c>
      <c r="M16" s="533">
        <v>11415</v>
      </c>
      <c r="N16" s="533">
        <v>9772</v>
      </c>
      <c r="O16" s="533">
        <v>12479</v>
      </c>
      <c r="P16" s="533">
        <v>10208</v>
      </c>
      <c r="Q16" s="533">
        <f t="shared" si="0"/>
        <v>43874</v>
      </c>
    </row>
    <row r="17" spans="11:17">
      <c r="K17" s="532">
        <v>9785</v>
      </c>
      <c r="L17" s="532" t="s">
        <v>103</v>
      </c>
      <c r="M17" s="533">
        <v>10387</v>
      </c>
      <c r="N17" s="533">
        <v>11923</v>
      </c>
      <c r="O17" s="533">
        <v>10810</v>
      </c>
      <c r="P17" s="533">
        <v>10611</v>
      </c>
      <c r="Q17" s="533">
        <f t="shared" si="0"/>
        <v>43731</v>
      </c>
    </row>
    <row r="18" spans="11:17" hidden="1">
      <c r="K18" s="532">
        <v>100</v>
      </c>
      <c r="L18" s="532" t="s">
        <v>1076</v>
      </c>
      <c r="M18" s="533">
        <v>10330</v>
      </c>
      <c r="N18" s="533">
        <v>11923</v>
      </c>
      <c r="O18" s="533">
        <v>1800</v>
      </c>
      <c r="P18" s="533">
        <v>7000</v>
      </c>
      <c r="Q18" s="533">
        <f t="shared" si="0"/>
        <v>31053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K4:Q13"/>
  <sheetViews>
    <sheetView zoomScaleNormal="100" workbookViewId="0">
      <selection activeCell="K4" sqref="K4:Q13"/>
    </sheetView>
  </sheetViews>
  <sheetFormatPr defaultRowHeight="15"/>
  <cols>
    <col min="9" max="9" width="8.5703125" customWidth="1"/>
    <col min="10" max="10" width="2.28515625" customWidth="1"/>
    <col min="12" max="12" width="18.140625" bestFit="1" customWidth="1"/>
    <col min="13" max="17" width="14.5703125" customWidth="1"/>
  </cols>
  <sheetData>
    <row r="4" spans="11:17">
      <c r="K4" s="279" t="s">
        <v>98</v>
      </c>
      <c r="L4" s="279" t="s">
        <v>99</v>
      </c>
      <c r="M4" s="279" t="s">
        <v>104</v>
      </c>
      <c r="N4" s="279" t="s">
        <v>105</v>
      </c>
      <c r="O4" s="279" t="s">
        <v>106</v>
      </c>
      <c r="P4" s="279" t="s">
        <v>107</v>
      </c>
      <c r="Q4" s="279" t="s">
        <v>108</v>
      </c>
    </row>
    <row r="5" spans="11:17">
      <c r="K5" s="280">
        <v>8596</v>
      </c>
      <c r="L5" s="280" t="s">
        <v>100</v>
      </c>
      <c r="M5" s="281">
        <v>11949</v>
      </c>
      <c r="N5" s="281">
        <v>11912</v>
      </c>
      <c r="O5" s="281">
        <v>10289</v>
      </c>
      <c r="P5" s="281">
        <v>12007</v>
      </c>
      <c r="Q5" s="281">
        <f>SUM(M5:P5)</f>
        <v>46157</v>
      </c>
    </row>
    <row r="6" spans="11:17">
      <c r="K6" s="280">
        <v>7784</v>
      </c>
      <c r="L6" s="280" t="s">
        <v>101</v>
      </c>
      <c r="M6" s="281">
        <v>10220</v>
      </c>
      <c r="N6" s="281">
        <v>11380</v>
      </c>
      <c r="O6" s="281">
        <v>11007</v>
      </c>
      <c r="P6" s="281">
        <v>9728</v>
      </c>
      <c r="Q6" s="281">
        <f t="shared" ref="Q6:Q13" si="0">SUM(M6:P6)</f>
        <v>42335</v>
      </c>
    </row>
    <row r="7" spans="11:17">
      <c r="K7" s="280">
        <v>8596</v>
      </c>
      <c r="L7" s="280" t="s">
        <v>100</v>
      </c>
      <c r="M7" s="281">
        <v>11927</v>
      </c>
      <c r="N7" s="281">
        <v>9564</v>
      </c>
      <c r="O7" s="281">
        <v>11666</v>
      </c>
      <c r="P7" s="281">
        <v>10396</v>
      </c>
      <c r="Q7" s="281">
        <f t="shared" si="0"/>
        <v>43553</v>
      </c>
    </row>
    <row r="8" spans="11:17">
      <c r="K8" s="280">
        <v>4546</v>
      </c>
      <c r="L8" s="280" t="s">
        <v>102</v>
      </c>
      <c r="M8" s="281">
        <v>11622</v>
      </c>
      <c r="N8" s="281">
        <v>11768</v>
      </c>
      <c r="O8" s="281">
        <v>11674</v>
      </c>
      <c r="P8" s="281">
        <v>10839</v>
      </c>
      <c r="Q8" s="281">
        <f t="shared" si="0"/>
        <v>45903</v>
      </c>
    </row>
    <row r="9" spans="11:17">
      <c r="K9" s="280">
        <v>7784</v>
      </c>
      <c r="L9" s="280" t="s">
        <v>101</v>
      </c>
      <c r="M9" s="281">
        <v>10722</v>
      </c>
      <c r="N9" s="281">
        <v>11970</v>
      </c>
      <c r="O9" s="281">
        <v>12306</v>
      </c>
      <c r="P9" s="281">
        <v>9530</v>
      </c>
      <c r="Q9" s="281">
        <f t="shared" si="0"/>
        <v>44528</v>
      </c>
    </row>
    <row r="10" spans="11:17">
      <c r="K10" s="280">
        <v>4546</v>
      </c>
      <c r="L10" s="280" t="s">
        <v>102</v>
      </c>
      <c r="M10" s="281">
        <v>9885</v>
      </c>
      <c r="N10" s="281">
        <v>10028</v>
      </c>
      <c r="O10" s="281">
        <v>10474</v>
      </c>
      <c r="P10" s="281">
        <v>11968</v>
      </c>
      <c r="Q10" s="281">
        <f t="shared" si="0"/>
        <v>42355</v>
      </c>
    </row>
    <row r="11" spans="11:17">
      <c r="K11" s="280">
        <v>8596</v>
      </c>
      <c r="L11" s="280" t="s">
        <v>100</v>
      </c>
      <c r="M11" s="281">
        <v>11292</v>
      </c>
      <c r="N11" s="281">
        <v>9667</v>
      </c>
      <c r="O11" s="281">
        <v>9558</v>
      </c>
      <c r="P11" s="281">
        <v>9760</v>
      </c>
      <c r="Q11" s="281">
        <f t="shared" si="0"/>
        <v>40277</v>
      </c>
    </row>
    <row r="12" spans="11:17">
      <c r="K12" s="280">
        <v>9785</v>
      </c>
      <c r="L12" s="280" t="s">
        <v>103</v>
      </c>
      <c r="M12" s="281">
        <v>11415</v>
      </c>
      <c r="N12" s="281">
        <v>9772</v>
      </c>
      <c r="O12" s="281">
        <v>12479</v>
      </c>
      <c r="P12" s="281">
        <v>10208</v>
      </c>
      <c r="Q12" s="281">
        <f t="shared" si="0"/>
        <v>43874</v>
      </c>
    </row>
    <row r="13" spans="11:17">
      <c r="K13" s="280">
        <v>9785</v>
      </c>
      <c r="L13" s="280" t="s">
        <v>103</v>
      </c>
      <c r="M13" s="281">
        <v>10387</v>
      </c>
      <c r="N13" s="281">
        <v>11923</v>
      </c>
      <c r="O13" s="281">
        <v>10810</v>
      </c>
      <c r="P13" s="281">
        <v>10611</v>
      </c>
      <c r="Q13" s="281">
        <f t="shared" si="0"/>
        <v>43731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B7406"/>
  </sheetPr>
  <dimension ref="A1"/>
  <sheetViews>
    <sheetView showGridLines="0" zoomScale="98" zoomScaleNormal="98" workbookViewId="0">
      <selection activeCell="A2" sqref="A2"/>
    </sheetView>
  </sheetViews>
  <sheetFormatPr defaultRowHeight="15"/>
  <cols>
    <col min="10" max="10" width="9.140625" customWidth="1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B7406"/>
  </sheetPr>
  <dimension ref="A1:T39"/>
  <sheetViews>
    <sheetView showGridLines="0" zoomScaleNormal="100" workbookViewId="0">
      <selection activeCell="P27" sqref="P27"/>
    </sheetView>
  </sheetViews>
  <sheetFormatPr defaultRowHeight="15"/>
  <cols>
    <col min="1" max="1" width="35.7109375" style="498" customWidth="1"/>
    <col min="2" max="2" width="1.28515625" style="534" customWidth="1"/>
    <col min="3" max="3" width="3.85546875" customWidth="1"/>
    <col min="4" max="4" width="12.140625" customWidth="1"/>
    <col min="5" max="5" width="15.85546875" customWidth="1"/>
    <col min="6" max="6" width="27.5703125" bestFit="1" customWidth="1"/>
    <col min="7" max="7" width="13.5703125" customWidth="1"/>
    <col min="8" max="8" width="11.85546875" customWidth="1"/>
    <col min="9" max="9" width="19.7109375" customWidth="1"/>
    <col min="10" max="10" width="15.85546875" customWidth="1"/>
    <col min="11" max="11" width="13" style="535" customWidth="1"/>
    <col min="12" max="12" width="12.7109375" style="535" customWidth="1"/>
  </cols>
  <sheetData>
    <row r="1" spans="2:20" s="498" customFormat="1" ht="27.75" customHeight="1">
      <c r="B1" s="534"/>
      <c r="D1" s="696" t="s">
        <v>1089</v>
      </c>
      <c r="E1" s="696"/>
      <c r="F1" s="696"/>
      <c r="G1" s="696"/>
      <c r="H1" s="696"/>
      <c r="I1" s="696"/>
      <c r="J1" s="696"/>
      <c r="K1" s="696"/>
      <c r="L1" s="696"/>
      <c r="M1" s="696"/>
      <c r="N1" s="696"/>
      <c r="O1" s="696"/>
      <c r="P1" s="696"/>
      <c r="Q1" s="696"/>
      <c r="R1" s="696"/>
      <c r="S1" s="696"/>
      <c r="T1" s="696"/>
    </row>
    <row r="14" spans="2:20">
      <c r="R14" s="544"/>
    </row>
    <row r="15" spans="2:20">
      <c r="R15" s="544"/>
    </row>
    <row r="16" spans="2:20">
      <c r="R16" s="544"/>
    </row>
    <row r="17" spans="4:18">
      <c r="R17" s="544"/>
    </row>
    <row r="18" spans="4:18">
      <c r="R18" s="544"/>
    </row>
    <row r="19" spans="4:18">
      <c r="R19" s="544"/>
    </row>
    <row r="20" spans="4:18">
      <c r="D20" s="540" t="s">
        <v>109</v>
      </c>
      <c r="E20" s="541" t="s">
        <v>110</v>
      </c>
      <c r="F20" s="541" t="s">
        <v>111</v>
      </c>
      <c r="G20" s="541" t="s">
        <v>112</v>
      </c>
      <c r="H20" s="541" t="s">
        <v>113</v>
      </c>
      <c r="I20" s="541" t="s">
        <v>114</v>
      </c>
      <c r="J20" s="541" t="s">
        <v>115</v>
      </c>
      <c r="K20" s="542" t="s">
        <v>116</v>
      </c>
      <c r="L20" s="543" t="s">
        <v>117</v>
      </c>
      <c r="R20" s="544"/>
    </row>
    <row r="21" spans="4:18">
      <c r="D21" s="545">
        <v>3826</v>
      </c>
      <c r="E21" s="546">
        <v>45392</v>
      </c>
      <c r="F21" s="547" t="s">
        <v>131</v>
      </c>
      <c r="G21" s="547">
        <v>4</v>
      </c>
      <c r="H21" s="547" t="s">
        <v>118</v>
      </c>
      <c r="I21" s="547" t="s">
        <v>121</v>
      </c>
      <c r="J21" s="547">
        <v>8</v>
      </c>
      <c r="K21" s="548">
        <v>4058</v>
      </c>
      <c r="L21" s="549">
        <v>202.9</v>
      </c>
    </row>
    <row r="22" spans="4:18">
      <c r="D22" s="545">
        <v>2413</v>
      </c>
      <c r="E22" s="546">
        <v>45392</v>
      </c>
      <c r="F22" s="547" t="s">
        <v>131</v>
      </c>
      <c r="G22" s="547">
        <v>2</v>
      </c>
      <c r="H22" s="547" t="s">
        <v>119</v>
      </c>
      <c r="I22" s="547" t="s">
        <v>122</v>
      </c>
      <c r="J22" s="547">
        <v>4</v>
      </c>
      <c r="K22" s="548">
        <v>3961</v>
      </c>
      <c r="L22" s="549">
        <v>198.05</v>
      </c>
    </row>
    <row r="23" spans="4:18">
      <c r="D23" s="545">
        <v>4922</v>
      </c>
      <c r="E23" s="546">
        <v>45392</v>
      </c>
      <c r="F23" s="550" t="s">
        <v>134</v>
      </c>
      <c r="G23" s="547">
        <v>6</v>
      </c>
      <c r="H23" s="547" t="s">
        <v>120</v>
      </c>
      <c r="I23" s="547" t="s">
        <v>123</v>
      </c>
      <c r="J23" s="547">
        <v>4</v>
      </c>
      <c r="K23" s="548">
        <v>1331</v>
      </c>
      <c r="L23" s="549">
        <v>39.93</v>
      </c>
    </row>
    <row r="24" spans="4:18">
      <c r="D24" s="545">
        <v>8383</v>
      </c>
      <c r="E24" s="546">
        <v>45392</v>
      </c>
      <c r="F24" s="550" t="s">
        <v>134</v>
      </c>
      <c r="G24" s="547">
        <v>6</v>
      </c>
      <c r="H24" s="547" t="s">
        <v>119</v>
      </c>
      <c r="I24" s="547" t="s">
        <v>124</v>
      </c>
      <c r="J24" s="547">
        <v>11</v>
      </c>
      <c r="K24" s="548">
        <v>1253</v>
      </c>
      <c r="L24" s="549">
        <v>37.589999999999996</v>
      </c>
    </row>
    <row r="25" spans="4:18">
      <c r="D25" s="545">
        <v>4063</v>
      </c>
      <c r="E25" s="546">
        <v>45393</v>
      </c>
      <c r="F25" s="550" t="s">
        <v>132</v>
      </c>
      <c r="G25" s="547">
        <v>8</v>
      </c>
      <c r="H25" s="547" t="s">
        <v>118</v>
      </c>
      <c r="I25" s="547" t="s">
        <v>125</v>
      </c>
      <c r="J25" s="547">
        <v>11</v>
      </c>
      <c r="K25" s="548">
        <v>895</v>
      </c>
      <c r="L25" s="549">
        <v>17.900000000000002</v>
      </c>
    </row>
    <row r="26" spans="4:18">
      <c r="D26" s="545">
        <v>6201</v>
      </c>
      <c r="E26" s="546">
        <v>45394</v>
      </c>
      <c r="F26" s="550" t="s">
        <v>132</v>
      </c>
      <c r="G26" s="547">
        <v>3</v>
      </c>
      <c r="H26" s="547" t="s">
        <v>118</v>
      </c>
      <c r="I26" s="547" t="s">
        <v>121</v>
      </c>
      <c r="J26" s="547">
        <v>3</v>
      </c>
      <c r="K26" s="548">
        <v>4395</v>
      </c>
      <c r="L26" s="549">
        <v>219.75</v>
      </c>
    </row>
    <row r="27" spans="4:18">
      <c r="D27" s="545">
        <v>9191</v>
      </c>
      <c r="E27" s="546">
        <v>45395</v>
      </c>
      <c r="F27" s="550" t="s">
        <v>132</v>
      </c>
      <c r="G27" s="547">
        <v>1</v>
      </c>
      <c r="H27" s="547" t="s">
        <v>118</v>
      </c>
      <c r="I27" s="547" t="s">
        <v>126</v>
      </c>
      <c r="J27" s="547">
        <v>7</v>
      </c>
      <c r="K27" s="548">
        <v>3265</v>
      </c>
      <c r="L27" s="549">
        <v>163.25</v>
      </c>
    </row>
    <row r="28" spans="4:18">
      <c r="D28" s="545">
        <v>3561</v>
      </c>
      <c r="E28" s="546">
        <v>45396</v>
      </c>
      <c r="F28" s="550" t="s">
        <v>132</v>
      </c>
      <c r="G28" s="547">
        <v>8</v>
      </c>
      <c r="H28" s="547" t="s">
        <v>119</v>
      </c>
      <c r="I28" s="547" t="s">
        <v>124</v>
      </c>
      <c r="J28" s="547">
        <v>5</v>
      </c>
      <c r="K28" s="548">
        <v>3707</v>
      </c>
      <c r="L28" s="549">
        <v>185.35000000000002</v>
      </c>
    </row>
    <row r="29" spans="4:18">
      <c r="D29" s="545">
        <v>5736</v>
      </c>
      <c r="E29" s="546">
        <v>45396</v>
      </c>
      <c r="F29" s="550" t="s">
        <v>134</v>
      </c>
      <c r="G29" s="547">
        <v>8</v>
      </c>
      <c r="H29" s="547" t="s">
        <v>119</v>
      </c>
      <c r="I29" s="547" t="s">
        <v>124</v>
      </c>
      <c r="J29" s="547">
        <v>1</v>
      </c>
      <c r="K29" s="548">
        <v>3858</v>
      </c>
      <c r="L29" s="549">
        <v>192.9</v>
      </c>
    </row>
    <row r="30" spans="4:18">
      <c r="D30" s="545">
        <v>2462</v>
      </c>
      <c r="E30" s="546">
        <v>45396</v>
      </c>
      <c r="F30" s="550" t="s">
        <v>133</v>
      </c>
      <c r="G30" s="547">
        <v>2</v>
      </c>
      <c r="H30" s="547" t="s">
        <v>120</v>
      </c>
      <c r="I30" s="547" t="s">
        <v>127</v>
      </c>
      <c r="J30" s="547">
        <v>9</v>
      </c>
      <c r="K30" s="548">
        <v>3472</v>
      </c>
      <c r="L30" s="549">
        <v>173.60000000000002</v>
      </c>
    </row>
    <row r="31" spans="4:18">
      <c r="D31" s="545">
        <v>9285</v>
      </c>
      <c r="E31" s="546">
        <v>45397</v>
      </c>
      <c r="F31" s="547" t="s">
        <v>131</v>
      </c>
      <c r="G31" s="547">
        <v>7</v>
      </c>
      <c r="H31" s="547" t="s">
        <v>120</v>
      </c>
      <c r="I31" s="547" t="s">
        <v>128</v>
      </c>
      <c r="J31" s="547">
        <v>11</v>
      </c>
      <c r="K31" s="548">
        <v>2632</v>
      </c>
      <c r="L31" s="549">
        <v>78.959999999999994</v>
      </c>
    </row>
    <row r="32" spans="4:18">
      <c r="D32" s="545">
        <v>3835</v>
      </c>
      <c r="E32" s="546">
        <v>45398</v>
      </c>
      <c r="F32" s="547" t="s">
        <v>131</v>
      </c>
      <c r="G32" s="547">
        <v>8</v>
      </c>
      <c r="H32" s="547" t="s">
        <v>120</v>
      </c>
      <c r="I32" s="547" t="s">
        <v>123</v>
      </c>
      <c r="J32" s="547">
        <v>4</v>
      </c>
      <c r="K32" s="548">
        <v>3272</v>
      </c>
      <c r="L32" s="549">
        <v>163.60000000000002</v>
      </c>
    </row>
    <row r="33" spans="4:12">
      <c r="D33" s="545">
        <v>7790</v>
      </c>
      <c r="E33" s="546">
        <v>45399</v>
      </c>
      <c r="F33" s="547" t="s">
        <v>131</v>
      </c>
      <c r="G33" s="547">
        <v>4</v>
      </c>
      <c r="H33" s="547" t="s">
        <v>118</v>
      </c>
      <c r="I33" s="547" t="s">
        <v>125</v>
      </c>
      <c r="J33" s="547">
        <v>4</v>
      </c>
      <c r="K33" s="548">
        <v>755</v>
      </c>
      <c r="L33" s="549">
        <v>15.1</v>
      </c>
    </row>
    <row r="34" spans="4:12">
      <c r="D34" s="545">
        <v>9497</v>
      </c>
      <c r="E34" s="546">
        <v>45399</v>
      </c>
      <c r="F34" s="550" t="s">
        <v>133</v>
      </c>
      <c r="G34" s="547">
        <v>3</v>
      </c>
      <c r="H34" s="547" t="s">
        <v>120</v>
      </c>
      <c r="I34" s="547" t="s">
        <v>127</v>
      </c>
      <c r="J34" s="547">
        <v>6</v>
      </c>
      <c r="K34" s="548">
        <v>2377</v>
      </c>
      <c r="L34" s="549">
        <v>71.31</v>
      </c>
    </row>
    <row r="35" spans="4:12">
      <c r="D35" s="545">
        <v>6813</v>
      </c>
      <c r="E35" s="546">
        <v>45399</v>
      </c>
      <c r="F35" s="550" t="s">
        <v>133</v>
      </c>
      <c r="G35" s="547">
        <v>1</v>
      </c>
      <c r="H35" s="547" t="s">
        <v>119</v>
      </c>
      <c r="I35" s="547" t="s">
        <v>124</v>
      </c>
      <c r="J35" s="547">
        <v>4</v>
      </c>
      <c r="K35" s="548">
        <v>3972</v>
      </c>
      <c r="L35" s="549">
        <v>198.60000000000002</v>
      </c>
    </row>
    <row r="36" spans="4:12">
      <c r="D36" s="545">
        <v>8894</v>
      </c>
      <c r="E36" s="546">
        <v>45399</v>
      </c>
      <c r="F36" s="550" t="s">
        <v>133</v>
      </c>
      <c r="G36" s="547">
        <v>5</v>
      </c>
      <c r="H36" s="547" t="s">
        <v>119</v>
      </c>
      <c r="I36" s="547" t="s">
        <v>129</v>
      </c>
      <c r="J36" s="547">
        <v>7</v>
      </c>
      <c r="K36" s="548">
        <v>3995</v>
      </c>
      <c r="L36" s="549">
        <v>199.75</v>
      </c>
    </row>
    <row r="37" spans="4:12">
      <c r="D37" s="545">
        <v>6385</v>
      </c>
      <c r="E37" s="546">
        <v>45399</v>
      </c>
      <c r="F37" s="550" t="s">
        <v>133</v>
      </c>
      <c r="G37" s="547">
        <v>6</v>
      </c>
      <c r="H37" s="547" t="s">
        <v>118</v>
      </c>
      <c r="I37" s="547" t="s">
        <v>125</v>
      </c>
      <c r="J37" s="547">
        <v>9</v>
      </c>
      <c r="K37" s="548">
        <v>3473</v>
      </c>
      <c r="L37" s="549">
        <v>173.65</v>
      </c>
    </row>
    <row r="38" spans="4:12">
      <c r="D38" s="551">
        <v>2733</v>
      </c>
      <c r="E38" s="552">
        <v>45399</v>
      </c>
      <c r="F38" s="553" t="s">
        <v>133</v>
      </c>
      <c r="G38" s="554">
        <v>7</v>
      </c>
      <c r="H38" s="554" t="s">
        <v>120</v>
      </c>
      <c r="I38" s="554" t="s">
        <v>130</v>
      </c>
      <c r="J38" s="554">
        <v>6</v>
      </c>
      <c r="K38" s="555">
        <v>4243</v>
      </c>
      <c r="L38" s="556">
        <v>212.15</v>
      </c>
    </row>
    <row r="39" spans="4:12">
      <c r="D39" s="536" t="s">
        <v>108</v>
      </c>
      <c r="E39" s="537"/>
      <c r="F39" s="538"/>
      <c r="G39" s="539"/>
      <c r="H39" s="539"/>
      <c r="I39" s="539"/>
      <c r="J39" s="539"/>
      <c r="K39" s="612"/>
      <c r="L39" s="613">
        <f>SUBTOTAL(109,Tabela30[Comissões])</f>
        <v>2544.34</v>
      </c>
    </row>
  </sheetData>
  <mergeCells count="1">
    <mergeCell ref="D1:T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/>
  </sheetPr>
  <dimension ref="A1"/>
  <sheetViews>
    <sheetView showGridLines="0" showRowColHeaders="0" zoomScaleNormal="100" workbookViewId="0">
      <selection activeCell="D23" sqref="D23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7"/>
  </sheetPr>
  <dimension ref="A1:J86"/>
  <sheetViews>
    <sheetView showGridLines="0" topLeftCell="A15" zoomScale="90" zoomScaleNormal="90" workbookViewId="0">
      <selection activeCell="F22" sqref="F22"/>
    </sheetView>
  </sheetViews>
  <sheetFormatPr defaultColWidth="9.140625" defaultRowHeight="15"/>
  <cols>
    <col min="1" max="1" width="12.7109375" style="76" customWidth="1"/>
    <col min="2" max="2" width="82.85546875" style="77" customWidth="1"/>
    <col min="3" max="3" width="15.7109375" style="77" bestFit="1" customWidth="1"/>
    <col min="4" max="4" width="2.28515625" style="77" customWidth="1"/>
    <col min="5" max="5" width="18" style="77" bestFit="1" customWidth="1"/>
    <col min="6" max="6" width="15.7109375" style="77" customWidth="1"/>
    <col min="7" max="7" width="13.28515625" style="77" customWidth="1"/>
    <col min="8" max="10" width="9.140625" style="77"/>
    <col min="11" max="11" width="9.140625" style="77" customWidth="1"/>
    <col min="12" max="16384" width="9.140625" style="77"/>
  </cols>
  <sheetData>
    <row r="1" spans="1:7" ht="60" customHeight="1">
      <c r="A1" s="76" t="s">
        <v>262</v>
      </c>
      <c r="C1" s="78"/>
      <c r="D1" s="79"/>
      <c r="E1" s="79"/>
      <c r="F1" s="79"/>
    </row>
    <row r="2" spans="1:7" ht="15.75" thickBot="1">
      <c r="A2" s="76" t="s">
        <v>263</v>
      </c>
      <c r="C2" s="80" t="s">
        <v>264</v>
      </c>
      <c r="E2" s="81" t="s">
        <v>265</v>
      </c>
      <c r="F2" s="82" t="s">
        <v>266</v>
      </c>
      <c r="G2" s="82" t="s">
        <v>267</v>
      </c>
    </row>
    <row r="3" spans="1:7" ht="16.5" customHeight="1" thickTop="1" thickBot="1">
      <c r="A3" s="83" t="s">
        <v>268</v>
      </c>
      <c r="C3" s="84">
        <v>8</v>
      </c>
      <c r="E3" s="85" t="s">
        <v>269</v>
      </c>
      <c r="F3" s="86"/>
      <c r="G3" s="87">
        <f>C3+C4</f>
        <v>10</v>
      </c>
    </row>
    <row r="4" spans="1:7" ht="16.5" thickTop="1" thickBot="1">
      <c r="A4" s="76" t="s">
        <v>270</v>
      </c>
      <c r="C4" s="84">
        <v>2</v>
      </c>
      <c r="E4" s="85" t="s">
        <v>271</v>
      </c>
      <c r="F4" s="86"/>
      <c r="G4" s="87">
        <f>C3-C4</f>
        <v>6</v>
      </c>
    </row>
    <row r="5" spans="1:7" ht="15.75" thickTop="1">
      <c r="A5" s="76" t="s">
        <v>272</v>
      </c>
      <c r="E5" s="85" t="s">
        <v>273</v>
      </c>
      <c r="F5" s="86"/>
      <c r="G5" s="87">
        <f>C3*C4</f>
        <v>16</v>
      </c>
    </row>
    <row r="6" spans="1:7" ht="15" customHeight="1" thickBot="1">
      <c r="A6" s="83" t="s">
        <v>274</v>
      </c>
      <c r="E6" s="85" t="s">
        <v>275</v>
      </c>
      <c r="F6" s="86"/>
      <c r="G6" s="87">
        <f>C3/C4</f>
        <v>4</v>
      </c>
    </row>
    <row r="7" spans="1:7" ht="15" customHeight="1" thickTop="1" thickBot="1">
      <c r="A7" s="76" t="s">
        <v>276</v>
      </c>
      <c r="E7" s="85" t="s">
        <v>277</v>
      </c>
      <c r="F7" s="88"/>
      <c r="G7" s="87">
        <f>C3^C4</f>
        <v>64</v>
      </c>
    </row>
    <row r="8" spans="1:7" ht="15.75" thickTop="1">
      <c r="A8" s="76" t="s">
        <v>278</v>
      </c>
    </row>
    <row r="9" spans="1:7">
      <c r="A9" s="76" t="s">
        <v>279</v>
      </c>
    </row>
    <row r="10" spans="1:7">
      <c r="A10" s="76" t="s">
        <v>280</v>
      </c>
    </row>
    <row r="11" spans="1:7">
      <c r="A11" s="76" t="s">
        <v>281</v>
      </c>
    </row>
    <row r="12" spans="1:7">
      <c r="A12" s="76" t="s">
        <v>282</v>
      </c>
    </row>
    <row r="13" spans="1:7" ht="15" customHeight="1">
      <c r="A13" s="83" t="s">
        <v>283</v>
      </c>
    </row>
    <row r="14" spans="1:7">
      <c r="A14" s="76" t="s">
        <v>284</v>
      </c>
    </row>
    <row r="15" spans="1:7">
      <c r="A15" s="76" t="s">
        <v>285</v>
      </c>
    </row>
    <row r="16" spans="1:7">
      <c r="A16" s="76" t="s">
        <v>286</v>
      </c>
    </row>
    <row r="17" spans="1:7">
      <c r="A17" s="76" t="s">
        <v>287</v>
      </c>
    </row>
    <row r="18" spans="1:7">
      <c r="A18" s="76" t="s">
        <v>288</v>
      </c>
    </row>
    <row r="19" spans="1:7">
      <c r="A19" s="76" t="s">
        <v>289</v>
      </c>
    </row>
    <row r="20" spans="1:7">
      <c r="A20" s="89" t="s">
        <v>290</v>
      </c>
    </row>
    <row r="21" spans="1:7" ht="15" customHeight="1">
      <c r="A21" s="83" t="s">
        <v>291</v>
      </c>
    </row>
    <row r="22" spans="1:7">
      <c r="A22" s="76" t="s">
        <v>292</v>
      </c>
    </row>
    <row r="23" spans="1:7">
      <c r="A23" s="76" t="s">
        <v>293</v>
      </c>
    </row>
    <row r="24" spans="1:7">
      <c r="A24" s="76" t="s">
        <v>294</v>
      </c>
    </row>
    <row r="25" spans="1:7" ht="33">
      <c r="A25" s="76" t="s">
        <v>295</v>
      </c>
      <c r="C25" s="78"/>
      <c r="D25" s="79"/>
      <c r="E25" s="79"/>
      <c r="F25" s="79"/>
      <c r="G25" s="79"/>
    </row>
    <row r="26" spans="1:7">
      <c r="A26" s="76" t="s">
        <v>296</v>
      </c>
    </row>
    <row r="27" spans="1:7">
      <c r="A27" s="76" t="s">
        <v>297</v>
      </c>
    </row>
    <row r="28" spans="1:7" ht="26.25">
      <c r="A28" s="76" t="s">
        <v>298</v>
      </c>
      <c r="E28" s="90"/>
    </row>
    <row r="29" spans="1:7">
      <c r="A29" s="76" t="s">
        <v>299</v>
      </c>
    </row>
    <row r="40" spans="10:10">
      <c r="J40" s="82" t="s">
        <v>300</v>
      </c>
    </row>
    <row r="41" spans="10:10">
      <c r="J41" s="91">
        <v>4</v>
      </c>
    </row>
    <row r="42" spans="10:10">
      <c r="J42" s="91">
        <v>8</v>
      </c>
    </row>
    <row r="43" spans="10:10">
      <c r="J43" s="92">
        <f>SUM(J41:J42)</f>
        <v>12</v>
      </c>
    </row>
    <row r="64" spans="7:7">
      <c r="G64" s="93"/>
    </row>
    <row r="65" spans="7:7">
      <c r="G65" s="93"/>
    </row>
    <row r="66" spans="7:7">
      <c r="G66" s="93"/>
    </row>
    <row r="67" spans="7:7">
      <c r="G67" s="93"/>
    </row>
    <row r="86" ht="17.45" customHeight="1"/>
  </sheetData>
  <pageMargins left="0.7" right="0.7" top="0.75" bottom="0.75" header="0.3" footer="0.3"/>
  <pageSetup paperSize="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</sheetPr>
  <dimension ref="B1:X28"/>
  <sheetViews>
    <sheetView showGridLines="0" zoomScaleNormal="100" workbookViewId="0">
      <selection activeCell="X28" sqref="S24:X28"/>
    </sheetView>
  </sheetViews>
  <sheetFormatPr defaultRowHeight="15"/>
  <cols>
    <col min="10" max="10" width="3.85546875" customWidth="1"/>
    <col min="11" max="11" width="19.140625" customWidth="1"/>
    <col min="12" max="12" width="12.85546875" customWidth="1"/>
    <col min="13" max="15" width="10.28515625" customWidth="1"/>
    <col min="16" max="16" width="17" bestFit="1" customWidth="1"/>
    <col min="17" max="18" width="3.7109375" customWidth="1"/>
    <col min="19" max="19" width="23.85546875" bestFit="1" customWidth="1"/>
    <col min="20" max="20" width="11.140625" bestFit="1" customWidth="1"/>
    <col min="21" max="23" width="10" customWidth="1"/>
    <col min="24" max="24" width="17" bestFit="1" customWidth="1"/>
  </cols>
  <sheetData>
    <row r="1" spans="2:24" ht="15.75" thickBot="1">
      <c r="B1" s="433"/>
    </row>
    <row r="2" spans="2:24" ht="16.5" thickBot="1">
      <c r="K2" s="706" t="s">
        <v>312</v>
      </c>
      <c r="L2" s="707"/>
      <c r="M2" s="707"/>
      <c r="N2" s="707"/>
      <c r="O2" s="707"/>
      <c r="P2" s="708"/>
      <c r="S2" s="703" t="s">
        <v>311</v>
      </c>
      <c r="T2" s="704"/>
      <c r="U2" s="704"/>
      <c r="V2" s="704"/>
      <c r="W2" s="704"/>
      <c r="X2" s="705"/>
    </row>
    <row r="3" spans="2:24" ht="16.5" thickBot="1">
      <c r="K3" s="706" t="s">
        <v>313</v>
      </c>
      <c r="L3" s="707"/>
      <c r="M3" s="707"/>
      <c r="N3" s="707"/>
      <c r="O3" s="707"/>
      <c r="P3" s="708"/>
      <c r="S3" s="697" t="s">
        <v>313</v>
      </c>
      <c r="T3" s="698"/>
      <c r="U3" s="698"/>
      <c r="V3" s="698"/>
      <c r="W3" s="698"/>
      <c r="X3" s="699"/>
    </row>
    <row r="4" spans="2:24">
      <c r="K4" s="101" t="s">
        <v>301</v>
      </c>
      <c r="L4" s="102" t="s">
        <v>305</v>
      </c>
      <c r="M4" s="102" t="s">
        <v>306</v>
      </c>
      <c r="N4" s="102" t="s">
        <v>307</v>
      </c>
      <c r="O4" s="102" t="s">
        <v>308</v>
      </c>
      <c r="P4" s="103" t="s">
        <v>108</v>
      </c>
      <c r="S4" t="s">
        <v>301</v>
      </c>
      <c r="T4" t="s">
        <v>305</v>
      </c>
      <c r="U4" t="s">
        <v>306</v>
      </c>
      <c r="V4" t="s">
        <v>307</v>
      </c>
      <c r="W4" t="s">
        <v>308</v>
      </c>
      <c r="X4" t="s">
        <v>108</v>
      </c>
    </row>
    <row r="5" spans="2:24">
      <c r="K5" s="104" t="s">
        <v>302</v>
      </c>
      <c r="L5" s="94">
        <v>88729</v>
      </c>
      <c r="M5" s="94">
        <v>67609</v>
      </c>
      <c r="N5" s="94">
        <v>93246</v>
      </c>
      <c r="O5" s="94">
        <v>29953</v>
      </c>
      <c r="P5" s="282">
        <f>SUM(L5:O5)</f>
        <v>279537</v>
      </c>
      <c r="S5" t="s">
        <v>302</v>
      </c>
      <c r="T5" s="51">
        <v>88729</v>
      </c>
      <c r="U5" s="51">
        <v>67609</v>
      </c>
      <c r="V5" s="51">
        <v>93246</v>
      </c>
      <c r="W5" s="51">
        <v>29953</v>
      </c>
      <c r="X5" s="46">
        <f>vendas_2017[[#This Row],[1º Trim.]]+vendas_2017[[#This Row],[2º Trim.]]+vendas_2017[[#This Row],[3º Trim.]]+vendas_2017[[#This Row],[4º Trim.]]</f>
        <v>279537</v>
      </c>
    </row>
    <row r="6" spans="2:24">
      <c r="K6" s="104" t="s">
        <v>303</v>
      </c>
      <c r="L6" s="94">
        <v>1</v>
      </c>
      <c r="M6" s="94">
        <v>1</v>
      </c>
      <c r="N6" s="94">
        <v>1</v>
      </c>
      <c r="O6" s="94">
        <v>1</v>
      </c>
      <c r="P6" s="282">
        <f>SUM(L6:O6)</f>
        <v>4</v>
      </c>
      <c r="S6" t="s">
        <v>303</v>
      </c>
      <c r="T6" s="51">
        <v>46181</v>
      </c>
      <c r="U6" s="51">
        <v>79770</v>
      </c>
      <c r="V6" s="51">
        <v>21976</v>
      </c>
      <c r="W6" s="51">
        <v>80987</v>
      </c>
      <c r="X6" s="46">
        <f>vendas_2017[[#This Row],[1º Trim.]]+vendas_2017[[#This Row],[2º Trim.]]+vendas_2017[[#This Row],[3º Trim.]]+vendas_2017[[#This Row],[4º Trim.]]</f>
        <v>228914</v>
      </c>
    </row>
    <row r="7" spans="2:24">
      <c r="K7" s="104" t="s">
        <v>304</v>
      </c>
      <c r="L7" s="94">
        <v>95107</v>
      </c>
      <c r="M7" s="94">
        <v>90574</v>
      </c>
      <c r="N7" s="94">
        <v>34058</v>
      </c>
      <c r="O7" s="94">
        <v>75432</v>
      </c>
      <c r="P7" s="282">
        <f t="shared" ref="P7:P8" si="0">SUM(L3:O7)</f>
        <v>574712</v>
      </c>
      <c r="S7" t="s">
        <v>304</v>
      </c>
      <c r="T7" s="51">
        <v>95107</v>
      </c>
      <c r="U7" s="51">
        <v>90574</v>
      </c>
      <c r="V7" s="51">
        <v>34058</v>
      </c>
      <c r="W7" s="51">
        <v>75432</v>
      </c>
      <c r="X7" s="46">
        <f>vendas_2017[[#This Row],[1º Trim.]]+vendas_2017[[#This Row],[2º Trim.]]+vendas_2017[[#This Row],[3º Trim.]]+vendas_2017[[#This Row],[4º Trim.]]</f>
        <v>295171</v>
      </c>
    </row>
    <row r="8" spans="2:24">
      <c r="K8" s="104" t="s">
        <v>309</v>
      </c>
      <c r="L8" s="94">
        <v>37209</v>
      </c>
      <c r="M8" s="94">
        <v>72958</v>
      </c>
      <c r="N8" s="94">
        <v>80278</v>
      </c>
      <c r="O8" s="94">
        <v>63954</v>
      </c>
      <c r="P8" s="282">
        <f t="shared" si="0"/>
        <v>829111</v>
      </c>
      <c r="S8" t="s">
        <v>309</v>
      </c>
      <c r="T8" s="51">
        <v>37209</v>
      </c>
      <c r="U8" s="51">
        <v>72958</v>
      </c>
      <c r="V8" s="51">
        <v>80278</v>
      </c>
      <c r="W8" s="51">
        <v>63954</v>
      </c>
      <c r="X8" s="46">
        <f>vendas_2017[[#This Row],[1º Trim.]]+vendas_2017[[#This Row],[2º Trim.]]+vendas_2017[[#This Row],[3º Trim.]]+vendas_2017[[#This Row],[4º Trim.]]</f>
        <v>254399</v>
      </c>
    </row>
    <row r="9" spans="2:24" ht="15.75" thickBot="1">
      <c r="K9" s="105" t="s">
        <v>310</v>
      </c>
      <c r="L9" s="106">
        <v>88342</v>
      </c>
      <c r="M9" s="106">
        <v>96535</v>
      </c>
      <c r="N9" s="106">
        <v>40843</v>
      </c>
      <c r="O9" s="106">
        <v>82453</v>
      </c>
      <c r="P9" s="282">
        <f>SUM(L5:O9)</f>
        <v>1137284</v>
      </c>
      <c r="S9" t="s">
        <v>310</v>
      </c>
      <c r="T9" s="51">
        <v>88342</v>
      </c>
      <c r="U9" s="51">
        <v>96535</v>
      </c>
      <c r="V9" s="51">
        <v>40843</v>
      </c>
      <c r="W9" s="51">
        <v>82453</v>
      </c>
      <c r="X9" s="46">
        <f>vendas_2017[[#This Row],[1º Trim.]]+vendas_2017[[#This Row],[2º Trim.]]+vendas_2017[[#This Row],[3º Trim.]]+vendas_2017[[#This Row],[4º Trim.]]</f>
        <v>308173</v>
      </c>
    </row>
    <row r="11" spans="2:24" ht="15.75" thickBot="1"/>
    <row r="12" spans="2:24" ht="16.5" thickBot="1">
      <c r="K12" s="706" t="s">
        <v>312</v>
      </c>
      <c r="L12" s="707"/>
      <c r="M12" s="707"/>
      <c r="N12" s="707"/>
      <c r="O12" s="707"/>
      <c r="P12" s="708"/>
      <c r="S12" s="703" t="s">
        <v>311</v>
      </c>
      <c r="T12" s="704"/>
      <c r="U12" s="704"/>
      <c r="V12" s="704"/>
      <c r="W12" s="704"/>
      <c r="X12" s="705"/>
    </row>
    <row r="13" spans="2:24" ht="16.5" thickBot="1">
      <c r="K13" s="98" t="s">
        <v>314</v>
      </c>
      <c r="L13" s="99"/>
      <c r="M13" s="99"/>
      <c r="N13" s="99"/>
      <c r="O13" s="99"/>
      <c r="P13" s="100"/>
      <c r="S13" s="697" t="s">
        <v>314</v>
      </c>
      <c r="T13" s="698"/>
      <c r="U13" s="698"/>
      <c r="V13" s="698"/>
      <c r="W13" s="698"/>
      <c r="X13" s="699"/>
    </row>
    <row r="14" spans="2:24">
      <c r="K14" s="101" t="s">
        <v>301</v>
      </c>
      <c r="L14" s="102" t="s">
        <v>305</v>
      </c>
      <c r="M14" s="102" t="s">
        <v>306</v>
      </c>
      <c r="N14" s="102" t="s">
        <v>307</v>
      </c>
      <c r="O14" s="102" t="s">
        <v>308</v>
      </c>
      <c r="P14" s="103" t="s">
        <v>108</v>
      </c>
      <c r="S14" t="s">
        <v>301</v>
      </c>
      <c r="T14" t="s">
        <v>305</v>
      </c>
      <c r="U14" t="s">
        <v>306</v>
      </c>
      <c r="V14" t="s">
        <v>307</v>
      </c>
      <c r="W14" t="s">
        <v>308</v>
      </c>
      <c r="X14" t="s">
        <v>108</v>
      </c>
    </row>
    <row r="15" spans="2:24">
      <c r="K15" s="104" t="s">
        <v>302</v>
      </c>
      <c r="L15" s="94">
        <v>131134</v>
      </c>
      <c r="M15" s="94">
        <v>21834</v>
      </c>
      <c r="N15" s="94">
        <v>126409</v>
      </c>
      <c r="O15" s="94">
        <v>47240</v>
      </c>
      <c r="P15" s="282">
        <f>SUM(L15:O15)</f>
        <v>326617</v>
      </c>
      <c r="S15" t="s">
        <v>302</v>
      </c>
      <c r="T15" s="51">
        <v>68741</v>
      </c>
      <c r="U15" s="51">
        <v>47531</v>
      </c>
      <c r="V15" s="51">
        <v>117576</v>
      </c>
      <c r="W15" s="51">
        <v>126273</v>
      </c>
      <c r="X15" s="46">
        <f>vendas_2018[[#This Row],[1º Trim.]]+vendas_2018[[#This Row],[2º Trim.]]+vendas_2018[[#This Row],[3º Trim.]]+vendas_2018[[#This Row],[4º Trim.]]</f>
        <v>360121</v>
      </c>
    </row>
    <row r="16" spans="2:24">
      <c r="K16" s="104" t="s">
        <v>303</v>
      </c>
      <c r="L16" s="94">
        <v>74241</v>
      </c>
      <c r="M16" s="94">
        <v>74394</v>
      </c>
      <c r="N16" s="94">
        <v>38756</v>
      </c>
      <c r="O16" s="94">
        <v>135047</v>
      </c>
      <c r="P16" s="282">
        <f t="shared" ref="P16:P19" si="1">SUM(L16:O16)</f>
        <v>322438</v>
      </c>
      <c r="S16" t="s">
        <v>303</v>
      </c>
      <c r="T16" s="51">
        <v>63602</v>
      </c>
      <c r="U16" s="51">
        <v>139505</v>
      </c>
      <c r="V16" s="51">
        <v>17286</v>
      </c>
      <c r="W16" s="51">
        <v>75507</v>
      </c>
      <c r="X16" s="46">
        <f>vendas_2018[[#This Row],[1º Trim.]]+vendas_2018[[#This Row],[2º Trim.]]+vendas_2018[[#This Row],[3º Trim.]]+vendas_2018[[#This Row],[4º Trim.]]</f>
        <v>295900</v>
      </c>
    </row>
    <row r="17" spans="11:24">
      <c r="K17" s="104" t="s">
        <v>304</v>
      </c>
      <c r="L17" s="94">
        <v>104215</v>
      </c>
      <c r="M17" s="94">
        <v>34540</v>
      </c>
      <c r="N17" s="94">
        <v>150243</v>
      </c>
      <c r="O17" s="94">
        <v>72932</v>
      </c>
      <c r="P17" s="282">
        <f t="shared" si="1"/>
        <v>361930</v>
      </c>
      <c r="S17" t="s">
        <v>304</v>
      </c>
      <c r="T17" s="51">
        <v>83325</v>
      </c>
      <c r="U17" s="51">
        <v>15986</v>
      </c>
      <c r="V17" s="51">
        <v>110490</v>
      </c>
      <c r="W17" s="51">
        <v>108198</v>
      </c>
      <c r="X17" s="46">
        <f>vendas_2018[[#This Row],[1º Trim.]]+vendas_2018[[#This Row],[2º Trim.]]+vendas_2018[[#This Row],[3º Trim.]]+vendas_2018[[#This Row],[4º Trim.]]</f>
        <v>317999</v>
      </c>
    </row>
    <row r="18" spans="11:24">
      <c r="K18" s="104" t="s">
        <v>309</v>
      </c>
      <c r="L18" s="94">
        <v>131609</v>
      </c>
      <c r="M18" s="94">
        <v>123700</v>
      </c>
      <c r="N18" s="94">
        <v>52464</v>
      </c>
      <c r="O18" s="94">
        <v>51601</v>
      </c>
      <c r="P18" s="282">
        <f t="shared" si="1"/>
        <v>359374</v>
      </c>
      <c r="S18" t="s">
        <v>309</v>
      </c>
      <c r="T18" s="51">
        <v>77602</v>
      </c>
      <c r="U18" s="51">
        <v>114284</v>
      </c>
      <c r="V18" s="51">
        <v>62307</v>
      </c>
      <c r="W18" s="51">
        <v>147244</v>
      </c>
      <c r="X18" s="46">
        <f>vendas_2018[[#This Row],[1º Trim.]]+vendas_2018[[#This Row],[2º Trim.]]+vendas_2018[[#This Row],[3º Trim.]]+vendas_2018[[#This Row],[4º Trim.]]</f>
        <v>401437</v>
      </c>
    </row>
    <row r="19" spans="11:24" ht="15.75" thickBot="1">
      <c r="K19" s="105" t="s">
        <v>310</v>
      </c>
      <c r="L19" s="106">
        <v>88218</v>
      </c>
      <c r="M19" s="106">
        <v>57626</v>
      </c>
      <c r="N19" s="106">
        <v>47814</v>
      </c>
      <c r="O19" s="106">
        <v>51163</v>
      </c>
      <c r="P19" s="282">
        <f t="shared" si="1"/>
        <v>244821</v>
      </c>
      <c r="S19" t="s">
        <v>310</v>
      </c>
      <c r="T19" s="51">
        <v>80434</v>
      </c>
      <c r="U19" s="51">
        <v>65283</v>
      </c>
      <c r="V19" s="51">
        <v>21133</v>
      </c>
      <c r="W19" s="51">
        <v>68757</v>
      </c>
      <c r="X19" s="46">
        <f>vendas_2018[[#This Row],[1º Trim.]]+vendas_2018[[#This Row],[2º Trim.]]+vendas_2018[[#This Row],[3º Trim.]]+vendas_2018[[#This Row],[4º Trim.]]</f>
        <v>235607</v>
      </c>
    </row>
    <row r="21" spans="11:24" ht="15.75" thickBot="1"/>
    <row r="22" spans="11:24" ht="16.5" thickBot="1">
      <c r="K22" s="700" t="s">
        <v>315</v>
      </c>
      <c r="L22" s="701"/>
      <c r="M22" s="701"/>
      <c r="N22" s="701"/>
      <c r="O22" s="701"/>
      <c r="P22" s="702"/>
      <c r="S22" s="700" t="s">
        <v>315</v>
      </c>
      <c r="T22" s="701"/>
      <c r="U22" s="701"/>
      <c r="V22" s="701"/>
      <c r="W22" s="701"/>
      <c r="X22" s="702"/>
    </row>
    <row r="23" spans="11:24">
      <c r="K23" s="101" t="s">
        <v>301</v>
      </c>
      <c r="L23" s="102" t="s">
        <v>305</v>
      </c>
      <c r="M23" s="102" t="s">
        <v>306</v>
      </c>
      <c r="N23" s="102" t="s">
        <v>307</v>
      </c>
      <c r="O23" s="102" t="s">
        <v>308</v>
      </c>
      <c r="P23" s="103" t="s">
        <v>316</v>
      </c>
      <c r="S23" s="95" t="s">
        <v>301</v>
      </c>
      <c r="T23" s="95" t="s">
        <v>305</v>
      </c>
      <c r="U23" s="95" t="s">
        <v>306</v>
      </c>
      <c r="V23" s="95" t="s">
        <v>307</v>
      </c>
      <c r="W23" s="95" t="s">
        <v>308</v>
      </c>
      <c r="X23" s="95" t="s">
        <v>316</v>
      </c>
    </row>
    <row r="24" spans="11:24">
      <c r="K24" s="104" t="s">
        <v>302</v>
      </c>
      <c r="L24" s="94">
        <f>L5+L15</f>
        <v>219863</v>
      </c>
      <c r="M24" s="94">
        <f t="shared" ref="M24:P24" si="2">M5+M15</f>
        <v>89443</v>
      </c>
      <c r="N24" s="94">
        <f t="shared" si="2"/>
        <v>219655</v>
      </c>
      <c r="O24" s="94">
        <f t="shared" si="2"/>
        <v>77193</v>
      </c>
      <c r="P24" s="94">
        <f t="shared" si="2"/>
        <v>606154</v>
      </c>
      <c r="S24" s="96" t="s">
        <v>302</v>
      </c>
      <c r="T24" s="97">
        <f t="shared" ref="T24:X28" si="3">T5+T15</f>
        <v>157470</v>
      </c>
      <c r="U24" s="97">
        <f t="shared" si="3"/>
        <v>115140</v>
      </c>
      <c r="V24" s="97">
        <f t="shared" si="3"/>
        <v>210822</v>
      </c>
      <c r="W24" s="97">
        <f t="shared" si="3"/>
        <v>156226</v>
      </c>
      <c r="X24" s="97">
        <f t="shared" si="3"/>
        <v>639658</v>
      </c>
    </row>
    <row r="25" spans="11:24">
      <c r="K25" s="104" t="s">
        <v>303</v>
      </c>
      <c r="L25" s="94">
        <f t="shared" ref="L25:P28" si="4">L6+L16</f>
        <v>74242</v>
      </c>
      <c r="M25" s="94">
        <f t="shared" si="4"/>
        <v>74395</v>
      </c>
      <c r="N25" s="94">
        <f t="shared" si="4"/>
        <v>38757</v>
      </c>
      <c r="O25" s="94">
        <f t="shared" si="4"/>
        <v>135048</v>
      </c>
      <c r="P25" s="94">
        <f t="shared" si="4"/>
        <v>322442</v>
      </c>
      <c r="S25" s="96" t="s">
        <v>303</v>
      </c>
      <c r="T25" s="97">
        <f t="shared" si="3"/>
        <v>109783</v>
      </c>
      <c r="U25" s="97">
        <f t="shared" si="3"/>
        <v>219275</v>
      </c>
      <c r="V25" s="97">
        <f t="shared" si="3"/>
        <v>39262</v>
      </c>
      <c r="W25" s="97">
        <f t="shared" si="3"/>
        <v>156494</v>
      </c>
      <c r="X25" s="97">
        <f t="shared" si="3"/>
        <v>524814</v>
      </c>
    </row>
    <row r="26" spans="11:24">
      <c r="K26" s="104" t="s">
        <v>304</v>
      </c>
      <c r="L26" s="94">
        <f t="shared" si="4"/>
        <v>199322</v>
      </c>
      <c r="M26" s="94">
        <f t="shared" si="4"/>
        <v>125114</v>
      </c>
      <c r="N26" s="94">
        <f t="shared" si="4"/>
        <v>184301</v>
      </c>
      <c r="O26" s="94">
        <f t="shared" si="4"/>
        <v>148364</v>
      </c>
      <c r="P26" s="94">
        <f t="shared" si="4"/>
        <v>936642</v>
      </c>
      <c r="S26" s="96" t="s">
        <v>304</v>
      </c>
      <c r="T26" s="97">
        <f t="shared" si="3"/>
        <v>178432</v>
      </c>
      <c r="U26" s="97">
        <f t="shared" si="3"/>
        <v>106560</v>
      </c>
      <c r="V26" s="97">
        <f t="shared" si="3"/>
        <v>144548</v>
      </c>
      <c r="W26" s="97">
        <f t="shared" si="3"/>
        <v>183630</v>
      </c>
      <c r="X26" s="97">
        <f t="shared" si="3"/>
        <v>613170</v>
      </c>
    </row>
    <row r="27" spans="11:24">
      <c r="K27" s="104" t="s">
        <v>309</v>
      </c>
      <c r="L27" s="94">
        <f t="shared" si="4"/>
        <v>168818</v>
      </c>
      <c r="M27" s="94">
        <f t="shared" si="4"/>
        <v>196658</v>
      </c>
      <c r="N27" s="94">
        <f t="shared" si="4"/>
        <v>132742</v>
      </c>
      <c r="O27" s="94">
        <f t="shared" si="4"/>
        <v>115555</v>
      </c>
      <c r="P27" s="94">
        <f t="shared" si="4"/>
        <v>1188485</v>
      </c>
      <c r="S27" s="96" t="s">
        <v>309</v>
      </c>
      <c r="T27" s="97">
        <f t="shared" si="3"/>
        <v>114811</v>
      </c>
      <c r="U27" s="97">
        <f t="shared" si="3"/>
        <v>187242</v>
      </c>
      <c r="V27" s="97">
        <f t="shared" si="3"/>
        <v>142585</v>
      </c>
      <c r="W27" s="97">
        <f t="shared" si="3"/>
        <v>211198</v>
      </c>
      <c r="X27" s="97">
        <f t="shared" si="3"/>
        <v>655836</v>
      </c>
    </row>
    <row r="28" spans="11:24" ht="15.75" thickBot="1">
      <c r="K28" s="105" t="s">
        <v>310</v>
      </c>
      <c r="L28" s="94">
        <f t="shared" si="4"/>
        <v>176560</v>
      </c>
      <c r="M28" s="94">
        <f t="shared" si="4"/>
        <v>154161</v>
      </c>
      <c r="N28" s="94">
        <f t="shared" si="4"/>
        <v>88657</v>
      </c>
      <c r="O28" s="94">
        <f t="shared" si="4"/>
        <v>133616</v>
      </c>
      <c r="P28" s="94">
        <f t="shared" si="4"/>
        <v>1382105</v>
      </c>
      <c r="S28" s="96" t="s">
        <v>310</v>
      </c>
      <c r="T28" s="97">
        <f t="shared" si="3"/>
        <v>168776</v>
      </c>
      <c r="U28" s="97">
        <f t="shared" si="3"/>
        <v>161818</v>
      </c>
      <c r="V28" s="97">
        <f t="shared" si="3"/>
        <v>61976</v>
      </c>
      <c r="W28" s="97">
        <f t="shared" si="3"/>
        <v>151210</v>
      </c>
      <c r="X28" s="97">
        <f t="shared" si="3"/>
        <v>543780</v>
      </c>
    </row>
  </sheetData>
  <sortState xmlns:xlrd2="http://schemas.microsoft.com/office/spreadsheetml/2017/richdata2" ref="S5:X9">
    <sortCondition ref="S5"/>
  </sortState>
  <mergeCells count="9">
    <mergeCell ref="S13:X13"/>
    <mergeCell ref="S22:X22"/>
    <mergeCell ref="K22:P22"/>
    <mergeCell ref="S2:X2"/>
    <mergeCell ref="K2:P2"/>
    <mergeCell ref="S3:X3"/>
    <mergeCell ref="K3:P3"/>
    <mergeCell ref="S12:X12"/>
    <mergeCell ref="K12:P1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3">
    <tablePart r:id="rId3"/>
    <tablePart r:id="rId4"/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</sheetPr>
  <dimension ref="K3:O25"/>
  <sheetViews>
    <sheetView showGridLines="0" zoomScaleNormal="100" workbookViewId="0">
      <selection activeCell="O6" sqref="O6"/>
    </sheetView>
  </sheetViews>
  <sheetFormatPr defaultRowHeight="15"/>
  <cols>
    <col min="10" max="10" width="2.85546875" customWidth="1"/>
    <col min="11" max="11" width="15" customWidth="1"/>
    <col min="12" max="12" width="14.28515625" customWidth="1"/>
    <col min="13" max="13" width="12.140625" bestFit="1" customWidth="1"/>
    <col min="14" max="14" width="13.85546875" bestFit="1" customWidth="1"/>
    <col min="15" max="15" width="16" customWidth="1"/>
  </cols>
  <sheetData>
    <row r="3" spans="11:15" ht="21">
      <c r="K3" s="709" t="s">
        <v>911</v>
      </c>
      <c r="L3" s="709"/>
      <c r="M3" s="709"/>
      <c r="N3" s="709"/>
      <c r="O3" s="709"/>
    </row>
    <row r="4" spans="11:15" ht="15.75" thickBot="1">
      <c r="K4" s="96" t="s">
        <v>317</v>
      </c>
      <c r="L4" s="96" t="s">
        <v>167</v>
      </c>
      <c r="M4" s="96" t="s">
        <v>318</v>
      </c>
      <c r="N4" s="96" t="s">
        <v>319</v>
      </c>
      <c r="O4" s="96" t="s">
        <v>320</v>
      </c>
    </row>
    <row r="5" spans="11:15" ht="17.25" customHeight="1">
      <c r="K5" t="s">
        <v>325</v>
      </c>
      <c r="L5" s="42">
        <v>1480</v>
      </c>
      <c r="M5" s="42">
        <v>0</v>
      </c>
      <c r="N5" s="42">
        <v>118.4</v>
      </c>
      <c r="O5" s="107">
        <f>tbl_funcionários[[#This Row],[Salário]]-tbl_funcionários[[#This Row],[Faltas]]</f>
        <v>1480</v>
      </c>
    </row>
    <row r="6" spans="11:15" ht="17.25" customHeight="1">
      <c r="K6" t="s">
        <v>322</v>
      </c>
      <c r="L6" s="42">
        <v>1480</v>
      </c>
      <c r="M6" s="42">
        <v>75.349999999999994</v>
      </c>
      <c r="N6" s="42">
        <v>118.4</v>
      </c>
      <c r="O6" s="108">
        <f>tbl_funcionários[[#This Row],[Salário]]-tbl_funcionários[[#This Row],[Faltas]]</f>
        <v>1404.65</v>
      </c>
    </row>
    <row r="7" spans="11:15" ht="17.25" customHeight="1">
      <c r="K7" t="s">
        <v>323</v>
      </c>
      <c r="L7" s="42">
        <v>1930</v>
      </c>
      <c r="M7" s="42">
        <v>0</v>
      </c>
      <c r="N7" s="42">
        <v>173.7</v>
      </c>
      <c r="O7" s="108">
        <f>tbl_funcionários[[#This Row],[Salário]]-tbl_funcionários[[#This Row],[Faltas]]</f>
        <v>1930</v>
      </c>
    </row>
    <row r="8" spans="11:15" ht="17.25" customHeight="1">
      <c r="K8" t="s">
        <v>324</v>
      </c>
      <c r="L8" s="42">
        <v>3800</v>
      </c>
      <c r="M8" s="42">
        <v>0</v>
      </c>
      <c r="N8" s="42">
        <v>418</v>
      </c>
      <c r="O8" s="108">
        <f>tbl_funcionários[[#This Row],[Salário]]-tbl_funcionários[[#This Row],[Faltas]]</f>
        <v>3800</v>
      </c>
    </row>
    <row r="9" spans="11:15" ht="17.25" customHeight="1" thickBot="1">
      <c r="K9" t="s">
        <v>321</v>
      </c>
      <c r="L9" s="42">
        <v>2625</v>
      </c>
      <c r="M9" s="42">
        <v>0</v>
      </c>
      <c r="N9" s="42">
        <v>236.25</v>
      </c>
      <c r="O9" s="109">
        <f>tbl_funcionários[[#This Row],[Salário]]-tbl_funcionários[[#This Row],[Faltas]]</f>
        <v>2625</v>
      </c>
    </row>
    <row r="13" spans="11:15" ht="15.75" thickBot="1">
      <c r="K13" s="339" t="s">
        <v>327</v>
      </c>
      <c r="L13" s="340" t="s">
        <v>330</v>
      </c>
    </row>
    <row r="14" spans="11:15" ht="15.75" thickTop="1">
      <c r="K14" s="341" t="s">
        <v>74</v>
      </c>
      <c r="L14" s="342">
        <v>75</v>
      </c>
    </row>
    <row r="15" spans="11:15">
      <c r="K15" s="343" t="s">
        <v>75</v>
      </c>
      <c r="L15" s="344">
        <v>158</v>
      </c>
    </row>
    <row r="16" spans="11:15">
      <c r="K16" s="345" t="s">
        <v>245</v>
      </c>
      <c r="L16" s="346">
        <v>88</v>
      </c>
    </row>
    <row r="17" spans="11:14" ht="15.75" thickBot="1">
      <c r="K17" s="343" t="s">
        <v>76</v>
      </c>
      <c r="L17" s="344">
        <v>2487</v>
      </c>
    </row>
    <row r="18" spans="11:14" ht="15.75" thickTop="1">
      <c r="K18" s="347" t="s">
        <v>108</v>
      </c>
      <c r="L18" s="337">
        <f>SUBTOTAL(109,Subtração!$L$14:$L$17)</f>
        <v>2808</v>
      </c>
    </row>
    <row r="19" spans="11:14">
      <c r="L19" s="112"/>
    </row>
    <row r="20" spans="11:14" ht="15.75" thickBot="1">
      <c r="N20" s="116" t="s">
        <v>331</v>
      </c>
    </row>
    <row r="21" spans="11:14" ht="16.5" thickTop="1" thickBot="1">
      <c r="K21" s="348" t="s">
        <v>326</v>
      </c>
      <c r="L21" s="137" t="s">
        <v>330</v>
      </c>
      <c r="N21" s="117">
        <f>L25-L18</f>
        <v>4192</v>
      </c>
    </row>
    <row r="22" spans="11:14" ht="15.75" thickTop="1">
      <c r="K22" s="349" t="s">
        <v>328</v>
      </c>
      <c r="L22" s="350">
        <v>2800</v>
      </c>
    </row>
    <row r="23" spans="11:14">
      <c r="K23" s="351" t="s">
        <v>329</v>
      </c>
      <c r="L23" s="352">
        <v>3400</v>
      </c>
    </row>
    <row r="24" spans="11:14" ht="15.75" thickBot="1">
      <c r="K24" s="353" t="s">
        <v>76</v>
      </c>
      <c r="L24" s="354">
        <v>800</v>
      </c>
    </row>
    <row r="25" spans="11:14" ht="15.75" thickTop="1">
      <c r="K25" s="355" t="s">
        <v>108</v>
      </c>
      <c r="L25" s="338">
        <f>SUBTOTAL(109,Subtração!$L$22:$L$24)</f>
        <v>7000</v>
      </c>
    </row>
  </sheetData>
  <mergeCells count="1">
    <mergeCell ref="K3:O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</sheetPr>
  <dimension ref="K2:N19"/>
  <sheetViews>
    <sheetView showGridLines="0" zoomScaleNormal="100" workbookViewId="0">
      <selection activeCell="Q26" sqref="Q26"/>
    </sheetView>
  </sheetViews>
  <sheetFormatPr defaultRowHeight="15"/>
  <cols>
    <col min="8" max="8" width="6.85546875" customWidth="1"/>
    <col min="9" max="9" width="3.28515625" customWidth="1"/>
    <col min="10" max="10" width="2.85546875" customWidth="1"/>
    <col min="11" max="11" width="19.28515625" bestFit="1" customWidth="1"/>
    <col min="12" max="12" width="15.7109375" customWidth="1"/>
    <col min="13" max="13" width="19.42578125" customWidth="1"/>
    <col min="14" max="14" width="8.42578125" bestFit="1" customWidth="1"/>
  </cols>
  <sheetData>
    <row r="2" spans="11:14" ht="18.75">
      <c r="K2" s="125" t="s">
        <v>340</v>
      </c>
      <c r="L2" s="126"/>
      <c r="M2" s="126"/>
      <c r="N2" s="126"/>
    </row>
    <row r="3" spans="11:14">
      <c r="K3" s="96" t="s">
        <v>111</v>
      </c>
      <c r="L3" s="96" t="s">
        <v>332</v>
      </c>
      <c r="M3" s="96" t="s">
        <v>333</v>
      </c>
      <c r="N3" s="96" t="s">
        <v>108</v>
      </c>
    </row>
    <row r="4" spans="11:14">
      <c r="K4" t="s">
        <v>334</v>
      </c>
      <c r="L4" s="113">
        <v>17.399999999999999</v>
      </c>
      <c r="M4">
        <v>150</v>
      </c>
      <c r="N4" s="113">
        <f>tbl_escritorio[[#This Row],[Preço Unitário]]*tbl_escritorio[[#This Row],[Vendas Realizadas]]</f>
        <v>2610</v>
      </c>
    </row>
    <row r="5" spans="11:14">
      <c r="K5" t="s">
        <v>335</v>
      </c>
      <c r="L5" s="113">
        <v>10.75</v>
      </c>
      <c r="M5">
        <v>35</v>
      </c>
      <c r="N5" s="113">
        <f>tbl_escritorio[[#This Row],[Preço Unitário]]*tbl_escritorio[[#This Row],[Vendas Realizadas]]</f>
        <v>376.25</v>
      </c>
    </row>
    <row r="6" spans="11:14">
      <c r="K6" t="s">
        <v>336</v>
      </c>
      <c r="L6" s="113">
        <v>3.17</v>
      </c>
      <c r="M6">
        <v>125</v>
      </c>
      <c r="N6" s="113">
        <f>tbl_escritorio[[#This Row],[Preço Unitário]]*tbl_escritorio[[#This Row],[Vendas Realizadas]]</f>
        <v>396.25</v>
      </c>
    </row>
    <row r="7" spans="11:14">
      <c r="K7" t="s">
        <v>337</v>
      </c>
      <c r="L7" s="113">
        <v>1.69</v>
      </c>
      <c r="M7">
        <v>532</v>
      </c>
      <c r="N7" s="113">
        <f>tbl_escritorio[[#This Row],[Preço Unitário]]*tbl_escritorio[[#This Row],[Vendas Realizadas]]</f>
        <v>899.07999999999993</v>
      </c>
    </row>
    <row r="8" spans="11:14">
      <c r="K8" t="s">
        <v>338</v>
      </c>
      <c r="L8" s="113">
        <v>9.67</v>
      </c>
      <c r="M8">
        <v>213</v>
      </c>
      <c r="N8" s="113">
        <f>tbl_escritorio[[#This Row],[Preço Unitário]]*tbl_escritorio[[#This Row],[Vendas Realizadas]]</f>
        <v>2059.71</v>
      </c>
    </row>
    <row r="9" spans="11:14">
      <c r="K9" t="s">
        <v>339</v>
      </c>
      <c r="L9" s="113">
        <v>6.39</v>
      </c>
      <c r="M9">
        <v>654</v>
      </c>
      <c r="N9" s="113">
        <f>tbl_escritorio[[#This Row],[Preço Unitário]]*tbl_escritorio[[#This Row],[Vendas Realizadas]]</f>
        <v>4179.0599999999995</v>
      </c>
    </row>
    <row r="10" spans="11:14">
      <c r="L10" s="113"/>
      <c r="N10" s="113"/>
    </row>
    <row r="12" spans="11:14" ht="18.75">
      <c r="K12" s="125" t="s">
        <v>340</v>
      </c>
      <c r="L12" s="126"/>
      <c r="M12" s="126"/>
      <c r="N12" s="126"/>
    </row>
    <row r="13" spans="11:14" ht="15.75" thickBot="1">
      <c r="K13" s="128" t="s">
        <v>111</v>
      </c>
      <c r="L13" s="129" t="s">
        <v>332</v>
      </c>
      <c r="M13" s="129" t="s">
        <v>333</v>
      </c>
      <c r="N13" s="130" t="s">
        <v>108</v>
      </c>
    </row>
    <row r="14" spans="11:14" ht="15.75" thickTop="1">
      <c r="K14" s="110" t="s">
        <v>334</v>
      </c>
      <c r="L14" s="118">
        <v>17.399999999999999</v>
      </c>
      <c r="M14" s="119">
        <v>50</v>
      </c>
      <c r="N14" s="114">
        <f>L14*M14</f>
        <v>869.99999999999989</v>
      </c>
    </row>
    <row r="15" spans="11:14">
      <c r="K15" s="111" t="s">
        <v>335</v>
      </c>
      <c r="L15" s="120">
        <v>10.75</v>
      </c>
      <c r="M15" s="121">
        <v>35</v>
      </c>
      <c r="N15" s="115">
        <f t="shared" ref="N15:N19" si="0">L15*M15</f>
        <v>376.25</v>
      </c>
    </row>
    <row r="16" spans="11:14">
      <c r="K16" s="110" t="s">
        <v>336</v>
      </c>
      <c r="L16" s="118">
        <v>3.17</v>
      </c>
      <c r="M16" s="119">
        <v>125</v>
      </c>
      <c r="N16" s="114">
        <f t="shared" si="0"/>
        <v>396.25</v>
      </c>
    </row>
    <row r="17" spans="11:14">
      <c r="K17" s="111" t="s">
        <v>337</v>
      </c>
      <c r="L17" s="120">
        <v>1.69</v>
      </c>
      <c r="M17" s="121">
        <v>532</v>
      </c>
      <c r="N17" s="115">
        <f t="shared" si="0"/>
        <v>899.07999999999993</v>
      </c>
    </row>
    <row r="18" spans="11:14">
      <c r="K18" s="110" t="s">
        <v>338</v>
      </c>
      <c r="L18" s="118">
        <v>9.67</v>
      </c>
      <c r="M18" s="119">
        <v>213</v>
      </c>
      <c r="N18" s="114">
        <f t="shared" si="0"/>
        <v>2059.71</v>
      </c>
    </row>
    <row r="19" spans="11:14">
      <c r="K19" s="122" t="s">
        <v>339</v>
      </c>
      <c r="L19" s="123">
        <v>6.39</v>
      </c>
      <c r="M19" s="124">
        <v>654</v>
      </c>
      <c r="N19" s="127">
        <f t="shared" si="0"/>
        <v>4179.0599999999995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70C0"/>
  </sheetPr>
  <dimension ref="J2:S33"/>
  <sheetViews>
    <sheetView zoomScaleNormal="100" workbookViewId="0">
      <selection activeCell="Q13" sqref="Q13:Q15"/>
    </sheetView>
  </sheetViews>
  <sheetFormatPr defaultRowHeight="15"/>
  <cols>
    <col min="9" max="9" width="3.85546875" customWidth="1"/>
    <col min="10" max="10" width="19.42578125" bestFit="1" customWidth="1"/>
    <col min="11" max="11" width="13.85546875" bestFit="1" customWidth="1"/>
    <col min="12" max="12" width="17.5703125" bestFit="1" customWidth="1"/>
    <col min="13" max="13" width="11.85546875" bestFit="1" customWidth="1"/>
    <col min="14" max="14" width="4" customWidth="1"/>
    <col min="15" max="15" width="22" bestFit="1" customWidth="1"/>
    <col min="16" max="16" width="2.28515625" customWidth="1"/>
    <col min="17" max="17" width="21.7109375" bestFit="1" customWidth="1"/>
    <col min="18" max="18" width="12.28515625" bestFit="1" customWidth="1"/>
  </cols>
  <sheetData>
    <row r="2" spans="10:19" ht="18.75">
      <c r="J2" s="125" t="s">
        <v>340</v>
      </c>
      <c r="K2" s="126"/>
      <c r="L2" s="126"/>
      <c r="M2" s="126"/>
      <c r="O2" s="139" t="s">
        <v>343</v>
      </c>
    </row>
    <row r="3" spans="10:19" ht="15.75" thickBot="1">
      <c r="J3" s="96" t="s">
        <v>111</v>
      </c>
      <c r="K3" s="96" t="s">
        <v>332</v>
      </c>
      <c r="L3" s="96" t="s">
        <v>341</v>
      </c>
      <c r="M3" s="96" t="s">
        <v>342</v>
      </c>
      <c r="O3" s="141">
        <f>SUM(tbl_escritorio_div[Vendas Semestre])</f>
        <v>21600</v>
      </c>
      <c r="Q3" s="140" t="s">
        <v>345</v>
      </c>
    </row>
    <row r="4" spans="10:19" ht="15" customHeight="1">
      <c r="J4" t="s">
        <v>334</v>
      </c>
      <c r="K4" s="113">
        <v>17</v>
      </c>
      <c r="L4" s="113">
        <v>3400</v>
      </c>
      <c r="M4" s="131">
        <f>tbl_escritorio_div[[#This Row],[Vendas Semestre]]/tbl_escritorio_div[[#This Row],[Preço Unitário]]</f>
        <v>200</v>
      </c>
      <c r="Q4" s="710" cm="1">
        <f t="array" ref="Q4">vendas_semestre[Total Vendas Semestre]/meta_semestre[Meta Vendas Semestre]</f>
        <v>0.72</v>
      </c>
    </row>
    <row r="5" spans="10:19" ht="15" customHeight="1">
      <c r="J5" t="s">
        <v>335</v>
      </c>
      <c r="K5" s="113">
        <v>11</v>
      </c>
      <c r="L5" s="113">
        <v>2200</v>
      </c>
      <c r="M5" s="132">
        <f>tbl_escritorio_div[[#This Row],[Vendas Semestre]]/tbl_escritorio_div[[#This Row],[Preço Unitário]]</f>
        <v>200</v>
      </c>
      <c r="O5" s="139" t="s">
        <v>344</v>
      </c>
      <c r="Q5" s="711"/>
      <c r="S5" s="144"/>
    </row>
    <row r="6" spans="10:19" ht="15" customHeight="1">
      <c r="J6" t="s">
        <v>336</v>
      </c>
      <c r="K6" s="113">
        <v>3</v>
      </c>
      <c r="L6" s="113">
        <v>3000</v>
      </c>
      <c r="M6" s="132">
        <f>tbl_escritorio_div[[#This Row],[Vendas Semestre]]/tbl_escritorio_div[[#This Row],[Preço Unitário]]</f>
        <v>1000</v>
      </c>
      <c r="O6" s="141">
        <v>30000</v>
      </c>
      <c r="Q6" s="712"/>
    </row>
    <row r="7" spans="10:19">
      <c r="J7" t="s">
        <v>337</v>
      </c>
      <c r="K7" s="113">
        <v>4</v>
      </c>
      <c r="L7" s="113">
        <v>2000</v>
      </c>
      <c r="M7" s="132">
        <f>tbl_escritorio_div[[#This Row],[Vendas Semestre]]/tbl_escritorio_div[[#This Row],[Preço Unitário]]</f>
        <v>500</v>
      </c>
    </row>
    <row r="8" spans="10:19" ht="15.75" thickBot="1">
      <c r="J8" t="s">
        <v>338</v>
      </c>
      <c r="K8" s="113">
        <v>15</v>
      </c>
      <c r="L8" s="113">
        <v>11000</v>
      </c>
      <c r="M8" s="133">
        <f>tbl_escritorio_div[[#This Row],[Vendas Semestre]]/tbl_escritorio_div[[#This Row],[Preço Unitário]]</f>
        <v>733.33333333333337</v>
      </c>
      <c r="S8" s="144"/>
    </row>
    <row r="11" spans="10:19" ht="18.75">
      <c r="J11" s="125" t="s">
        <v>340</v>
      </c>
      <c r="K11" s="126"/>
      <c r="L11" s="126"/>
      <c r="M11" s="126"/>
      <c r="O11" s="140" t="s">
        <v>343</v>
      </c>
    </row>
    <row r="12" spans="10:19" ht="15.75" thickBot="1">
      <c r="J12" s="128" t="s">
        <v>111</v>
      </c>
      <c r="K12" s="129" t="s">
        <v>332</v>
      </c>
      <c r="L12" s="129" t="s">
        <v>333</v>
      </c>
      <c r="M12" s="137" t="s">
        <v>342</v>
      </c>
      <c r="O12" s="142">
        <f>SUM(L13:L17)</f>
        <v>21600</v>
      </c>
      <c r="Q12" s="140" t="s">
        <v>345</v>
      </c>
    </row>
    <row r="13" spans="10:19" ht="15.75" customHeight="1" thickTop="1">
      <c r="J13" s="110" t="s">
        <v>334</v>
      </c>
      <c r="K13" s="118">
        <v>17</v>
      </c>
      <c r="L13" s="114">
        <v>3400</v>
      </c>
      <c r="M13" s="134">
        <f>L13/K13</f>
        <v>200</v>
      </c>
      <c r="Q13" s="713">
        <f>O12/O15</f>
        <v>0.72</v>
      </c>
    </row>
    <row r="14" spans="10:19" ht="15" customHeight="1">
      <c r="J14" s="111" t="s">
        <v>335</v>
      </c>
      <c r="K14" s="120">
        <v>11</v>
      </c>
      <c r="L14" s="115">
        <v>2200</v>
      </c>
      <c r="M14" s="135">
        <f t="shared" ref="M14:M17" si="0">L14/K14</f>
        <v>200</v>
      </c>
      <c r="O14" s="140" t="s">
        <v>344</v>
      </c>
      <c r="Q14" s="714"/>
    </row>
    <row r="15" spans="10:19" ht="15" customHeight="1">
      <c r="J15" s="110" t="s">
        <v>336</v>
      </c>
      <c r="K15" s="118">
        <v>3</v>
      </c>
      <c r="L15" s="114">
        <v>3000</v>
      </c>
      <c r="M15" s="136">
        <f t="shared" si="0"/>
        <v>1000</v>
      </c>
      <c r="O15" s="142">
        <v>30000</v>
      </c>
      <c r="Q15" s="715"/>
    </row>
    <row r="16" spans="10:19">
      <c r="J16" s="111" t="s">
        <v>337</v>
      </c>
      <c r="K16" s="120">
        <v>2</v>
      </c>
      <c r="L16" s="115">
        <v>2000</v>
      </c>
      <c r="M16" s="135">
        <f t="shared" si="0"/>
        <v>1000</v>
      </c>
    </row>
    <row r="17" spans="10:19" ht="15.75" thickBot="1">
      <c r="J17" s="110" t="s">
        <v>338</v>
      </c>
      <c r="K17" s="118">
        <v>10</v>
      </c>
      <c r="L17" s="114">
        <v>11000</v>
      </c>
      <c r="M17" s="138">
        <f t="shared" si="0"/>
        <v>1100</v>
      </c>
    </row>
    <row r="18" spans="10:19">
      <c r="O18" s="383"/>
      <c r="Q18" s="458"/>
    </row>
    <row r="19" spans="10:19">
      <c r="O19" s="383"/>
      <c r="Q19" s="458"/>
      <c r="R19" s="42"/>
      <c r="S19" s="144"/>
    </row>
    <row r="20" spans="10:19">
      <c r="O20" s="383"/>
      <c r="Q20" s="458"/>
      <c r="R20" s="42"/>
      <c r="S20" s="144"/>
    </row>
    <row r="21" spans="10:19">
      <c r="R21" s="42"/>
      <c r="S21" s="144"/>
    </row>
    <row r="22" spans="10:19">
      <c r="O22" s="383"/>
      <c r="Q22" s="144"/>
      <c r="R22" s="42"/>
      <c r="S22" s="144"/>
    </row>
    <row r="23" spans="10:19">
      <c r="R23" s="42"/>
      <c r="S23" s="144"/>
    </row>
    <row r="24" spans="10:19">
      <c r="O24" s="383"/>
      <c r="R24" s="42"/>
      <c r="S24" s="144"/>
    </row>
    <row r="25" spans="10:19" ht="23.25">
      <c r="K25" s="143"/>
      <c r="O25" s="383"/>
    </row>
    <row r="26" spans="10:19">
      <c r="O26" s="383"/>
    </row>
    <row r="27" spans="10:19">
      <c r="O27" s="383"/>
      <c r="R27" s="42"/>
      <c r="S27" s="377"/>
    </row>
    <row r="28" spans="10:19">
      <c r="O28" s="383"/>
      <c r="R28" s="42"/>
      <c r="S28" s="377"/>
    </row>
    <row r="29" spans="10:19">
      <c r="O29" s="383"/>
      <c r="R29" s="42"/>
      <c r="S29" s="377"/>
    </row>
    <row r="30" spans="10:19">
      <c r="O30" s="383"/>
      <c r="R30" s="42"/>
      <c r="S30" s="377"/>
    </row>
    <row r="31" spans="10:19">
      <c r="O31" s="383"/>
      <c r="R31" s="42"/>
      <c r="S31" s="377"/>
    </row>
    <row r="32" spans="10:19">
      <c r="O32" s="383"/>
      <c r="R32" s="42"/>
      <c r="S32" s="377"/>
    </row>
    <row r="33" spans="15:15">
      <c r="O33" s="383"/>
    </row>
  </sheetData>
  <mergeCells count="2">
    <mergeCell ref="Q4:Q6"/>
    <mergeCell ref="Q13:Q15"/>
  </mergeCells>
  <phoneticPr fontId="76" type="noConversion"/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B7406"/>
  </sheetPr>
  <dimension ref="A1"/>
  <sheetViews>
    <sheetView showGridLines="0" zoomScaleNormal="100" workbookViewId="0">
      <selection activeCell="O24" sqref="O24"/>
    </sheetView>
  </sheetViews>
  <sheetFormatPr defaultRowHeight="15"/>
  <cols>
    <col min="10" max="10" width="9.14062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B7406"/>
  </sheetPr>
  <dimension ref="A1:Y23"/>
  <sheetViews>
    <sheetView showGridLines="0" showRowColHeaders="0" zoomScaleNormal="100" workbookViewId="0">
      <selection activeCell="O20" sqref="O20"/>
    </sheetView>
  </sheetViews>
  <sheetFormatPr defaultRowHeight="15"/>
  <cols>
    <col min="1" max="1" width="3" customWidth="1"/>
    <col min="2" max="2" width="18.5703125" bestFit="1" customWidth="1"/>
    <col min="3" max="3" width="17" customWidth="1"/>
    <col min="4" max="4" width="5" customWidth="1"/>
    <col min="5" max="5" width="19.28515625" customWidth="1"/>
    <col min="6" max="6" width="13.85546875" customWidth="1"/>
    <col min="7" max="7" width="12.140625" customWidth="1"/>
    <col min="8" max="9" width="12.28515625" bestFit="1" customWidth="1"/>
    <col min="10" max="10" width="14.5703125" bestFit="1" customWidth="1"/>
    <col min="11" max="11" width="14" customWidth="1"/>
    <col min="12" max="12" width="12.7109375" customWidth="1"/>
    <col min="13" max="13" width="3.5703125" customWidth="1"/>
    <col min="14" max="14" width="3.42578125" customWidth="1"/>
    <col min="15" max="15" width="21.5703125" style="1" customWidth="1"/>
  </cols>
  <sheetData>
    <row r="1" spans="1:25" ht="80.099999999999994" customHeight="1">
      <c r="A1" s="716" t="s">
        <v>1082</v>
      </c>
      <c r="B1" s="716"/>
      <c r="C1" s="716"/>
      <c r="D1" s="716"/>
      <c r="E1" s="716"/>
      <c r="F1" s="716"/>
      <c r="G1" s="716"/>
      <c r="H1" s="716"/>
      <c r="I1" s="716"/>
      <c r="J1" s="716"/>
      <c r="K1" s="716"/>
      <c r="L1" s="716"/>
      <c r="M1" s="716"/>
      <c r="N1" s="716"/>
      <c r="O1" s="716"/>
      <c r="P1" s="716"/>
      <c r="Q1" s="716"/>
      <c r="R1" s="716"/>
      <c r="S1" s="716"/>
      <c r="T1" s="716"/>
      <c r="U1" s="716"/>
      <c r="V1" s="716"/>
      <c r="W1" s="716"/>
      <c r="X1" s="716"/>
      <c r="Y1" s="716"/>
    </row>
    <row r="3" spans="1:25">
      <c r="J3" s="153"/>
      <c r="K3" s="153"/>
      <c r="L3" s="153"/>
      <c r="M3" s="153"/>
      <c r="N3" s="153"/>
      <c r="P3" s="153"/>
    </row>
    <row r="4" spans="1:25">
      <c r="J4" s="153"/>
      <c r="K4" s="153"/>
      <c r="L4" s="153"/>
      <c r="M4" s="570"/>
      <c r="N4" s="153"/>
      <c r="P4" s="153"/>
    </row>
    <row r="5" spans="1:25">
      <c r="B5" s="717" t="s">
        <v>1077</v>
      </c>
      <c r="C5" s="717"/>
      <c r="E5" s="718" t="s">
        <v>1081</v>
      </c>
      <c r="F5" s="718"/>
      <c r="G5" s="718"/>
      <c r="H5" s="718"/>
      <c r="I5" s="718"/>
      <c r="J5" s="718"/>
      <c r="K5" s="718"/>
      <c r="L5" s="718"/>
    </row>
    <row r="6" spans="1:25">
      <c r="B6" s="151" t="s">
        <v>187</v>
      </c>
      <c r="C6" s="151" t="s">
        <v>356</v>
      </c>
      <c r="E6" s="375" t="s">
        <v>187</v>
      </c>
      <c r="F6" s="375" t="s">
        <v>305</v>
      </c>
      <c r="G6" s="375" t="s">
        <v>306</v>
      </c>
      <c r="H6" s="375" t="s">
        <v>307</v>
      </c>
      <c r="I6" s="375" t="s">
        <v>308</v>
      </c>
      <c r="J6" s="375" t="s">
        <v>356</v>
      </c>
      <c r="K6" s="375" t="s">
        <v>883</v>
      </c>
      <c r="L6" s="375" t="s">
        <v>884</v>
      </c>
    </row>
    <row r="7" spans="1:25">
      <c r="B7" s="151" t="s">
        <v>346</v>
      </c>
      <c r="C7" s="557">
        <v>966781</v>
      </c>
      <c r="E7" s="95" t="s">
        <v>346</v>
      </c>
      <c r="F7" s="560">
        <v>317005</v>
      </c>
      <c r="G7" s="560">
        <v>149227</v>
      </c>
      <c r="H7" s="560">
        <v>358871</v>
      </c>
      <c r="I7" s="560">
        <v>251186</v>
      </c>
      <c r="J7" s="561">
        <f>TAB_FUN02[[#This Row],[1º Trim.]]+TAB_FUN02[[#This Row],[2º Trim.]]+TAB_FUN02[[#This Row],[3º Trim.]]+TAB_FUN02[[#This Row],[4º Trim.]]</f>
        <v>1076289</v>
      </c>
      <c r="K7" s="566" cm="1">
        <f t="array" ref="K7">TAB_FUN02[[#This Row],[Total Geral]]/Tabela55[Meta Individual 2024]</f>
        <v>0.65229636363636367</v>
      </c>
      <c r="L7" s="561">
        <f>TAB_FUN02[[#This Row],[Total Geral]]-TAB_FUNDEZ01[[#This Row],[Total Geral]]</f>
        <v>109508</v>
      </c>
    </row>
    <row r="8" spans="1:25">
      <c r="B8" s="151" t="s">
        <v>347</v>
      </c>
      <c r="C8" s="557">
        <v>1568137</v>
      </c>
      <c r="E8" s="95" t="s">
        <v>347</v>
      </c>
      <c r="F8" s="560">
        <v>509765</v>
      </c>
      <c r="G8" s="560">
        <v>208364</v>
      </c>
      <c r="H8" s="560">
        <v>104977</v>
      </c>
      <c r="I8" s="560">
        <v>155576</v>
      </c>
      <c r="J8" s="561">
        <f>TAB_FUN02[[#This Row],[1º Trim.]]+TAB_FUN02[[#This Row],[2º Trim.]]+TAB_FUN02[[#This Row],[3º Trim.]]+TAB_FUN02[[#This Row],[4º Trim.]]</f>
        <v>978682</v>
      </c>
      <c r="K8" s="566" cm="1">
        <f t="array" ref="K8">TAB_FUN02[[#This Row],[Total Geral]]/Tabela55[Meta Individual 2024]</f>
        <v>0.59314060606060603</v>
      </c>
      <c r="L8" s="561">
        <f>TAB_FUN02[[#This Row],[Total Geral]]-TAB_FUNDEZ01[[#This Row],[Total Geral]]</f>
        <v>-589455</v>
      </c>
      <c r="O8" s="558" t="s">
        <v>1079</v>
      </c>
    </row>
    <row r="9" spans="1:25">
      <c r="B9" s="151" t="s">
        <v>348</v>
      </c>
      <c r="C9" s="557">
        <v>1215720</v>
      </c>
      <c r="E9" s="95" t="s">
        <v>348</v>
      </c>
      <c r="F9" s="560">
        <v>407156</v>
      </c>
      <c r="G9" s="560">
        <v>164967</v>
      </c>
      <c r="H9" s="560">
        <v>250177</v>
      </c>
      <c r="I9" s="560">
        <v>296350</v>
      </c>
      <c r="J9" s="561">
        <f>TAB_FUN02[[#This Row],[1º Trim.]]+TAB_FUN02[[#This Row],[2º Trim.]]+TAB_FUN02[[#This Row],[3º Trim.]]+TAB_FUN02[[#This Row],[4º Trim.]]</f>
        <v>1118650</v>
      </c>
      <c r="K9" s="566" cm="1">
        <f t="array" ref="K9">TAB_FUN02[[#This Row],[Total Geral]]/Tabela55[Meta Individual 2024]</f>
        <v>0.677969696969697</v>
      </c>
      <c r="L9" s="561">
        <f>TAB_FUN02[[#This Row],[Total Geral]]-TAB_FUNDEZ01[[#This Row],[Total Geral]]</f>
        <v>-97070</v>
      </c>
      <c r="O9" s="559">
        <v>15500000</v>
      </c>
    </row>
    <row r="10" spans="1:25">
      <c r="B10" s="151" t="s">
        <v>349</v>
      </c>
      <c r="C10" s="557">
        <v>802371</v>
      </c>
      <c r="E10" s="95" t="s">
        <v>349</v>
      </c>
      <c r="F10" s="560">
        <v>339304</v>
      </c>
      <c r="G10" s="562">
        <v>265046</v>
      </c>
      <c r="H10" s="560">
        <v>207275</v>
      </c>
      <c r="I10" s="560">
        <v>320951</v>
      </c>
      <c r="J10" s="561">
        <f>TAB_FUN02[[#This Row],[1º Trim.]]+TAB_FUN02[[#This Row],[2º Trim.]]+TAB_FUN02[[#This Row],[3º Trim.]]+TAB_FUN02[[#This Row],[4º Trim.]]</f>
        <v>1132576</v>
      </c>
      <c r="K10" s="566" cm="1">
        <f t="array" ref="K10">TAB_FUN02[[#This Row],[Total Geral]]/Tabela55[Meta Individual 2024]</f>
        <v>0.686409696969697</v>
      </c>
      <c r="L10" s="561">
        <f>TAB_FUN02[[#This Row],[Total Geral]]-TAB_FUNDEZ01[[#This Row],[Total Geral]]</f>
        <v>330205</v>
      </c>
    </row>
    <row r="11" spans="1:25">
      <c r="B11" s="151" t="s">
        <v>350</v>
      </c>
      <c r="C11" s="557">
        <v>1235387</v>
      </c>
      <c r="E11" s="95" t="s">
        <v>350</v>
      </c>
      <c r="F11" s="560">
        <v>472883</v>
      </c>
      <c r="G11" s="562">
        <v>477140</v>
      </c>
      <c r="H11" s="560">
        <v>102449</v>
      </c>
      <c r="I11" s="560">
        <v>271557</v>
      </c>
      <c r="J11" s="561">
        <f>TAB_FUN02[[#This Row],[1º Trim.]]+TAB_FUN02[[#This Row],[2º Trim.]]+TAB_FUN02[[#This Row],[3º Trim.]]+TAB_FUN02[[#This Row],[4º Trim.]]</f>
        <v>1324029</v>
      </c>
      <c r="K11" s="566" cm="1">
        <f t="array" ref="K11">TAB_FUN02[[#This Row],[Total Geral]]/Tabela55[Meta Individual 2024]</f>
        <v>0.80244181818181815</v>
      </c>
      <c r="L11" s="561">
        <f>TAB_FUN02[[#This Row],[Total Geral]]-TAB_FUNDEZ01[[#This Row],[Total Geral]]</f>
        <v>88642</v>
      </c>
      <c r="O11" s="558" t="s">
        <v>1080</v>
      </c>
    </row>
    <row r="12" spans="1:25">
      <c r="B12" s="151" t="s">
        <v>351</v>
      </c>
      <c r="C12" s="557">
        <v>765221</v>
      </c>
      <c r="E12" s="95" t="s">
        <v>351</v>
      </c>
      <c r="F12" s="560">
        <v>333463</v>
      </c>
      <c r="G12" s="562">
        <v>530038</v>
      </c>
      <c r="H12" s="560">
        <v>430926</v>
      </c>
      <c r="I12" s="560">
        <v>328597</v>
      </c>
      <c r="J12" s="561">
        <f>TAB_FUN02[[#This Row],[1º Trim.]]+TAB_FUN02[[#This Row],[2º Trim.]]+TAB_FUN02[[#This Row],[3º Trim.]]+TAB_FUN02[[#This Row],[4º Trim.]]</f>
        <v>1623024</v>
      </c>
      <c r="K12" s="566" cm="1">
        <f t="array" ref="K12">TAB_FUN02[[#This Row],[Total Geral]]/Tabela55[Meta Individual 2024]</f>
        <v>0.98365090909090913</v>
      </c>
      <c r="L12" s="561">
        <f>TAB_FUN02[[#This Row],[Total Geral]]-TAB_FUNDEZ01[[#This Row],[Total Geral]]</f>
        <v>857803</v>
      </c>
      <c r="O12" s="273">
        <v>1650000</v>
      </c>
    </row>
    <row r="13" spans="1:25" ht="15.75" customHeight="1" thickBot="1">
      <c r="B13" s="151" t="s">
        <v>352</v>
      </c>
      <c r="C13" s="557">
        <v>1329030</v>
      </c>
      <c r="E13" s="95" t="s">
        <v>352</v>
      </c>
      <c r="F13" s="560">
        <v>516263</v>
      </c>
      <c r="G13" s="562">
        <v>210356</v>
      </c>
      <c r="H13" s="560">
        <v>236015</v>
      </c>
      <c r="I13" s="560">
        <v>225470</v>
      </c>
      <c r="J13" s="561">
        <f>TAB_FUN02[[#This Row],[1º Trim.]]+TAB_FUN02[[#This Row],[2º Trim.]]+TAB_FUN02[[#This Row],[3º Trim.]]+TAB_FUN02[[#This Row],[4º Trim.]]</f>
        <v>1188104</v>
      </c>
      <c r="K13" s="566" cm="1">
        <f t="array" ref="K13">TAB_FUN02[[#This Row],[Total Geral]]/Tabela55[Meta Individual 2024]</f>
        <v>0.72006303030303032</v>
      </c>
      <c r="L13" s="561">
        <f>TAB_FUN02[[#This Row],[Total Geral]]-TAB_FUNDEZ01[[#This Row],[Total Geral]]</f>
        <v>-140926</v>
      </c>
    </row>
    <row r="14" spans="1:25">
      <c r="B14" s="151" t="s">
        <v>353</v>
      </c>
      <c r="C14" s="557">
        <v>1353138</v>
      </c>
      <c r="E14" s="95" t="s">
        <v>353</v>
      </c>
      <c r="F14" s="560">
        <v>332597</v>
      </c>
      <c r="G14" s="562">
        <v>322698</v>
      </c>
      <c r="H14" s="560">
        <v>380112</v>
      </c>
      <c r="I14" s="560">
        <v>235256</v>
      </c>
      <c r="J14" s="561">
        <f>TAB_FUN02[[#This Row],[1º Trim.]]+TAB_FUN02[[#This Row],[2º Trim.]]+TAB_FUN02[[#This Row],[3º Trim.]]+TAB_FUN02[[#This Row],[4º Trim.]]</f>
        <v>1270663</v>
      </c>
      <c r="K14" s="566" cm="1">
        <f t="array" ref="K14">TAB_FUN02[[#This Row],[Total Geral]]/Tabela55[Meta Individual 2024]</f>
        <v>0.77009878787878783</v>
      </c>
      <c r="L14" s="561">
        <f>TAB_FUN02[[#This Row],[Total Geral]]-TAB_FUNDEZ01[[#This Row],[Total Geral]]</f>
        <v>-82475</v>
      </c>
      <c r="O14" s="567" t="s">
        <v>1078</v>
      </c>
    </row>
    <row r="15" spans="1:25" ht="15.75" thickBot="1">
      <c r="B15" s="151" t="s">
        <v>354</v>
      </c>
      <c r="C15" s="557">
        <v>1018543</v>
      </c>
      <c r="E15" s="95" t="s">
        <v>354</v>
      </c>
      <c r="F15" s="560">
        <v>148276</v>
      </c>
      <c r="G15" s="562">
        <v>371150</v>
      </c>
      <c r="H15" s="560">
        <v>129961</v>
      </c>
      <c r="I15" s="560">
        <v>318738</v>
      </c>
      <c r="J15" s="561">
        <f>TAB_FUN02[[#This Row],[1º Trim.]]+TAB_FUN02[[#This Row],[2º Trim.]]+TAB_FUN02[[#This Row],[3º Trim.]]+TAB_FUN02[[#This Row],[4º Trim.]]</f>
        <v>968125</v>
      </c>
      <c r="K15" s="566" cm="1">
        <f t="array" ref="K15">TAB_FUN02[[#This Row],[Total Geral]]/Tabela55[Meta Individual 2024]</f>
        <v>0.58674242424242429</v>
      </c>
      <c r="L15" s="561">
        <f>TAB_FUN02[[#This Row],[Total Geral]]-TAB_FUNDEZ01[[#This Row],[Total Geral]]</f>
        <v>-50418</v>
      </c>
      <c r="O15" s="569">
        <f>SUM(TAB_FUN02[Total Geral])</f>
        <v>11854687</v>
      </c>
    </row>
    <row r="16" spans="1:25" ht="15" customHeight="1" thickBot="1">
      <c r="B16" s="151" t="s">
        <v>355</v>
      </c>
      <c r="C16" s="557">
        <v>1171740</v>
      </c>
      <c r="E16" s="95" t="s">
        <v>355</v>
      </c>
      <c r="F16" s="560">
        <v>208548</v>
      </c>
      <c r="G16" s="562">
        <v>486251</v>
      </c>
      <c r="H16" s="560">
        <v>236721</v>
      </c>
      <c r="I16" s="560">
        <v>243025</v>
      </c>
      <c r="J16" s="561">
        <f>TAB_FUN02[[#This Row],[1º Trim.]]+TAB_FUN02[[#This Row],[2º Trim.]]+TAB_FUN02[[#This Row],[3º Trim.]]+TAB_FUN02[[#This Row],[4º Trim.]]</f>
        <v>1174545</v>
      </c>
      <c r="K16" s="566" cm="1">
        <f t="array" ref="K16">TAB_FUN02[[#This Row],[Total Geral]]/Tabela55[Meta Individual 2024]</f>
        <v>0.71184545454545456</v>
      </c>
      <c r="L16" s="561">
        <f>TAB_FUN02[[#This Row],[Total Geral]]-TAB_FUNDEZ01[[#This Row],[Total Geral]]</f>
        <v>2805</v>
      </c>
    </row>
    <row r="17" spans="2:15" ht="15" customHeight="1">
      <c r="B17" s="151" t="s">
        <v>108</v>
      </c>
      <c r="C17" s="557">
        <f>SUBTOTAL(109,TAB_FUNDEZ01[Total Geral])</f>
        <v>8925298</v>
      </c>
      <c r="E17" s="95" t="s">
        <v>108</v>
      </c>
      <c r="F17" s="563"/>
      <c r="G17" s="564"/>
      <c r="H17" s="95"/>
      <c r="I17" s="95"/>
      <c r="J17" s="565">
        <f>SUBTOTAL(109,TAB_FUN02[Total Geral])</f>
        <v>11854687</v>
      </c>
      <c r="K17" s="151"/>
      <c r="L17" s="151">
        <f>SUBTOTAL(103,TAB_FUN02[Evolução])</f>
        <v>10</v>
      </c>
      <c r="O17" s="436" t="s">
        <v>912</v>
      </c>
    </row>
    <row r="18" spans="2:15" ht="15.75" thickBot="1">
      <c r="O18" s="568" cm="1">
        <f t="array" ref="O18">O15/Tabela56[Meta Geral 2024]</f>
        <v>0.76481851612903229</v>
      </c>
    </row>
    <row r="19" spans="2:15" ht="15.75" thickBot="1"/>
    <row r="20" spans="2:15">
      <c r="O20" s="436" t="s">
        <v>913</v>
      </c>
    </row>
    <row r="21" spans="2:15" ht="15.75" thickBot="1">
      <c r="O21" s="568">
        <f>1-O18</f>
        <v>0.23518148387096771</v>
      </c>
    </row>
    <row r="23" spans="2:15">
      <c r="O23" s="437"/>
    </row>
  </sheetData>
  <mergeCells count="3">
    <mergeCell ref="A1:Y1"/>
    <mergeCell ref="B5:C5"/>
    <mergeCell ref="E5:L5"/>
  </mergeCells>
  <phoneticPr fontId="76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7"/>
  </sheetPr>
  <dimension ref="A1"/>
  <sheetViews>
    <sheetView showGridLines="0" showRowColHeaders="0" zoomScaleNormal="100" workbookViewId="0">
      <selection activeCell="H25" sqref="H25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</sheetPr>
  <dimension ref="B1:R32"/>
  <sheetViews>
    <sheetView showGridLines="0" zoomScaleNormal="100" workbookViewId="0">
      <selection activeCell="I20" sqref="I20"/>
    </sheetView>
  </sheetViews>
  <sheetFormatPr defaultRowHeight="15"/>
  <cols>
    <col min="1" max="1" width="3.85546875" customWidth="1"/>
    <col min="2" max="2" width="22.85546875" bestFit="1" customWidth="1"/>
    <col min="3" max="6" width="12.5703125" customWidth="1"/>
    <col min="7" max="18" width="12.5703125" style="1" customWidth="1"/>
  </cols>
  <sheetData>
    <row r="1" spans="2:14">
      <c r="L1" s="437"/>
    </row>
    <row r="3" spans="2:14" ht="23.25">
      <c r="D3" s="154" t="s">
        <v>384</v>
      </c>
    </row>
    <row r="4" spans="2:14">
      <c r="H4" t="s">
        <v>382</v>
      </c>
    </row>
    <row r="6" spans="2:14" ht="15" customHeight="1">
      <c r="D6" s="719" t="s">
        <v>383</v>
      </c>
      <c r="E6" s="719"/>
      <c r="F6" s="719"/>
      <c r="G6" s="719"/>
      <c r="H6" s="719"/>
      <c r="I6" s="719"/>
      <c r="J6" s="719"/>
      <c r="K6" s="719"/>
      <c r="L6" s="719"/>
      <c r="M6" s="719"/>
    </row>
    <row r="7" spans="2:14">
      <c r="D7" s="719"/>
      <c r="E7" s="719"/>
      <c r="F7" s="719"/>
      <c r="G7" s="719"/>
      <c r="H7" s="719"/>
      <c r="I7" s="719"/>
      <c r="J7" s="719"/>
      <c r="K7" s="719"/>
      <c r="L7" s="719"/>
      <c r="M7" s="719"/>
    </row>
    <row r="10" spans="2:14" s="153" customFormat="1" ht="17.25" customHeight="1">
      <c r="B10" s="152" t="s">
        <v>357</v>
      </c>
      <c r="C10" s="146" t="s">
        <v>358</v>
      </c>
      <c r="D10" s="146" t="s">
        <v>359</v>
      </c>
      <c r="E10" s="146" t="s">
        <v>360</v>
      </c>
      <c r="F10" s="146" t="s">
        <v>361</v>
      </c>
      <c r="G10" s="146" t="s">
        <v>362</v>
      </c>
      <c r="H10" s="146" t="s">
        <v>363</v>
      </c>
      <c r="I10" s="146" t="s">
        <v>364</v>
      </c>
      <c r="J10" s="146" t="s">
        <v>365</v>
      </c>
      <c r="K10" s="146" t="s">
        <v>366</v>
      </c>
      <c r="L10" s="146" t="s">
        <v>367</v>
      </c>
      <c r="M10" s="146" t="s">
        <v>368</v>
      </c>
      <c r="N10" s="146" t="s">
        <v>369</v>
      </c>
    </row>
    <row r="11" spans="2:14">
      <c r="B11" s="148" t="s">
        <v>167</v>
      </c>
      <c r="C11" s="177">
        <v>4800</v>
      </c>
      <c r="D11" s="177">
        <v>4800</v>
      </c>
      <c r="E11" s="177">
        <v>4800</v>
      </c>
      <c r="F11" s="177">
        <v>4800</v>
      </c>
      <c r="G11" s="177">
        <v>4800</v>
      </c>
      <c r="H11" s="177">
        <v>4800</v>
      </c>
      <c r="I11" s="177">
        <v>4800</v>
      </c>
      <c r="J11" s="177">
        <v>4800</v>
      </c>
      <c r="K11" s="177">
        <v>4800</v>
      </c>
      <c r="L11" s="177">
        <v>4800</v>
      </c>
      <c r="M11" s="177">
        <v>4800</v>
      </c>
      <c r="N11" s="177">
        <v>4800</v>
      </c>
    </row>
    <row r="12" spans="2:14">
      <c r="B12" s="149" t="s">
        <v>370</v>
      </c>
      <c r="C12" s="175">
        <v>450</v>
      </c>
      <c r="D12" s="175">
        <v>450</v>
      </c>
      <c r="E12" s="175">
        <v>450</v>
      </c>
      <c r="F12" s="175">
        <v>450</v>
      </c>
      <c r="G12" s="175">
        <v>450</v>
      </c>
      <c r="H12" s="175">
        <v>450</v>
      </c>
      <c r="I12" s="175">
        <v>450</v>
      </c>
      <c r="J12" s="175">
        <v>450</v>
      </c>
      <c r="K12" s="175">
        <v>450</v>
      </c>
      <c r="L12" s="175">
        <v>450</v>
      </c>
      <c r="M12" s="175">
        <v>450</v>
      </c>
      <c r="N12" s="175">
        <v>450</v>
      </c>
    </row>
    <row r="13" spans="2:14">
      <c r="B13" s="148" t="s">
        <v>76</v>
      </c>
      <c r="C13" s="177">
        <v>265</v>
      </c>
      <c r="D13" s="177">
        <v>675</v>
      </c>
      <c r="E13" s="177">
        <v>4012</v>
      </c>
      <c r="F13" s="177">
        <v>369</v>
      </c>
      <c r="G13" s="177">
        <v>1963</v>
      </c>
      <c r="H13" s="177">
        <v>3643</v>
      </c>
      <c r="I13" s="177">
        <v>2145</v>
      </c>
      <c r="J13" s="177">
        <v>7389</v>
      </c>
      <c r="K13" s="177">
        <v>3774</v>
      </c>
      <c r="L13" s="177">
        <v>8399</v>
      </c>
      <c r="M13" s="177">
        <v>6017</v>
      </c>
      <c r="N13" s="177">
        <v>1004</v>
      </c>
    </row>
    <row r="14" spans="2:14">
      <c r="B14" s="150" t="s">
        <v>379</v>
      </c>
      <c r="C14" s="175">
        <f>SUM(C11:C13)</f>
        <v>5515</v>
      </c>
      <c r="D14" s="175">
        <f>SUM(D11:D13)</f>
        <v>5925</v>
      </c>
      <c r="E14" s="175"/>
      <c r="F14" s="175"/>
      <c r="G14" s="175"/>
      <c r="H14" s="175"/>
      <c r="I14" s="175"/>
      <c r="J14" s="175"/>
      <c r="K14" s="175"/>
      <c r="L14" s="175"/>
      <c r="M14" s="175"/>
      <c r="N14" s="175">
        <f>SUM(C14:M14)</f>
        <v>11440</v>
      </c>
    </row>
    <row r="15" spans="2:14">
      <c r="C15" s="1"/>
      <c r="D15" s="1"/>
      <c r="E15" s="1"/>
      <c r="F15" s="1"/>
    </row>
    <row r="16" spans="2:14" s="153" customFormat="1" ht="21" customHeight="1" thickBot="1">
      <c r="B16" s="152" t="s">
        <v>327</v>
      </c>
      <c r="C16" s="146" t="s">
        <v>358</v>
      </c>
      <c r="D16" s="146" t="s">
        <v>359</v>
      </c>
      <c r="E16" s="146" t="s">
        <v>360</v>
      </c>
      <c r="F16" s="146" t="s">
        <v>361</v>
      </c>
      <c r="G16" s="146" t="s">
        <v>362</v>
      </c>
      <c r="H16" s="146" t="s">
        <v>363</v>
      </c>
      <c r="I16" s="146" t="s">
        <v>364</v>
      </c>
      <c r="J16" s="146" t="s">
        <v>365</v>
      </c>
      <c r="K16" s="146" t="s">
        <v>366</v>
      </c>
      <c r="L16" s="146" t="s">
        <v>367</v>
      </c>
      <c r="M16" s="146" t="s">
        <v>368</v>
      </c>
      <c r="N16" s="146" t="s">
        <v>369</v>
      </c>
    </row>
    <row r="17" spans="2:14" ht="15.75" thickTop="1">
      <c r="B17" s="147" t="s">
        <v>72</v>
      </c>
      <c r="C17" s="179">
        <v>800</v>
      </c>
      <c r="D17" s="179">
        <v>800</v>
      </c>
      <c r="E17" s="179">
        <v>800</v>
      </c>
      <c r="F17" s="179">
        <v>800</v>
      </c>
      <c r="G17" s="179">
        <v>800</v>
      </c>
      <c r="H17" s="179">
        <v>800</v>
      </c>
      <c r="I17" s="179">
        <v>800</v>
      </c>
      <c r="J17" s="179">
        <v>800</v>
      </c>
      <c r="K17" s="179">
        <v>800</v>
      </c>
      <c r="L17" s="179">
        <v>800</v>
      </c>
      <c r="M17" s="179">
        <v>800</v>
      </c>
      <c r="N17" s="179">
        <v>800</v>
      </c>
    </row>
    <row r="18" spans="2:14">
      <c r="B18" s="148" t="s">
        <v>74</v>
      </c>
      <c r="C18" s="177">
        <v>143.84178885537432</v>
      </c>
      <c r="D18" s="177">
        <v>108.47193917152032</v>
      </c>
      <c r="E18" s="177">
        <v>135.25583690402357</v>
      </c>
      <c r="F18" s="177">
        <v>107.46274556096235</v>
      </c>
      <c r="G18" s="177">
        <v>157.97951265039669</v>
      </c>
      <c r="H18" s="177">
        <v>90.009563700243177</v>
      </c>
      <c r="I18" s="177">
        <v>109.54673394560483</v>
      </c>
      <c r="J18" s="177">
        <v>106.02754504098748</v>
      </c>
      <c r="K18" s="177">
        <v>158.12405543113439</v>
      </c>
      <c r="L18" s="177">
        <v>105.74169642575831</v>
      </c>
      <c r="M18" s="177">
        <v>78.013147864020226</v>
      </c>
      <c r="N18" s="177">
        <v>142.84881171850537</v>
      </c>
    </row>
    <row r="19" spans="2:14">
      <c r="B19" s="149" t="s">
        <v>75</v>
      </c>
      <c r="C19" s="175">
        <v>135.45270321363193</v>
      </c>
      <c r="D19" s="175">
        <v>68.695730961955121</v>
      </c>
      <c r="E19" s="175">
        <v>81.103426371817562</v>
      </c>
      <c r="F19" s="175">
        <v>118.67375167906135</v>
      </c>
      <c r="G19" s="175">
        <v>138.00674865812093</v>
      </c>
      <c r="H19" s="175">
        <v>154.75387969945896</v>
      </c>
      <c r="I19" s="175">
        <v>82.699233965006457</v>
      </c>
      <c r="J19" s="175">
        <v>101.97093553086266</v>
      </c>
      <c r="K19" s="175">
        <v>110.78525248900229</v>
      </c>
      <c r="L19" s="175">
        <v>88.811044653470461</v>
      </c>
      <c r="M19" s="175">
        <v>75.862873983071921</v>
      </c>
      <c r="N19" s="175">
        <v>149.8228748865925</v>
      </c>
    </row>
    <row r="20" spans="2:14">
      <c r="B20" s="148" t="s">
        <v>245</v>
      </c>
      <c r="C20" s="177">
        <v>72.086250287686511</v>
      </c>
      <c r="D20" s="177">
        <v>71.294108555525995</v>
      </c>
      <c r="E20" s="177">
        <v>70.3750216602146</v>
      </c>
      <c r="F20" s="177">
        <v>127.88512781526764</v>
      </c>
      <c r="G20" s="177">
        <v>130.84094946103903</v>
      </c>
      <c r="H20" s="177">
        <v>149.30084647654485</v>
      </c>
      <c r="I20" s="177">
        <v>110.0190490949357</v>
      </c>
      <c r="J20" s="177">
        <v>138.0717614859939</v>
      </c>
      <c r="K20" s="177">
        <v>130.55987565819586</v>
      </c>
      <c r="L20" s="177">
        <v>134.75458290879035</v>
      </c>
      <c r="M20" s="177">
        <v>112.89704483507394</v>
      </c>
      <c r="N20" s="177">
        <v>68.75816875143218</v>
      </c>
    </row>
    <row r="21" spans="2:14">
      <c r="B21" s="149" t="s">
        <v>371</v>
      </c>
      <c r="C21" s="175">
        <v>60</v>
      </c>
      <c r="D21" s="175">
        <v>68</v>
      </c>
      <c r="E21" s="175">
        <v>68.94</v>
      </c>
      <c r="F21" s="175">
        <v>72</v>
      </c>
      <c r="G21" s="175">
        <v>74</v>
      </c>
      <c r="H21" s="175">
        <v>85</v>
      </c>
      <c r="I21" s="175">
        <v>88</v>
      </c>
      <c r="J21" s="175">
        <v>90</v>
      </c>
      <c r="K21" s="175">
        <v>110</v>
      </c>
      <c r="L21" s="175">
        <v>120</v>
      </c>
      <c r="M21" s="175">
        <v>120</v>
      </c>
      <c r="N21" s="175">
        <v>122</v>
      </c>
    </row>
    <row r="22" spans="2:14">
      <c r="B22" s="148" t="s">
        <v>372</v>
      </c>
      <c r="C22" s="177">
        <v>576.6787995594708</v>
      </c>
      <c r="D22" s="177">
        <v>626.60523398181545</v>
      </c>
      <c r="E22" s="177">
        <v>710.08631008791588</v>
      </c>
      <c r="F22" s="177">
        <v>382.37414085518333</v>
      </c>
      <c r="G22" s="177">
        <v>168.03124618490452</v>
      </c>
      <c r="H22" s="177">
        <v>559.4267146567646</v>
      </c>
      <c r="I22" s="177">
        <v>554.86513522590951</v>
      </c>
      <c r="J22" s="177">
        <v>763.32704992889887</v>
      </c>
      <c r="K22" s="177">
        <v>501.35091992805854</v>
      </c>
      <c r="L22" s="177">
        <v>740.16671073878013</v>
      </c>
      <c r="M22" s="177">
        <v>809.08931645007078</v>
      </c>
      <c r="N22" s="177">
        <v>513.32088815212899</v>
      </c>
    </row>
    <row r="23" spans="2:14">
      <c r="B23" s="149" t="s">
        <v>373</v>
      </c>
      <c r="C23" s="175">
        <v>655.60919621464927</v>
      </c>
      <c r="D23" s="175">
        <v>224.15700024965895</v>
      </c>
      <c r="E23" s="175">
        <v>411.38770393962466</v>
      </c>
      <c r="F23" s="175">
        <v>198.08655073423921</v>
      </c>
      <c r="G23" s="175">
        <v>173.56910710230537</v>
      </c>
      <c r="H23" s="175">
        <v>586.98724711460545</v>
      </c>
      <c r="I23" s="175">
        <v>524.41831994434585</v>
      </c>
      <c r="J23" s="175">
        <v>402.28081135102792</v>
      </c>
      <c r="K23" s="175">
        <v>827.7356200525544</v>
      </c>
      <c r="L23" s="175">
        <v>348.41042844482934</v>
      </c>
      <c r="M23" s="175">
        <v>411.19486332620926</v>
      </c>
      <c r="N23" s="175">
        <v>192.77123873300829</v>
      </c>
    </row>
    <row r="24" spans="2:14">
      <c r="B24" s="148" t="s">
        <v>374</v>
      </c>
      <c r="C24" s="177">
        <v>159.60852679136943</v>
      </c>
      <c r="D24" s="177">
        <v>338.02140459953029</v>
      </c>
      <c r="E24" s="177">
        <v>195.95958096689631</v>
      </c>
      <c r="F24" s="177">
        <v>771.04790862306527</v>
      </c>
      <c r="G24" s="177">
        <v>621.79279785097879</v>
      </c>
      <c r="H24" s="177">
        <v>632.17582277583926</v>
      </c>
      <c r="I24" s="177">
        <v>273.69372920372928</v>
      </c>
      <c r="J24" s="177">
        <v>488.23681200445429</v>
      </c>
      <c r="K24" s="177">
        <v>359.68822299780828</v>
      </c>
      <c r="L24" s="177">
        <v>342.20495938074936</v>
      </c>
      <c r="M24" s="177">
        <v>634.51076766710469</v>
      </c>
      <c r="N24" s="177">
        <v>521.35192869678906</v>
      </c>
    </row>
    <row r="25" spans="2:14">
      <c r="B25" s="149" t="s">
        <v>375</v>
      </c>
      <c r="C25" s="175">
        <v>193.40106334794746</v>
      </c>
      <c r="D25" s="175">
        <v>224.62109130669015</v>
      </c>
      <c r="E25" s="175">
        <v>276.25040737933216</v>
      </c>
      <c r="F25" s="175">
        <v>587.64892939671051</v>
      </c>
      <c r="G25" s="175">
        <v>428.76897059857066</v>
      </c>
      <c r="H25" s="175">
        <v>746.81499302157033</v>
      </c>
      <c r="I25" s="175">
        <v>403.53253526776791</v>
      </c>
      <c r="J25" s="175">
        <v>589.68278474555473</v>
      </c>
      <c r="K25" s="175">
        <v>171.93240867501947</v>
      </c>
      <c r="L25" s="175">
        <v>747.83157424802528</v>
      </c>
      <c r="M25" s="175">
        <v>874.62411814500626</v>
      </c>
      <c r="N25" s="175">
        <v>806.2093770318877</v>
      </c>
    </row>
    <row r="26" spans="2:14">
      <c r="B26" s="148" t="s">
        <v>376</v>
      </c>
      <c r="C26" s="177">
        <v>761.65660571507226</v>
      </c>
      <c r="D26" s="177">
        <v>613.74194005735399</v>
      </c>
      <c r="E26" s="177">
        <v>434.54369615282059</v>
      </c>
      <c r="F26" s="177">
        <v>310.72064847299481</v>
      </c>
      <c r="G26" s="177">
        <v>764.83353016323645</v>
      </c>
      <c r="H26" s="177">
        <v>650.4666209111806</v>
      </c>
      <c r="I26" s="177">
        <v>694.88038949664701</v>
      </c>
      <c r="J26" s="177">
        <v>469.74068891641627</v>
      </c>
      <c r="K26" s="177">
        <v>820.08928073486265</v>
      </c>
      <c r="L26" s="177">
        <v>261.94261784156521</v>
      </c>
      <c r="M26" s="177">
        <v>410.86876939399713</v>
      </c>
      <c r="N26" s="177">
        <v>358.20422759021517</v>
      </c>
    </row>
    <row r="27" spans="2:14">
      <c r="B27" s="149" t="s">
        <v>377</v>
      </c>
      <c r="C27" s="175">
        <v>165.09372296214562</v>
      </c>
      <c r="D27" s="175">
        <f>SUM(D17:D26)</f>
        <v>3143.6084488840502</v>
      </c>
      <c r="E27" s="175">
        <f t="shared" ref="E27:K27" si="0">SUM(E17:E26)</f>
        <v>3183.9019834626456</v>
      </c>
      <c r="F27" s="175">
        <f t="shared" si="0"/>
        <v>3475.8998031374849</v>
      </c>
      <c r="G27" s="175">
        <f t="shared" si="0"/>
        <v>3457.8228626695527</v>
      </c>
      <c r="H27" s="175">
        <f t="shared" si="0"/>
        <v>4454.9356883562068</v>
      </c>
      <c r="I27" s="175">
        <f t="shared" si="0"/>
        <v>3641.6551261439463</v>
      </c>
      <c r="J27" s="175">
        <f t="shared" si="0"/>
        <v>3949.338389004196</v>
      </c>
      <c r="K27" s="175">
        <f t="shared" si="0"/>
        <v>3990.2656359666357</v>
      </c>
      <c r="L27" s="175">
        <f>SUM(C27:K27)</f>
        <v>29462.521660586863</v>
      </c>
      <c r="M27" s="175">
        <v>792.84564203722323</v>
      </c>
      <c r="N27" s="175">
        <v>471.45072223510704</v>
      </c>
    </row>
    <row r="28" spans="2:14">
      <c r="B28" s="148" t="s">
        <v>378</v>
      </c>
      <c r="C28" s="177">
        <v>361.44756582058199</v>
      </c>
      <c r="D28" s="177">
        <v>302.24523592978977</v>
      </c>
      <c r="E28" s="177">
        <v>236.46101838932353</v>
      </c>
      <c r="F28" s="177">
        <v>371.2577111563669</v>
      </c>
      <c r="G28" s="177">
        <v>453.56356522788849</v>
      </c>
      <c r="H28" s="177">
        <v>294.41723928429042</v>
      </c>
      <c r="I28" s="177">
        <v>214.30018431731057</v>
      </c>
      <c r="J28" s="177">
        <v>576.95439442844474</v>
      </c>
      <c r="K28" s="177">
        <v>868.1029886772086</v>
      </c>
      <c r="L28" s="177">
        <v>448.2736617208551</v>
      </c>
      <c r="M28" s="177">
        <v>851.21675319696499</v>
      </c>
      <c r="N28" s="177">
        <v>695.72695200006979</v>
      </c>
    </row>
    <row r="29" spans="2:14" s="151" customFormat="1">
      <c r="B29" s="150" t="s">
        <v>380</v>
      </c>
      <c r="C29" s="283">
        <f t="shared" ref="C29:N29" si="1">SUM(C17:C28)</f>
        <v>4084.876222767929</v>
      </c>
      <c r="D29" s="283">
        <f t="shared" si="1"/>
        <v>6589.4621336978898</v>
      </c>
      <c r="E29" s="283">
        <f t="shared" si="1"/>
        <v>6604.2649853146149</v>
      </c>
      <c r="F29" s="283">
        <f t="shared" si="1"/>
        <v>7323.0573174313367</v>
      </c>
      <c r="G29" s="283">
        <f t="shared" si="1"/>
        <v>7369.2092905669942</v>
      </c>
      <c r="H29" s="283">
        <f t="shared" si="1"/>
        <v>9204.2886159967038</v>
      </c>
      <c r="I29" s="283">
        <f t="shared" si="1"/>
        <v>7497.6104366052032</v>
      </c>
      <c r="J29" s="283">
        <f t="shared" si="1"/>
        <v>8475.631172436837</v>
      </c>
      <c r="K29" s="283">
        <f t="shared" si="1"/>
        <v>8848.6342606104809</v>
      </c>
      <c r="L29" s="283">
        <f t="shared" si="1"/>
        <v>33600.658936949687</v>
      </c>
      <c r="M29" s="283">
        <f t="shared" si="1"/>
        <v>5971.1232968987424</v>
      </c>
      <c r="N29" s="283">
        <f t="shared" si="1"/>
        <v>4842.4651897957356</v>
      </c>
    </row>
    <row r="30" spans="2:14"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</row>
    <row r="31" spans="2:14"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</row>
    <row r="32" spans="2:14" s="151" customFormat="1">
      <c r="B32" s="150" t="s">
        <v>381</v>
      </c>
      <c r="C32" s="283">
        <f>C14-C29</f>
        <v>1430.123777232071</v>
      </c>
      <c r="D32" s="283">
        <f t="shared" ref="D32:N32" si="2">D14-D29</f>
        <v>-664.46213369788984</v>
      </c>
      <c r="E32" s="283">
        <f t="shared" si="2"/>
        <v>-6604.2649853146149</v>
      </c>
      <c r="F32" s="283">
        <f t="shared" si="2"/>
        <v>-7323.0573174313367</v>
      </c>
      <c r="G32" s="283">
        <f t="shared" si="2"/>
        <v>-7369.2092905669942</v>
      </c>
      <c r="H32" s="283">
        <f t="shared" si="2"/>
        <v>-9204.2886159967038</v>
      </c>
      <c r="I32" s="283">
        <f t="shared" si="2"/>
        <v>-7497.6104366052032</v>
      </c>
      <c r="J32" s="283">
        <f t="shared" si="2"/>
        <v>-8475.631172436837</v>
      </c>
      <c r="K32" s="283">
        <f t="shared" si="2"/>
        <v>-8848.6342606104809</v>
      </c>
      <c r="L32" s="283">
        <f t="shared" si="2"/>
        <v>-33600.658936949687</v>
      </c>
      <c r="M32" s="283">
        <f t="shared" si="2"/>
        <v>-5971.1232968987424</v>
      </c>
      <c r="N32" s="283">
        <f t="shared" si="2"/>
        <v>6597.5348102042644</v>
      </c>
    </row>
  </sheetData>
  <mergeCells count="1">
    <mergeCell ref="D6:M7"/>
  </mergeCells>
  <pageMargins left="0.511811024" right="0.511811024" top="0.78740157499999996" bottom="0.78740157499999996" header="0.31496062000000002" footer="0.31496062000000002"/>
  <pageSetup paperSize="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90E8-C3E4-4B36-B867-F2D3C4BB9F8D}">
  <sheetPr>
    <tabColor rgb="FF0070C0"/>
  </sheetPr>
  <dimension ref="B1:I19"/>
  <sheetViews>
    <sheetView showGridLines="0" zoomScaleNormal="100" workbookViewId="0">
      <selection activeCell="E14" sqref="E14"/>
    </sheetView>
  </sheetViews>
  <sheetFormatPr defaultRowHeight="15"/>
  <cols>
    <col min="1" max="1" width="2.7109375" style="448" customWidth="1"/>
    <col min="2" max="2" width="17.42578125" style="448" customWidth="1"/>
    <col min="3" max="3" width="16.140625" style="448" customWidth="1"/>
    <col min="4" max="4" width="11.28515625" style="448" customWidth="1"/>
    <col min="5" max="5" width="16.140625" style="448" customWidth="1"/>
    <col min="6" max="6" width="15.85546875" style="448" customWidth="1"/>
    <col min="7" max="7" width="6" style="448" customWidth="1"/>
    <col min="8" max="8" width="19.42578125" style="448" bestFit="1" customWidth="1"/>
    <col min="9" max="9" width="17.85546875" style="448" customWidth="1"/>
    <col min="10" max="16384" width="9.140625" style="448"/>
  </cols>
  <sheetData>
    <row r="1" spans="2:9" ht="12" customHeight="1"/>
    <row r="2" spans="2:9" s="449" customFormat="1" ht="20.100000000000001" customHeight="1">
      <c r="B2" s="720" t="s">
        <v>934</v>
      </c>
      <c r="C2" s="720"/>
      <c r="D2" s="720"/>
      <c r="E2" s="720"/>
      <c r="F2" s="720"/>
      <c r="H2" s="721" t="s">
        <v>356</v>
      </c>
      <c r="I2" s="722"/>
    </row>
    <row r="3" spans="2:9" s="449" customFormat="1" ht="20.100000000000001" customHeight="1">
      <c r="B3" s="450" t="s">
        <v>497</v>
      </c>
      <c r="C3" s="450" t="s">
        <v>935</v>
      </c>
      <c r="D3" s="450" t="s">
        <v>936</v>
      </c>
      <c r="E3" s="450" t="s">
        <v>937</v>
      </c>
      <c r="F3" s="450" t="s">
        <v>855</v>
      </c>
      <c r="H3" s="451" t="s">
        <v>938</v>
      </c>
      <c r="I3" s="452">
        <f>SUM(F4:F19)</f>
        <v>350</v>
      </c>
    </row>
    <row r="4" spans="2:9" s="449" customFormat="1" ht="20.100000000000001" customHeight="1">
      <c r="B4" s="453" t="s">
        <v>939</v>
      </c>
      <c r="C4" s="453" t="s">
        <v>940</v>
      </c>
      <c r="D4" s="454">
        <v>10</v>
      </c>
      <c r="E4" s="452">
        <v>1</v>
      </c>
      <c r="F4" s="452">
        <f>D4*E4</f>
        <v>10</v>
      </c>
      <c r="H4" s="451" t="s">
        <v>942</v>
      </c>
      <c r="I4" s="455">
        <f>SUMPRODUCT(D4:D19,E4:E19)</f>
        <v>350</v>
      </c>
    </row>
    <row r="5" spans="2:9" s="449" customFormat="1" ht="20.100000000000001" customHeight="1">
      <c r="B5" s="453" t="s">
        <v>939</v>
      </c>
      <c r="C5" s="453" t="s">
        <v>941</v>
      </c>
      <c r="D5" s="454">
        <v>5</v>
      </c>
      <c r="E5" s="452">
        <v>3</v>
      </c>
      <c r="F5" s="452">
        <f t="shared" ref="F5:F19" si="0">D5*E5</f>
        <v>15</v>
      </c>
    </row>
    <row r="6" spans="2:9" s="449" customFormat="1" ht="20.100000000000001" customHeight="1">
      <c r="B6" s="453" t="s">
        <v>939</v>
      </c>
      <c r="C6" s="453" t="s">
        <v>943</v>
      </c>
      <c r="D6" s="454">
        <v>5</v>
      </c>
      <c r="E6" s="452">
        <v>3</v>
      </c>
      <c r="F6" s="452">
        <f t="shared" si="0"/>
        <v>15</v>
      </c>
    </row>
    <row r="7" spans="2:9" s="449" customFormat="1" ht="20.100000000000001" customHeight="1">
      <c r="B7" s="453" t="s">
        <v>939</v>
      </c>
      <c r="C7" s="453" t="s">
        <v>944</v>
      </c>
      <c r="D7" s="454">
        <v>10</v>
      </c>
      <c r="E7" s="452">
        <v>0.5</v>
      </c>
      <c r="F7" s="452">
        <f t="shared" si="0"/>
        <v>5</v>
      </c>
    </row>
    <row r="8" spans="2:9" s="449" customFormat="1" ht="20.100000000000001" customHeight="1">
      <c r="B8" s="453" t="s">
        <v>939</v>
      </c>
      <c r="C8" s="453" t="s">
        <v>945</v>
      </c>
      <c r="D8" s="454">
        <v>5</v>
      </c>
      <c r="E8" s="452">
        <v>1</v>
      </c>
      <c r="F8" s="452">
        <f t="shared" si="0"/>
        <v>5</v>
      </c>
    </row>
    <row r="9" spans="2:9" s="449" customFormat="1" ht="20.100000000000001" customHeight="1">
      <c r="B9" s="453" t="s">
        <v>939</v>
      </c>
      <c r="C9" s="453" t="s">
        <v>946</v>
      </c>
      <c r="D9" s="454">
        <v>5</v>
      </c>
      <c r="E9" s="452">
        <v>10</v>
      </c>
      <c r="F9" s="452">
        <f t="shared" si="0"/>
        <v>50</v>
      </c>
    </row>
    <row r="10" spans="2:9" s="449" customFormat="1" ht="20.100000000000001" customHeight="1">
      <c r="B10" s="453" t="s">
        <v>947</v>
      </c>
      <c r="C10" s="453" t="s">
        <v>948</v>
      </c>
      <c r="D10" s="454">
        <v>10</v>
      </c>
      <c r="E10" s="452">
        <v>3</v>
      </c>
      <c r="F10" s="452">
        <f t="shared" si="0"/>
        <v>30</v>
      </c>
    </row>
    <row r="11" spans="2:9" s="449" customFormat="1" ht="20.100000000000001" customHeight="1">
      <c r="B11" s="453" t="s">
        <v>947</v>
      </c>
      <c r="C11" s="453" t="s">
        <v>949</v>
      </c>
      <c r="D11" s="454">
        <v>20</v>
      </c>
      <c r="E11" s="452">
        <v>2</v>
      </c>
      <c r="F11" s="452">
        <f t="shared" si="0"/>
        <v>40</v>
      </c>
    </row>
    <row r="12" spans="2:9" s="449" customFormat="1" ht="20.100000000000001" customHeight="1">
      <c r="B12" s="453" t="s">
        <v>947</v>
      </c>
      <c r="C12" s="453" t="s">
        <v>950</v>
      </c>
      <c r="D12" s="454">
        <v>10</v>
      </c>
      <c r="E12" s="452">
        <v>2</v>
      </c>
      <c r="F12" s="452">
        <f t="shared" si="0"/>
        <v>20</v>
      </c>
    </row>
    <row r="13" spans="2:9" s="449" customFormat="1" ht="20.100000000000001" customHeight="1">
      <c r="B13" s="453" t="s">
        <v>947</v>
      </c>
      <c r="C13" s="453" t="s">
        <v>951</v>
      </c>
      <c r="D13" s="454">
        <v>10</v>
      </c>
      <c r="E13" s="452">
        <v>1</v>
      </c>
      <c r="F13" s="452">
        <f t="shared" si="0"/>
        <v>10</v>
      </c>
    </row>
    <row r="14" spans="2:9" s="449" customFormat="1" ht="20.100000000000001" customHeight="1">
      <c r="B14" s="453" t="s">
        <v>947</v>
      </c>
      <c r="C14" s="453" t="s">
        <v>952</v>
      </c>
      <c r="D14" s="454">
        <v>10</v>
      </c>
      <c r="E14" s="452">
        <v>3</v>
      </c>
      <c r="F14" s="452">
        <f t="shared" si="0"/>
        <v>30</v>
      </c>
    </row>
    <row r="15" spans="2:9" s="449" customFormat="1" ht="20.100000000000001" customHeight="1">
      <c r="B15" s="453" t="s">
        <v>953</v>
      </c>
      <c r="C15" s="453" t="s">
        <v>954</v>
      </c>
      <c r="D15" s="454">
        <v>10</v>
      </c>
      <c r="E15" s="452">
        <v>2</v>
      </c>
      <c r="F15" s="452">
        <f t="shared" si="0"/>
        <v>20</v>
      </c>
    </row>
    <row r="16" spans="2:9" s="449" customFormat="1" ht="20.100000000000001" customHeight="1">
      <c r="B16" s="453" t="s">
        <v>953</v>
      </c>
      <c r="C16" s="453" t="s">
        <v>955</v>
      </c>
      <c r="D16" s="454">
        <v>10</v>
      </c>
      <c r="E16" s="452">
        <v>3</v>
      </c>
      <c r="F16" s="452">
        <f t="shared" si="0"/>
        <v>30</v>
      </c>
    </row>
    <row r="17" spans="2:9" s="449" customFormat="1" ht="20.100000000000001" customHeight="1">
      <c r="B17" s="453" t="s">
        <v>953</v>
      </c>
      <c r="C17" s="453" t="s">
        <v>956</v>
      </c>
      <c r="D17" s="454">
        <v>5</v>
      </c>
      <c r="E17" s="452">
        <v>5</v>
      </c>
      <c r="F17" s="452">
        <f t="shared" si="0"/>
        <v>25</v>
      </c>
    </row>
    <row r="18" spans="2:9" s="449" customFormat="1" ht="20.100000000000001" customHeight="1">
      <c r="B18" s="453" t="s">
        <v>953</v>
      </c>
      <c r="C18" s="453" t="s">
        <v>957</v>
      </c>
      <c r="D18" s="454">
        <v>5</v>
      </c>
      <c r="E18" s="452">
        <v>7</v>
      </c>
      <c r="F18" s="452">
        <f t="shared" si="0"/>
        <v>35</v>
      </c>
    </row>
    <row r="19" spans="2:9" s="449" customFormat="1" ht="20.100000000000001" customHeight="1">
      <c r="B19" s="453" t="s">
        <v>953</v>
      </c>
      <c r="C19" s="453" t="s">
        <v>958</v>
      </c>
      <c r="D19" s="454">
        <v>5</v>
      </c>
      <c r="E19" s="452">
        <v>2</v>
      </c>
      <c r="F19" s="452">
        <f t="shared" si="0"/>
        <v>10</v>
      </c>
      <c r="H19" s="448"/>
      <c r="I19" s="448"/>
    </row>
  </sheetData>
  <mergeCells count="2">
    <mergeCell ref="B2:F2"/>
    <mergeCell ref="H2:I2"/>
  </mergeCells>
  <pageMargins left="0.511811024" right="0.511811024" top="0.78740157499999996" bottom="0.78740157499999996" header="0.31496062000000002" footer="0.31496062000000002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</sheetPr>
  <dimension ref="B2:J12"/>
  <sheetViews>
    <sheetView showGridLines="0" zoomScaleNormal="100" workbookViewId="0">
      <selection activeCell="M15" sqref="M15"/>
    </sheetView>
  </sheetViews>
  <sheetFormatPr defaultRowHeight="15"/>
  <cols>
    <col min="1" max="1" width="3.5703125" customWidth="1"/>
    <col min="2" max="2" width="6.85546875" customWidth="1"/>
    <col min="3" max="3" width="13.7109375" customWidth="1"/>
    <col min="4" max="4" width="15.28515625" customWidth="1"/>
    <col min="5" max="8" width="11.42578125" customWidth="1"/>
    <col min="9" max="9" width="12.7109375" customWidth="1"/>
    <col min="10" max="10" width="6.85546875" customWidth="1"/>
    <col min="11" max="11" width="4" customWidth="1"/>
    <col min="12" max="12" width="10.42578125" bestFit="1" customWidth="1"/>
    <col min="13" max="13" width="15.28515625" bestFit="1" customWidth="1"/>
  </cols>
  <sheetData>
    <row r="2" spans="2:10" ht="18.75">
      <c r="B2" s="723" t="s">
        <v>968</v>
      </c>
      <c r="C2" s="723"/>
      <c r="D2" s="723"/>
      <c r="E2" s="723"/>
      <c r="F2" s="723"/>
      <c r="G2" s="723"/>
      <c r="H2" s="723"/>
      <c r="I2" s="723"/>
      <c r="J2" s="180"/>
    </row>
    <row r="3" spans="2:10" ht="18" customHeight="1" thickBot="1">
      <c r="B3" s="52" t="s">
        <v>437</v>
      </c>
      <c r="C3" s="52" t="s">
        <v>317</v>
      </c>
      <c r="D3" s="52" t="s">
        <v>429</v>
      </c>
      <c r="E3" s="52" t="s">
        <v>439</v>
      </c>
      <c r="F3" s="52" t="s">
        <v>965</v>
      </c>
      <c r="G3" s="52" t="s">
        <v>969</v>
      </c>
      <c r="H3" s="52" t="s">
        <v>970</v>
      </c>
      <c r="I3" s="52" t="s">
        <v>440</v>
      </c>
      <c r="J3" s="52"/>
    </row>
    <row r="4" spans="2:10" ht="15.75" customHeight="1">
      <c r="B4" s="176">
        <v>1</v>
      </c>
      <c r="C4" s="52" t="s">
        <v>434</v>
      </c>
      <c r="D4" s="1" t="s">
        <v>163</v>
      </c>
      <c r="E4" s="174">
        <v>0</v>
      </c>
      <c r="F4" s="174">
        <v>4969</v>
      </c>
      <c r="G4" s="174">
        <v>5290</v>
      </c>
      <c r="H4" s="174">
        <v>5490</v>
      </c>
      <c r="I4" s="181">
        <f>AVERAGE(media_salarial[[#This Row],[2017]:[2020]])</f>
        <v>3937.25</v>
      </c>
      <c r="J4" s="174"/>
    </row>
    <row r="5" spans="2:10" ht="15.75" customHeight="1">
      <c r="B5" s="176">
        <v>2</v>
      </c>
      <c r="C5" s="52" t="s">
        <v>436</v>
      </c>
      <c r="D5" s="52" t="s">
        <v>438</v>
      </c>
      <c r="E5" s="174">
        <v>9363</v>
      </c>
      <c r="F5" s="174">
        <v>9684</v>
      </c>
      <c r="G5" s="174">
        <v>10005</v>
      </c>
      <c r="H5" s="174">
        <v>10122</v>
      </c>
      <c r="I5" s="182">
        <f>AVERAGE(media_salarial[[#This Row],[2017]:[2020]])</f>
        <v>9793.5</v>
      </c>
      <c r="J5" s="174"/>
    </row>
    <row r="6" spans="2:10" ht="15.75" customHeight="1">
      <c r="B6" s="176">
        <v>3</v>
      </c>
      <c r="C6" s="52" t="s">
        <v>435</v>
      </c>
      <c r="D6" s="52" t="s">
        <v>166</v>
      </c>
      <c r="E6" s="174">
        <v>7763</v>
      </c>
      <c r="F6" s="174">
        <v>8084</v>
      </c>
      <c r="G6" s="174">
        <v>8405</v>
      </c>
      <c r="H6" s="174">
        <v>8654</v>
      </c>
      <c r="I6" s="182">
        <f>AVERAGE(media_salarial[[#This Row],[2017]:[2020]])</f>
        <v>8226.5</v>
      </c>
      <c r="J6" s="174"/>
    </row>
    <row r="7" spans="2:10" ht="15.75" customHeight="1">
      <c r="B7" s="176">
        <v>4</v>
      </c>
      <c r="C7" s="52" t="s">
        <v>430</v>
      </c>
      <c r="D7" s="52" t="s">
        <v>164</v>
      </c>
      <c r="E7" s="174">
        <v>3716</v>
      </c>
      <c r="F7" s="174">
        <v>4037</v>
      </c>
      <c r="G7" s="174">
        <v>4358</v>
      </c>
      <c r="H7" s="174">
        <v>4440</v>
      </c>
      <c r="I7" s="182">
        <f>AVERAGE(media_salarial[[#This Row],[2017]:[2020]])</f>
        <v>4137.75</v>
      </c>
      <c r="J7" s="174"/>
    </row>
    <row r="8" spans="2:10" ht="15.75" customHeight="1">
      <c r="B8" s="176">
        <v>5</v>
      </c>
      <c r="C8" s="52" t="s">
        <v>971</v>
      </c>
      <c r="D8" s="52" t="s">
        <v>166</v>
      </c>
      <c r="E8" s="174">
        <v>8945</v>
      </c>
      <c r="F8" s="174">
        <v>9266</v>
      </c>
      <c r="G8" s="174">
        <v>9587</v>
      </c>
      <c r="H8" s="174">
        <v>9658</v>
      </c>
      <c r="I8" s="182">
        <f>AVERAGE(media_salarial[[#This Row],[2017]:[2020]])</f>
        <v>9364</v>
      </c>
      <c r="J8" s="174"/>
    </row>
    <row r="9" spans="2:10" ht="15.75" customHeight="1">
      <c r="B9" s="176">
        <v>6</v>
      </c>
      <c r="C9" s="52" t="s">
        <v>433</v>
      </c>
      <c r="D9" s="52" t="s">
        <v>164</v>
      </c>
      <c r="E9" s="174">
        <v>7134</v>
      </c>
      <c r="F9" s="174">
        <v>7455</v>
      </c>
      <c r="G9" s="174">
        <v>7776</v>
      </c>
      <c r="H9" s="174">
        <v>8100</v>
      </c>
      <c r="I9" s="182">
        <f>AVERAGE(media_salarial[[#This Row],[2017]:[2020]])</f>
        <v>7616.25</v>
      </c>
      <c r="J9" s="174"/>
    </row>
    <row r="10" spans="2:10" ht="15.75" customHeight="1" thickBot="1">
      <c r="B10" s="176">
        <v>7</v>
      </c>
      <c r="C10" s="52" t="s">
        <v>432</v>
      </c>
      <c r="D10" s="52" t="s">
        <v>163</v>
      </c>
      <c r="E10" s="174">
        <v>5609</v>
      </c>
      <c r="F10" s="174">
        <v>5930</v>
      </c>
      <c r="G10" s="174">
        <v>6251</v>
      </c>
      <c r="H10" s="174">
        <v>6521</v>
      </c>
      <c r="I10" s="183">
        <f>AVERAGE(media_salarial[[#This Row],[2017]:[2020]])</f>
        <v>6077.75</v>
      </c>
      <c r="J10" s="174"/>
    </row>
    <row r="12" spans="2:10" ht="34.5" customHeight="1"/>
  </sheetData>
  <sortState xmlns:xlrd2="http://schemas.microsoft.com/office/spreadsheetml/2017/richdata2" ref="B4:E10">
    <sortCondition ref="C4"/>
  </sortState>
  <mergeCells count="1">
    <mergeCell ref="B2:I2"/>
  </mergeCells>
  <phoneticPr fontId="76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70C0"/>
  </sheetPr>
  <dimension ref="B1:N18"/>
  <sheetViews>
    <sheetView showGridLines="0" zoomScaleNormal="100" workbookViewId="0">
      <selection activeCell="C17" sqref="C17"/>
    </sheetView>
  </sheetViews>
  <sheetFormatPr defaultRowHeight="15"/>
  <cols>
    <col min="1" max="1" width="5.28515625" customWidth="1"/>
    <col min="2" max="2" width="18.5703125" customWidth="1"/>
    <col min="3" max="14" width="12.7109375" customWidth="1"/>
  </cols>
  <sheetData>
    <row r="1" spans="2:14">
      <c r="B1" s="434"/>
    </row>
    <row r="2" spans="2:14" ht="15.75" thickBot="1"/>
    <row r="3" spans="2:14" ht="15" customHeight="1" thickBot="1">
      <c r="C3" s="724" t="s">
        <v>104</v>
      </c>
      <c r="D3" s="725"/>
      <c r="E3" s="726"/>
      <c r="F3" s="724" t="s">
        <v>105</v>
      </c>
      <c r="G3" s="725"/>
      <c r="H3" s="726"/>
      <c r="I3" s="724" t="s">
        <v>106</v>
      </c>
      <c r="J3" s="725"/>
      <c r="K3" s="726"/>
      <c r="L3" s="724" t="s">
        <v>107</v>
      </c>
      <c r="M3" s="725"/>
      <c r="N3" s="726"/>
    </row>
    <row r="4" spans="2:14" ht="15" customHeight="1" thickBot="1">
      <c r="B4" s="1" t="s">
        <v>301</v>
      </c>
      <c r="C4" s="429" t="s">
        <v>443</v>
      </c>
      <c r="D4" s="430" t="s">
        <v>444</v>
      </c>
      <c r="E4" s="431" t="s">
        <v>898</v>
      </c>
      <c r="F4" s="429" t="s">
        <v>899</v>
      </c>
      <c r="G4" s="430" t="s">
        <v>900</v>
      </c>
      <c r="H4" s="431" t="s">
        <v>901</v>
      </c>
      <c r="I4" s="429" t="s">
        <v>902</v>
      </c>
      <c r="J4" s="430" t="s">
        <v>903</v>
      </c>
      <c r="K4" s="431" t="s">
        <v>904</v>
      </c>
      <c r="L4" s="429" t="s">
        <v>905</v>
      </c>
      <c r="M4" s="430" t="s">
        <v>906</v>
      </c>
      <c r="N4" s="431" t="s">
        <v>907</v>
      </c>
    </row>
    <row r="5" spans="2:14" ht="18" customHeight="1">
      <c r="B5" s="423" t="s">
        <v>747</v>
      </c>
      <c r="C5" s="427">
        <v>2445</v>
      </c>
      <c r="D5" s="428">
        <v>2759</v>
      </c>
      <c r="E5" s="419">
        <v>5765</v>
      </c>
      <c r="F5" s="418">
        <v>6902</v>
      </c>
      <c r="G5" s="54">
        <v>2862</v>
      </c>
      <c r="H5" s="419">
        <v>4683</v>
      </c>
      <c r="I5" s="418">
        <v>3094</v>
      </c>
      <c r="J5" s="54">
        <v>4085</v>
      </c>
      <c r="K5" s="419">
        <v>8332</v>
      </c>
      <c r="L5" s="418">
        <v>3446</v>
      </c>
      <c r="M5" s="54">
        <v>7412</v>
      </c>
      <c r="N5" s="419">
        <v>5922</v>
      </c>
    </row>
    <row r="6" spans="2:14" ht="18" customHeight="1">
      <c r="B6" s="423" t="s">
        <v>748</v>
      </c>
      <c r="C6" s="424">
        <v>6883</v>
      </c>
      <c r="D6" s="410">
        <v>1192</v>
      </c>
      <c r="E6" s="419">
        <v>2434</v>
      </c>
      <c r="F6" s="418">
        <v>3956</v>
      </c>
      <c r="G6" s="54">
        <v>6151</v>
      </c>
      <c r="H6" s="419">
        <v>5386</v>
      </c>
      <c r="I6" s="418">
        <v>6378</v>
      </c>
      <c r="J6" s="54">
        <v>6313</v>
      </c>
      <c r="K6" s="419">
        <v>2845</v>
      </c>
      <c r="L6" s="418">
        <v>7526</v>
      </c>
      <c r="M6" s="54">
        <v>7752</v>
      </c>
      <c r="N6" s="419">
        <v>8822</v>
      </c>
    </row>
    <row r="7" spans="2:14" ht="18" customHeight="1">
      <c r="B7" s="423" t="s">
        <v>583</v>
      </c>
      <c r="C7" s="424">
        <v>6055</v>
      </c>
      <c r="D7" s="410">
        <v>1830</v>
      </c>
      <c r="E7" s="419">
        <v>5007</v>
      </c>
      <c r="F7" s="418">
        <v>5533</v>
      </c>
      <c r="G7" s="54">
        <v>8772</v>
      </c>
      <c r="H7" s="419">
        <v>2554</v>
      </c>
      <c r="I7" s="418">
        <v>1759</v>
      </c>
      <c r="J7" s="54">
        <v>5279</v>
      </c>
      <c r="K7" s="419">
        <v>4482</v>
      </c>
      <c r="L7" s="418">
        <v>1982</v>
      </c>
      <c r="M7" s="54">
        <v>2516</v>
      </c>
      <c r="N7" s="419">
        <v>6560</v>
      </c>
    </row>
    <row r="8" spans="2:14" ht="18" customHeight="1">
      <c r="B8" s="423" t="s">
        <v>586</v>
      </c>
      <c r="C8" s="424">
        <v>7992</v>
      </c>
      <c r="D8" s="410">
        <v>5883</v>
      </c>
      <c r="E8" s="419">
        <v>3231</v>
      </c>
      <c r="F8" s="418">
        <v>5022</v>
      </c>
      <c r="G8" s="54">
        <v>4152</v>
      </c>
      <c r="H8" s="419">
        <v>8233</v>
      </c>
      <c r="I8" s="418">
        <v>8586</v>
      </c>
      <c r="J8" s="54">
        <v>6427</v>
      </c>
      <c r="K8" s="419">
        <v>8051</v>
      </c>
      <c r="L8" s="418">
        <v>6818</v>
      </c>
      <c r="M8" s="54">
        <v>8346</v>
      </c>
      <c r="N8" s="419">
        <v>4225</v>
      </c>
    </row>
    <row r="9" spans="2:14" ht="18" customHeight="1">
      <c r="B9" s="423" t="s">
        <v>711</v>
      </c>
      <c r="C9" s="424">
        <v>3429</v>
      </c>
      <c r="D9" s="410">
        <v>2853</v>
      </c>
      <c r="E9" s="419">
        <v>4905</v>
      </c>
      <c r="F9" s="418">
        <v>2251</v>
      </c>
      <c r="G9" s="54">
        <v>4766</v>
      </c>
      <c r="H9" s="419">
        <v>8566</v>
      </c>
      <c r="I9" s="418">
        <v>1747</v>
      </c>
      <c r="J9" s="54">
        <v>4657</v>
      </c>
      <c r="K9" s="419">
        <v>6483</v>
      </c>
      <c r="L9" s="418">
        <v>7347</v>
      </c>
      <c r="M9" s="54">
        <v>5584</v>
      </c>
      <c r="N9" s="419">
        <v>8613</v>
      </c>
    </row>
    <row r="10" spans="2:14" ht="18" customHeight="1" thickBot="1">
      <c r="B10" s="423" t="s">
        <v>710</v>
      </c>
      <c r="C10" s="425">
        <v>1003</v>
      </c>
      <c r="D10" s="426">
        <v>1268</v>
      </c>
      <c r="E10" s="422">
        <v>2123</v>
      </c>
      <c r="F10" s="420">
        <v>1759</v>
      </c>
      <c r="G10" s="421">
        <v>4943</v>
      </c>
      <c r="H10" s="422">
        <v>2767</v>
      </c>
      <c r="I10" s="420">
        <v>8246</v>
      </c>
      <c r="J10" s="421">
        <v>6861</v>
      </c>
      <c r="K10" s="422">
        <v>4731</v>
      </c>
      <c r="L10" s="420">
        <v>5853</v>
      </c>
      <c r="M10" s="421">
        <v>2241</v>
      </c>
      <c r="N10" s="422">
        <v>6977</v>
      </c>
    </row>
    <row r="12" spans="2:14">
      <c r="B12" s="411" t="s">
        <v>584</v>
      </c>
      <c r="C12" s="411" t="s">
        <v>104</v>
      </c>
      <c r="D12" s="411" t="s">
        <v>105</v>
      </c>
      <c r="E12" s="411" t="s">
        <v>106</v>
      </c>
      <c r="F12" s="411" t="s">
        <v>107</v>
      </c>
    </row>
    <row r="13" spans="2:14">
      <c r="B13" s="412" t="s">
        <v>910</v>
      </c>
      <c r="C13" s="413">
        <f>MAX(TB_vendas[[JAN]:[MAR]])</f>
        <v>7992</v>
      </c>
      <c r="D13" s="413">
        <f>MAX(TB_vendas[[#All],[ABR]:[SET]])</f>
        <v>8772</v>
      </c>
      <c r="E13" s="414">
        <f>MAX(C3:H10)</f>
        <v>8772</v>
      </c>
      <c r="F13" s="414">
        <f>MAX(I3:N10)</f>
        <v>8822</v>
      </c>
    </row>
    <row r="14" spans="2:14">
      <c r="B14" s="415" t="s">
        <v>909</v>
      </c>
      <c r="C14" s="416">
        <f>MIN(C3:H10)</f>
        <v>1003</v>
      </c>
      <c r="D14" s="416">
        <f>MIN(F3:K10)</f>
        <v>1747</v>
      </c>
      <c r="E14" s="417">
        <f>MIN(C3:H10)</f>
        <v>1003</v>
      </c>
      <c r="F14" s="417">
        <f>MIN(C3:N10)</f>
        <v>1003</v>
      </c>
    </row>
    <row r="16" spans="2:14">
      <c r="B16" s="411" t="s">
        <v>584</v>
      </c>
      <c r="C16" s="411" t="s">
        <v>441</v>
      </c>
    </row>
    <row r="17" spans="2:3">
      <c r="B17" s="412" t="s">
        <v>910</v>
      </c>
      <c r="C17" s="413">
        <f>MAX(C3:E10)</f>
        <v>7992</v>
      </c>
    </row>
    <row r="18" spans="2:3">
      <c r="B18" s="415" t="s">
        <v>909</v>
      </c>
      <c r="C18" s="416">
        <f>MAX(F3:K10)</f>
        <v>8772</v>
      </c>
    </row>
  </sheetData>
  <mergeCells count="4">
    <mergeCell ref="C3:E3"/>
    <mergeCell ref="F3:H3"/>
    <mergeCell ref="I3:K3"/>
    <mergeCell ref="L3:N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</sheetPr>
  <dimension ref="B1:J20"/>
  <sheetViews>
    <sheetView showGridLines="0" zoomScaleNormal="100" workbookViewId="0">
      <selection activeCell="C11" sqref="C11"/>
    </sheetView>
  </sheetViews>
  <sheetFormatPr defaultRowHeight="15.75" customHeight="1"/>
  <cols>
    <col min="1" max="1" width="3.28515625" customWidth="1"/>
    <col min="2" max="2" width="16.42578125" customWidth="1"/>
    <col min="3" max="3" width="16.28515625" customWidth="1"/>
    <col min="4" max="4" width="3.7109375" customWidth="1"/>
    <col min="5" max="7" width="7.7109375" customWidth="1"/>
    <col min="8" max="8" width="4.42578125" customWidth="1"/>
    <col min="12" max="12" width="3.85546875" customWidth="1"/>
  </cols>
  <sheetData>
    <row r="1" spans="2:10" ht="15.75" customHeight="1">
      <c r="J1" s="433"/>
    </row>
    <row r="2" spans="2:10" ht="15.75" customHeight="1" thickBot="1"/>
    <row r="3" spans="2:10" ht="15.75" customHeight="1" thickBot="1">
      <c r="B3" s="184" t="s">
        <v>450</v>
      </c>
      <c r="C3" s="185"/>
    </row>
    <row r="4" spans="2:10" ht="15.75" customHeight="1" thickBot="1">
      <c r="B4" s="456" t="s">
        <v>445</v>
      </c>
      <c r="C4" s="457" t="s">
        <v>330</v>
      </c>
      <c r="E4" s="733" t="s">
        <v>447</v>
      </c>
      <c r="F4" s="734"/>
      <c r="G4" s="735"/>
    </row>
    <row r="5" spans="2:10" ht="15.75" customHeight="1" thickTop="1" thickBot="1">
      <c r="B5" s="395" t="s">
        <v>468</v>
      </c>
      <c r="C5" s="459">
        <v>50</v>
      </c>
      <c r="E5" s="736"/>
      <c r="F5" s="737"/>
      <c r="G5" s="738"/>
    </row>
    <row r="6" spans="2:10" ht="15.75" customHeight="1">
      <c r="B6" s="399" t="s">
        <v>926</v>
      </c>
      <c r="C6" s="460">
        <v>1500</v>
      </c>
      <c r="E6" s="739">
        <f>COUNT(tab_clientes[Valor])</f>
        <v>16</v>
      </c>
      <c r="F6" s="740"/>
      <c r="G6" s="741"/>
    </row>
    <row r="7" spans="2:10" ht="15.75" customHeight="1" thickBot="1">
      <c r="B7" s="399" t="s">
        <v>914</v>
      </c>
      <c r="C7" s="460">
        <v>18888</v>
      </c>
      <c r="E7" s="742"/>
      <c r="F7" s="743"/>
      <c r="G7" s="744"/>
    </row>
    <row r="8" spans="2:10" ht="15.75" customHeight="1" thickBot="1">
      <c r="B8" s="399" t="s">
        <v>915</v>
      </c>
      <c r="C8" s="460">
        <v>15155</v>
      </c>
    </row>
    <row r="9" spans="2:10" ht="15.75" customHeight="1">
      <c r="B9" s="399" t="s">
        <v>916</v>
      </c>
      <c r="C9" s="460">
        <v>255</v>
      </c>
      <c r="E9" s="745" t="s">
        <v>448</v>
      </c>
      <c r="F9" s="746"/>
      <c r="G9" s="747"/>
    </row>
    <row r="10" spans="2:10" ht="15.75" customHeight="1" thickBot="1">
      <c r="B10" s="399" t="s">
        <v>917</v>
      </c>
      <c r="C10" s="460">
        <v>5888</v>
      </c>
      <c r="E10" s="748"/>
      <c r="F10" s="749"/>
      <c r="G10" s="750"/>
    </row>
    <row r="11" spans="2:10" ht="15.75" customHeight="1">
      <c r="B11" s="399" t="s">
        <v>918</v>
      </c>
      <c r="C11" s="460">
        <v>222</v>
      </c>
      <c r="E11" s="751">
        <f>COUNTBLANK(tab_clientes[Valor])</f>
        <v>0</v>
      </c>
      <c r="F11" s="752"/>
      <c r="G11" s="753"/>
    </row>
    <row r="12" spans="2:10" ht="15.75" customHeight="1" thickBot="1">
      <c r="B12" s="399" t="s">
        <v>919</v>
      </c>
      <c r="C12" s="460">
        <v>1156532</v>
      </c>
      <c r="E12" s="754"/>
      <c r="F12" s="755"/>
      <c r="G12" s="756"/>
    </row>
    <row r="13" spans="2:10" ht="15.75" customHeight="1" thickBot="1">
      <c r="B13" s="399" t="s">
        <v>920</v>
      </c>
      <c r="C13" s="460">
        <v>115</v>
      </c>
    </row>
    <row r="14" spans="2:10" ht="15.75" customHeight="1">
      <c r="B14" s="399" t="s">
        <v>921</v>
      </c>
      <c r="C14" s="460">
        <v>15</v>
      </c>
      <c r="E14" s="757" t="s">
        <v>449</v>
      </c>
      <c r="F14" s="758"/>
      <c r="G14" s="759"/>
    </row>
    <row r="15" spans="2:10" ht="15.75" customHeight="1" thickBot="1">
      <c r="B15" s="399" t="s">
        <v>922</v>
      </c>
      <c r="C15" s="460">
        <v>573</v>
      </c>
      <c r="E15" s="760"/>
      <c r="F15" s="761"/>
      <c r="G15" s="762"/>
    </row>
    <row r="16" spans="2:10" ht="15.75" customHeight="1">
      <c r="B16" s="399" t="s">
        <v>923</v>
      </c>
      <c r="C16" s="460">
        <v>86</v>
      </c>
      <c r="E16" s="727">
        <f>COUNTA(tab_clientes[Cliente])</f>
        <v>16</v>
      </c>
      <c r="F16" s="728"/>
      <c r="G16" s="729"/>
    </row>
    <row r="17" spans="2:7" ht="15.75" customHeight="1" thickBot="1">
      <c r="B17" s="399" t="s">
        <v>924</v>
      </c>
      <c r="C17" s="460">
        <v>4896</v>
      </c>
      <c r="E17" s="730"/>
      <c r="F17" s="731"/>
      <c r="G17" s="732"/>
    </row>
    <row r="18" spans="2:7" ht="15.75" customHeight="1">
      <c r="B18" s="399" t="s">
        <v>925</v>
      </c>
      <c r="C18" s="460">
        <v>444</v>
      </c>
    </row>
    <row r="19" spans="2:7" ht="15.75" customHeight="1">
      <c r="B19" s="399" t="s">
        <v>538</v>
      </c>
      <c r="C19" s="460">
        <v>455558</v>
      </c>
    </row>
    <row r="20" spans="2:7" ht="15.75" customHeight="1">
      <c r="B20" s="399" t="s">
        <v>573</v>
      </c>
      <c r="C20" s="460">
        <v>588</v>
      </c>
    </row>
  </sheetData>
  <mergeCells count="6">
    <mergeCell ref="E16:G17"/>
    <mergeCell ref="E4:G5"/>
    <mergeCell ref="E6:G7"/>
    <mergeCell ref="E9:G10"/>
    <mergeCell ref="E11:G12"/>
    <mergeCell ref="E14:G15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B7406"/>
    <outlinePr summaryBelow="0" summaryRight="0"/>
  </sheetPr>
  <dimension ref="B1:L1003"/>
  <sheetViews>
    <sheetView showGridLines="0" zoomScale="90" zoomScaleNormal="90" workbookViewId="0">
      <selection activeCell="B11" sqref="B11"/>
    </sheetView>
  </sheetViews>
  <sheetFormatPr defaultColWidth="14.42578125" defaultRowHeight="15.75" customHeight="1"/>
  <cols>
    <col min="1" max="2" width="14.42578125" style="155"/>
    <col min="3" max="3" width="9.7109375" style="155" customWidth="1"/>
    <col min="4" max="4" width="5.5703125" style="155" customWidth="1"/>
    <col min="5" max="5" width="31" style="155" customWidth="1"/>
    <col min="6" max="7" width="14.42578125" style="155"/>
    <col min="8" max="8" width="14.42578125" style="168"/>
    <col min="9" max="9" width="7" style="155" customWidth="1"/>
    <col min="10" max="10" width="3.5703125" style="155" customWidth="1"/>
    <col min="11" max="11" width="20.42578125" style="155" customWidth="1"/>
    <col min="12" max="14" width="14.42578125" style="155"/>
    <col min="15" max="15" width="15.85546875" style="155" bestFit="1" customWidth="1"/>
    <col min="16" max="16" width="14.140625" style="155" bestFit="1" customWidth="1"/>
    <col min="17" max="16384" width="14.42578125" style="155"/>
  </cols>
  <sheetData>
    <row r="1" spans="2:12" ht="35.25" customHeight="1">
      <c r="E1" s="766" t="s">
        <v>385</v>
      </c>
      <c r="F1" s="767"/>
      <c r="G1" s="767"/>
      <c r="H1" s="767"/>
      <c r="I1" s="767"/>
      <c r="J1" s="767"/>
      <c r="K1" s="767"/>
      <c r="L1" s="767"/>
    </row>
    <row r="2" spans="2:12" ht="12.75">
      <c r="E2" s="156"/>
      <c r="F2" s="157"/>
      <c r="G2" s="157"/>
      <c r="H2" s="162"/>
    </row>
    <row r="3" spans="2:12" ht="12.75">
      <c r="E3" s="768"/>
      <c r="F3" s="764"/>
      <c r="G3" s="765"/>
      <c r="H3" s="163" t="s">
        <v>386</v>
      </c>
      <c r="J3" s="571"/>
      <c r="K3" s="579" t="s">
        <v>387</v>
      </c>
      <c r="L3" s="579" t="s">
        <v>108</v>
      </c>
    </row>
    <row r="4" spans="2:12" ht="15">
      <c r="B4"/>
      <c r="E4" s="769" t="s">
        <v>388</v>
      </c>
      <c r="F4" s="770"/>
      <c r="G4" s="770"/>
      <c r="H4" s="771"/>
      <c r="J4" s="572"/>
      <c r="K4" s="580" t="s">
        <v>388</v>
      </c>
      <c r="L4" s="581">
        <f>H10</f>
        <v>-4700</v>
      </c>
    </row>
    <row r="5" spans="2:12" ht="12.75">
      <c r="E5" s="763" t="s">
        <v>389</v>
      </c>
      <c r="F5" s="764"/>
      <c r="G5" s="765"/>
      <c r="H5" s="161">
        <v>1200</v>
      </c>
      <c r="J5" s="573"/>
      <c r="K5" s="580" t="s">
        <v>390</v>
      </c>
      <c r="L5" s="581">
        <f>H22</f>
        <v>-14350</v>
      </c>
    </row>
    <row r="6" spans="2:12" ht="12.75">
      <c r="E6" s="763" t="s">
        <v>391</v>
      </c>
      <c r="F6" s="764"/>
      <c r="G6" s="765"/>
      <c r="H6" s="161">
        <v>900</v>
      </c>
      <c r="J6" s="574"/>
      <c r="K6" s="580" t="s">
        <v>392</v>
      </c>
      <c r="L6" s="581">
        <f>H30</f>
        <v>2670</v>
      </c>
    </row>
    <row r="7" spans="2:12" ht="12.75">
      <c r="E7" s="763" t="s">
        <v>393</v>
      </c>
      <c r="F7" s="764"/>
      <c r="G7" s="765"/>
      <c r="H7" s="161">
        <v>300</v>
      </c>
      <c r="J7" s="575"/>
      <c r="K7" s="580" t="s">
        <v>394</v>
      </c>
      <c r="L7" s="581">
        <f>SUM(H25:H29)</f>
        <v>2670</v>
      </c>
    </row>
    <row r="8" spans="2:12" ht="12.75">
      <c r="E8" s="763" t="s">
        <v>395</v>
      </c>
      <c r="F8" s="764"/>
      <c r="G8" s="765"/>
      <c r="H8" s="161">
        <v>300</v>
      </c>
      <c r="J8" s="576"/>
      <c r="K8" s="580" t="s">
        <v>396</v>
      </c>
      <c r="L8" s="581">
        <f>SUM(H39)</f>
        <v>16500</v>
      </c>
    </row>
    <row r="9" spans="2:12" ht="12.75">
      <c r="E9" s="763" t="s">
        <v>397</v>
      </c>
      <c r="F9" s="764"/>
      <c r="G9" s="765"/>
      <c r="H9" s="161">
        <v>2000</v>
      </c>
      <c r="J9" s="172"/>
      <c r="K9" s="577" t="s">
        <v>398</v>
      </c>
      <c r="L9" s="578">
        <f>SUM(H59)</f>
        <v>11950</v>
      </c>
    </row>
    <row r="10" spans="2:12" ht="12.75">
      <c r="E10" s="772" t="s">
        <v>399</v>
      </c>
      <c r="F10" s="764"/>
      <c r="G10" s="765"/>
      <c r="H10" s="170">
        <f>-SUM(H5:H9)</f>
        <v>-4700</v>
      </c>
      <c r="K10" s="158" t="s">
        <v>108</v>
      </c>
      <c r="L10" s="169">
        <f>SUM(L4:L9)</f>
        <v>14740</v>
      </c>
    </row>
    <row r="11" spans="2:12" ht="12.75">
      <c r="H11" s="164"/>
    </row>
    <row r="12" spans="2:12" ht="12.75">
      <c r="E12" s="773" t="s">
        <v>390</v>
      </c>
      <c r="F12" s="774"/>
      <c r="G12" s="774"/>
      <c r="H12" s="775"/>
    </row>
    <row r="13" spans="2:12" ht="12.75">
      <c r="E13" s="763" t="s">
        <v>400</v>
      </c>
      <c r="F13" s="764"/>
      <c r="G13" s="765"/>
      <c r="H13" s="161">
        <v>1200</v>
      </c>
    </row>
    <row r="14" spans="2:12" ht="12.75">
      <c r="E14" s="763" t="s">
        <v>401</v>
      </c>
      <c r="F14" s="764"/>
      <c r="G14" s="765"/>
      <c r="H14" s="161">
        <v>400</v>
      </c>
    </row>
    <row r="15" spans="2:12" ht="12.75">
      <c r="E15" s="763" t="s">
        <v>402</v>
      </c>
      <c r="F15" s="764"/>
      <c r="G15" s="765"/>
      <c r="H15" s="161">
        <v>100</v>
      </c>
    </row>
    <row r="16" spans="2:12" ht="12.75">
      <c r="E16" s="763" t="s">
        <v>403</v>
      </c>
      <c r="F16" s="764"/>
      <c r="G16" s="765"/>
      <c r="H16" s="161">
        <v>300</v>
      </c>
    </row>
    <row r="17" spans="3:8" ht="12.75">
      <c r="E17" s="763" t="s">
        <v>404</v>
      </c>
      <c r="F17" s="764"/>
      <c r="G17" s="765"/>
      <c r="H17" s="161">
        <v>800</v>
      </c>
    </row>
    <row r="18" spans="3:8" ht="12.75">
      <c r="E18" s="763" t="s">
        <v>405</v>
      </c>
      <c r="F18" s="764"/>
      <c r="G18" s="765"/>
      <c r="H18" s="161">
        <v>150</v>
      </c>
    </row>
    <row r="19" spans="3:8" ht="12.75">
      <c r="E19" s="763" t="s">
        <v>406</v>
      </c>
      <c r="F19" s="764"/>
      <c r="G19" s="765"/>
      <c r="H19" s="161">
        <v>1000</v>
      </c>
    </row>
    <row r="20" spans="3:8" ht="12.75">
      <c r="E20" s="763" t="s">
        <v>407</v>
      </c>
      <c r="F20" s="764"/>
      <c r="G20" s="765"/>
      <c r="H20" s="161">
        <v>400</v>
      </c>
    </row>
    <row r="21" spans="3:8" ht="12.75">
      <c r="E21" s="763" t="s">
        <v>408</v>
      </c>
      <c r="F21" s="764"/>
      <c r="G21" s="765"/>
      <c r="H21" s="161">
        <v>10000</v>
      </c>
    </row>
    <row r="22" spans="3:8" ht="12.75">
      <c r="E22" s="772" t="s">
        <v>399</v>
      </c>
      <c r="F22" s="764"/>
      <c r="G22" s="765"/>
      <c r="H22" s="171">
        <f>-SUM(H13:H21)</f>
        <v>-14350</v>
      </c>
    </row>
    <row r="23" spans="3:8" ht="12.75">
      <c r="H23" s="164"/>
    </row>
    <row r="24" spans="3:8" ht="15">
      <c r="C24"/>
      <c r="E24" s="776" t="s">
        <v>409</v>
      </c>
      <c r="F24" s="764"/>
      <c r="G24" s="764"/>
      <c r="H24" s="765"/>
    </row>
    <row r="25" spans="3:8" ht="12.75">
      <c r="E25" s="763" t="s">
        <v>410</v>
      </c>
      <c r="F25" s="764"/>
      <c r="G25" s="765"/>
      <c r="H25" s="161">
        <v>100</v>
      </c>
    </row>
    <row r="26" spans="3:8" ht="12.75">
      <c r="E26" s="763" t="s">
        <v>411</v>
      </c>
      <c r="F26" s="764"/>
      <c r="G26" s="765"/>
      <c r="H26" s="161">
        <v>2000</v>
      </c>
    </row>
    <row r="27" spans="3:8" ht="12.75">
      <c r="E27" s="763" t="s">
        <v>412</v>
      </c>
      <c r="F27" s="764"/>
      <c r="G27" s="765"/>
      <c r="H27" s="161">
        <v>400</v>
      </c>
    </row>
    <row r="28" spans="3:8" ht="12.75">
      <c r="E28" s="763" t="s">
        <v>413</v>
      </c>
      <c r="F28" s="764"/>
      <c r="G28" s="765"/>
      <c r="H28" s="161">
        <v>50</v>
      </c>
    </row>
    <row r="29" spans="3:8" ht="12.75">
      <c r="E29" s="763" t="s">
        <v>414</v>
      </c>
      <c r="F29" s="764"/>
      <c r="G29" s="765"/>
      <c r="H29" s="161">
        <v>120</v>
      </c>
    </row>
    <row r="30" spans="3:8" ht="12.75">
      <c r="E30" s="772" t="s">
        <v>399</v>
      </c>
      <c r="F30" s="764"/>
      <c r="G30" s="765"/>
      <c r="H30" s="165">
        <f>SUM(H25:H29)</f>
        <v>2670</v>
      </c>
    </row>
    <row r="31" spans="3:8" ht="12.75">
      <c r="H31" s="164"/>
    </row>
    <row r="32" spans="3:8" ht="12.75">
      <c r="E32" s="777" t="s">
        <v>394</v>
      </c>
      <c r="F32" s="764"/>
      <c r="G32" s="764"/>
      <c r="H32" s="765"/>
    </row>
    <row r="33" spans="5:8" ht="12.75">
      <c r="E33" s="763" t="s">
        <v>415</v>
      </c>
      <c r="F33" s="764"/>
      <c r="G33" s="765"/>
      <c r="H33" s="161">
        <v>1000</v>
      </c>
    </row>
    <row r="34" spans="5:8" ht="12.75">
      <c r="E34" s="763" t="s">
        <v>416</v>
      </c>
      <c r="F34" s="764"/>
      <c r="G34" s="765"/>
      <c r="H34" s="161">
        <v>5000</v>
      </c>
    </row>
    <row r="35" spans="5:8" ht="12.75">
      <c r="E35" s="763" t="s">
        <v>417</v>
      </c>
      <c r="F35" s="764"/>
      <c r="G35" s="765"/>
      <c r="H35" s="161">
        <v>2000</v>
      </c>
    </row>
    <row r="36" spans="5:8" ht="12.75">
      <c r="E36" s="763" t="s">
        <v>418</v>
      </c>
      <c r="F36" s="764"/>
      <c r="G36" s="765"/>
      <c r="H36" s="161">
        <v>2000</v>
      </c>
    </row>
    <row r="37" spans="5:8" ht="12.75">
      <c r="E37" s="763" t="s">
        <v>419</v>
      </c>
      <c r="F37" s="764"/>
      <c r="G37" s="765"/>
      <c r="H37" s="161">
        <v>3500</v>
      </c>
    </row>
    <row r="38" spans="5:8" ht="12.75">
      <c r="E38" s="763" t="s">
        <v>420</v>
      </c>
      <c r="F38" s="764"/>
      <c r="G38" s="765"/>
      <c r="H38" s="161">
        <v>3000</v>
      </c>
    </row>
    <row r="39" spans="5:8" ht="12.75">
      <c r="E39" s="772" t="s">
        <v>399</v>
      </c>
      <c r="F39" s="764"/>
      <c r="G39" s="765"/>
      <c r="H39" s="166">
        <f>SUM(H33:H38)</f>
        <v>16500</v>
      </c>
    </row>
    <row r="40" spans="5:8" ht="12.75">
      <c r="H40" s="164"/>
    </row>
    <row r="41" spans="5:8" ht="12.75">
      <c r="E41" s="778" t="s">
        <v>396</v>
      </c>
      <c r="F41" s="764"/>
      <c r="G41" s="764"/>
      <c r="H41" s="765"/>
    </row>
    <row r="42" spans="5:8" ht="12.75">
      <c r="E42" s="763" t="s">
        <v>421</v>
      </c>
      <c r="F42" s="764"/>
      <c r="G42" s="765"/>
      <c r="H42" s="161">
        <v>2000</v>
      </c>
    </row>
    <row r="43" spans="5:8" ht="12.75">
      <c r="E43" s="763" t="s">
        <v>389</v>
      </c>
      <c r="F43" s="764"/>
      <c r="G43" s="765"/>
      <c r="H43" s="161">
        <v>500</v>
      </c>
    </row>
    <row r="44" spans="5:8" ht="12.75">
      <c r="E44" s="763" t="s">
        <v>422</v>
      </c>
      <c r="F44" s="764"/>
      <c r="G44" s="765"/>
      <c r="H44" s="161">
        <v>150</v>
      </c>
    </row>
    <row r="45" spans="5:8" ht="12.75">
      <c r="E45" s="763" t="s">
        <v>423</v>
      </c>
      <c r="F45" s="764"/>
      <c r="G45" s="765"/>
      <c r="H45" s="161">
        <v>1500</v>
      </c>
    </row>
    <row r="46" spans="5:8" ht="12.75">
      <c r="E46" s="763" t="s">
        <v>424</v>
      </c>
      <c r="F46" s="764"/>
      <c r="G46" s="765"/>
      <c r="H46" s="161">
        <v>1000</v>
      </c>
    </row>
    <row r="47" spans="5:8" ht="12.75">
      <c r="E47" s="763" t="s">
        <v>425</v>
      </c>
      <c r="F47" s="764"/>
      <c r="G47" s="765"/>
      <c r="H47" s="161">
        <v>3500</v>
      </c>
    </row>
    <row r="48" spans="5:8" ht="12.75">
      <c r="E48" s="763" t="s">
        <v>426</v>
      </c>
      <c r="F48" s="764"/>
      <c r="G48" s="765"/>
      <c r="H48" s="161">
        <v>3500</v>
      </c>
    </row>
    <row r="49" spans="5:8" ht="12.75">
      <c r="E49" s="763" t="s">
        <v>427</v>
      </c>
      <c r="F49" s="764"/>
      <c r="G49" s="765"/>
      <c r="H49" s="161">
        <v>80</v>
      </c>
    </row>
    <row r="50" spans="5:8" ht="12.75">
      <c r="E50" s="763" t="s">
        <v>428</v>
      </c>
      <c r="F50" s="764"/>
      <c r="G50" s="765"/>
      <c r="H50" s="161">
        <v>150</v>
      </c>
    </row>
    <row r="51" spans="5:8" ht="12.75">
      <c r="E51" s="763" t="s">
        <v>400</v>
      </c>
      <c r="F51" s="764"/>
      <c r="G51" s="765"/>
      <c r="H51" s="161">
        <v>4000</v>
      </c>
    </row>
    <row r="52" spans="5:8" ht="12.75">
      <c r="E52" s="772" t="s">
        <v>399</v>
      </c>
      <c r="F52" s="764"/>
      <c r="G52" s="765"/>
      <c r="H52" s="167">
        <f>SUM(H42:H51)</f>
        <v>16380</v>
      </c>
    </row>
    <row r="53" spans="5:8" ht="12.75">
      <c r="H53" s="164"/>
    </row>
    <row r="54" spans="5:8" ht="12.75">
      <c r="E54" s="779" t="s">
        <v>398</v>
      </c>
      <c r="F54" s="780"/>
      <c r="G54" s="780"/>
      <c r="H54" s="781"/>
    </row>
    <row r="55" spans="5:8" ht="12.75">
      <c r="E55" s="763" t="s">
        <v>389</v>
      </c>
      <c r="F55" s="764"/>
      <c r="G55" s="764"/>
      <c r="H55" s="161">
        <v>500</v>
      </c>
    </row>
    <row r="56" spans="5:8" ht="12.75">
      <c r="E56" s="763" t="s">
        <v>391</v>
      </c>
      <c r="F56" s="764"/>
      <c r="G56" s="764"/>
      <c r="H56" s="161">
        <v>3000</v>
      </c>
    </row>
    <row r="57" spans="5:8" ht="12.75">
      <c r="E57" s="763" t="s">
        <v>1084</v>
      </c>
      <c r="F57" s="764"/>
      <c r="G57" s="764"/>
      <c r="H57" s="161">
        <v>8000</v>
      </c>
    </row>
    <row r="58" spans="5:8" ht="12.75">
      <c r="E58" s="763" t="s">
        <v>1083</v>
      </c>
      <c r="F58" s="764"/>
      <c r="G58" s="765"/>
      <c r="H58" s="161">
        <v>450</v>
      </c>
    </row>
    <row r="59" spans="5:8" ht="12.75">
      <c r="E59" s="772" t="s">
        <v>399</v>
      </c>
      <c r="F59" s="764"/>
      <c r="G59" s="765"/>
      <c r="H59" s="173">
        <f>SUM(H55:H58)</f>
        <v>11950</v>
      </c>
    </row>
    <row r="60" spans="5:8" ht="12.75">
      <c r="H60" s="164"/>
    </row>
    <row r="61" spans="5:8" ht="12.75">
      <c r="H61" s="164"/>
    </row>
    <row r="62" spans="5:8" ht="12.75">
      <c r="H62" s="164"/>
    </row>
    <row r="63" spans="5:8" ht="12.75">
      <c r="H63" s="164"/>
    </row>
    <row r="64" spans="5:8" ht="12.75">
      <c r="H64" s="164"/>
    </row>
    <row r="65" spans="8:8" ht="12.75">
      <c r="H65" s="164"/>
    </row>
    <row r="66" spans="8:8" ht="12.75">
      <c r="H66" s="164"/>
    </row>
    <row r="67" spans="8:8" ht="12.75">
      <c r="H67" s="164"/>
    </row>
    <row r="68" spans="8:8" ht="12.75">
      <c r="H68" s="164"/>
    </row>
    <row r="69" spans="8:8" ht="12.75">
      <c r="H69" s="164"/>
    </row>
    <row r="70" spans="8:8" ht="12.75">
      <c r="H70" s="164"/>
    </row>
    <row r="71" spans="8:8" ht="12.75">
      <c r="H71" s="164"/>
    </row>
    <row r="72" spans="8:8" ht="12.75">
      <c r="H72" s="164"/>
    </row>
    <row r="73" spans="8:8" ht="12.75">
      <c r="H73" s="164"/>
    </row>
    <row r="74" spans="8:8" ht="12.75">
      <c r="H74" s="164"/>
    </row>
    <row r="75" spans="8:8" ht="12.75">
      <c r="H75" s="164"/>
    </row>
    <row r="76" spans="8:8" ht="12.75">
      <c r="H76" s="164"/>
    </row>
    <row r="77" spans="8:8" ht="12.75">
      <c r="H77" s="164"/>
    </row>
    <row r="78" spans="8:8" ht="12.75">
      <c r="H78" s="164"/>
    </row>
    <row r="79" spans="8:8" ht="12.75">
      <c r="H79" s="164"/>
    </row>
    <row r="80" spans="8:8" ht="12.75">
      <c r="H80" s="164"/>
    </row>
    <row r="81" spans="6:8" ht="12.75">
      <c r="H81" s="164"/>
    </row>
    <row r="82" spans="6:8" ht="12.75">
      <c r="H82" s="164"/>
    </row>
    <row r="83" spans="6:8" ht="12.75">
      <c r="H83" s="164"/>
    </row>
    <row r="84" spans="6:8" ht="12.75">
      <c r="H84" s="164"/>
    </row>
    <row r="85" spans="6:8" ht="12.75">
      <c r="F85" s="159"/>
      <c r="G85" s="160"/>
      <c r="H85" s="164"/>
    </row>
    <row r="86" spans="6:8" ht="12.75">
      <c r="H86" s="164"/>
    </row>
    <row r="87" spans="6:8" ht="12.75">
      <c r="H87" s="164"/>
    </row>
    <row r="88" spans="6:8" ht="12.75">
      <c r="H88" s="164"/>
    </row>
    <row r="89" spans="6:8" ht="12.75">
      <c r="H89" s="164"/>
    </row>
    <row r="90" spans="6:8" ht="12.75">
      <c r="H90" s="164"/>
    </row>
    <row r="91" spans="6:8" ht="12.75">
      <c r="H91" s="164"/>
    </row>
    <row r="92" spans="6:8" ht="12.75">
      <c r="H92" s="164"/>
    </row>
    <row r="93" spans="6:8" ht="12.75">
      <c r="H93" s="164"/>
    </row>
    <row r="94" spans="6:8" ht="12.75">
      <c r="H94" s="164"/>
    </row>
    <row r="95" spans="6:8" ht="12.75">
      <c r="H95" s="164"/>
    </row>
    <row r="96" spans="6:8" ht="12.75">
      <c r="H96" s="164"/>
    </row>
    <row r="97" spans="8:8" ht="12.75">
      <c r="H97" s="164"/>
    </row>
    <row r="98" spans="8:8" ht="12.75">
      <c r="H98" s="164"/>
    </row>
    <row r="99" spans="8:8" ht="12.75">
      <c r="H99" s="164"/>
    </row>
    <row r="100" spans="8:8" ht="12.75">
      <c r="H100" s="164"/>
    </row>
    <row r="101" spans="8:8" ht="12.75">
      <c r="H101" s="164"/>
    </row>
    <row r="102" spans="8:8" ht="12.75">
      <c r="H102" s="164"/>
    </row>
    <row r="103" spans="8:8" ht="12.75">
      <c r="H103" s="164"/>
    </row>
    <row r="104" spans="8:8" ht="12.75">
      <c r="H104" s="164"/>
    </row>
    <row r="105" spans="8:8" ht="12.75">
      <c r="H105" s="164"/>
    </row>
    <row r="106" spans="8:8" ht="12.75">
      <c r="H106" s="164"/>
    </row>
    <row r="107" spans="8:8" ht="12.75">
      <c r="H107" s="164"/>
    </row>
    <row r="108" spans="8:8" ht="12.75">
      <c r="H108" s="164"/>
    </row>
    <row r="109" spans="8:8" ht="12.75">
      <c r="H109" s="164"/>
    </row>
    <row r="110" spans="8:8" ht="12.75">
      <c r="H110" s="164"/>
    </row>
    <row r="111" spans="8:8" ht="12.75">
      <c r="H111" s="164"/>
    </row>
    <row r="112" spans="8:8" ht="12.75">
      <c r="H112" s="164"/>
    </row>
    <row r="113" spans="8:8" ht="12.75">
      <c r="H113" s="164"/>
    </row>
    <row r="114" spans="8:8" ht="12.75">
      <c r="H114" s="164"/>
    </row>
    <row r="115" spans="8:8" ht="12.75">
      <c r="H115" s="164"/>
    </row>
    <row r="116" spans="8:8" ht="12.75">
      <c r="H116" s="164"/>
    </row>
    <row r="117" spans="8:8" ht="12.75">
      <c r="H117" s="164"/>
    </row>
    <row r="118" spans="8:8" ht="12.75">
      <c r="H118" s="164"/>
    </row>
    <row r="119" spans="8:8" ht="12.75">
      <c r="H119" s="164"/>
    </row>
    <row r="120" spans="8:8" ht="12.75">
      <c r="H120" s="164"/>
    </row>
    <row r="121" spans="8:8" ht="12.75">
      <c r="H121" s="164"/>
    </row>
    <row r="122" spans="8:8" ht="12.75">
      <c r="H122" s="164"/>
    </row>
    <row r="123" spans="8:8" ht="12.75">
      <c r="H123" s="164"/>
    </row>
    <row r="124" spans="8:8" ht="12.75">
      <c r="H124" s="164"/>
    </row>
    <row r="125" spans="8:8" ht="12.75">
      <c r="H125" s="164"/>
    </row>
    <row r="126" spans="8:8" ht="12.75">
      <c r="H126" s="164"/>
    </row>
    <row r="127" spans="8:8" ht="12.75">
      <c r="H127" s="164"/>
    </row>
    <row r="128" spans="8:8" ht="12.75">
      <c r="H128" s="164"/>
    </row>
    <row r="129" spans="8:8" ht="12.75">
      <c r="H129" s="164"/>
    </row>
    <row r="130" spans="8:8" ht="12.75">
      <c r="H130" s="164"/>
    </row>
    <row r="131" spans="8:8" ht="12.75">
      <c r="H131" s="164"/>
    </row>
    <row r="132" spans="8:8" ht="12.75">
      <c r="H132" s="164"/>
    </row>
    <row r="133" spans="8:8" ht="12.75">
      <c r="H133" s="164"/>
    </row>
    <row r="134" spans="8:8" ht="12.75">
      <c r="H134" s="164"/>
    </row>
    <row r="135" spans="8:8" ht="12.75">
      <c r="H135" s="164"/>
    </row>
    <row r="136" spans="8:8" ht="12.75">
      <c r="H136" s="164"/>
    </row>
    <row r="137" spans="8:8" ht="12.75">
      <c r="H137" s="164"/>
    </row>
    <row r="138" spans="8:8" ht="12.75">
      <c r="H138" s="164"/>
    </row>
    <row r="139" spans="8:8" ht="12.75">
      <c r="H139" s="164"/>
    </row>
    <row r="140" spans="8:8" ht="12.75">
      <c r="H140" s="164"/>
    </row>
    <row r="141" spans="8:8" ht="12.75">
      <c r="H141" s="164"/>
    </row>
    <row r="142" spans="8:8" ht="12.75">
      <c r="H142" s="164"/>
    </row>
    <row r="143" spans="8:8" ht="12.75">
      <c r="H143" s="164"/>
    </row>
    <row r="144" spans="8:8" ht="12.75">
      <c r="H144" s="164"/>
    </row>
    <row r="145" spans="8:8" ht="12.75">
      <c r="H145" s="164"/>
    </row>
    <row r="146" spans="8:8" ht="12.75">
      <c r="H146" s="164"/>
    </row>
    <row r="147" spans="8:8" ht="12.75">
      <c r="H147" s="164"/>
    </row>
    <row r="148" spans="8:8" ht="12.75">
      <c r="H148" s="164"/>
    </row>
    <row r="149" spans="8:8" ht="12.75">
      <c r="H149" s="164"/>
    </row>
    <row r="150" spans="8:8" ht="12.75">
      <c r="H150" s="164"/>
    </row>
    <row r="151" spans="8:8" ht="12.75">
      <c r="H151" s="164"/>
    </row>
    <row r="152" spans="8:8" ht="12.75">
      <c r="H152" s="164"/>
    </row>
    <row r="153" spans="8:8" ht="12.75">
      <c r="H153" s="164"/>
    </row>
    <row r="154" spans="8:8" ht="12.75">
      <c r="H154" s="164"/>
    </row>
    <row r="155" spans="8:8" ht="12.75">
      <c r="H155" s="164"/>
    </row>
    <row r="156" spans="8:8" ht="12.75">
      <c r="H156" s="164"/>
    </row>
    <row r="157" spans="8:8" ht="12.75">
      <c r="H157" s="164"/>
    </row>
    <row r="158" spans="8:8" ht="12.75">
      <c r="H158" s="164"/>
    </row>
    <row r="159" spans="8:8" ht="12.75">
      <c r="H159" s="164"/>
    </row>
    <row r="160" spans="8:8" ht="12.75">
      <c r="H160" s="164"/>
    </row>
    <row r="161" spans="8:8" ht="12.75">
      <c r="H161" s="164"/>
    </row>
    <row r="162" spans="8:8" ht="12.75">
      <c r="H162" s="164"/>
    </row>
    <row r="163" spans="8:8" ht="12.75">
      <c r="H163" s="164"/>
    </row>
    <row r="164" spans="8:8" ht="12.75">
      <c r="H164" s="164"/>
    </row>
    <row r="165" spans="8:8" ht="12.75">
      <c r="H165" s="164"/>
    </row>
    <row r="166" spans="8:8" ht="12.75">
      <c r="H166" s="164"/>
    </row>
    <row r="167" spans="8:8" ht="12.75">
      <c r="H167" s="164"/>
    </row>
    <row r="168" spans="8:8" ht="12.75">
      <c r="H168" s="164"/>
    </row>
    <row r="169" spans="8:8" ht="12.75">
      <c r="H169" s="164"/>
    </row>
    <row r="170" spans="8:8" ht="12.75">
      <c r="H170" s="164"/>
    </row>
    <row r="171" spans="8:8" ht="12.75">
      <c r="H171" s="164"/>
    </row>
    <row r="172" spans="8:8" ht="12.75">
      <c r="H172" s="164"/>
    </row>
    <row r="173" spans="8:8" ht="12.75">
      <c r="H173" s="164"/>
    </row>
    <row r="174" spans="8:8" ht="12.75">
      <c r="H174" s="164"/>
    </row>
    <row r="175" spans="8:8" ht="12.75">
      <c r="H175" s="164"/>
    </row>
    <row r="176" spans="8:8" ht="12.75">
      <c r="H176" s="164"/>
    </row>
    <row r="177" spans="8:8" ht="12.75">
      <c r="H177" s="164"/>
    </row>
    <row r="178" spans="8:8" ht="12.75">
      <c r="H178" s="164"/>
    </row>
    <row r="179" spans="8:8" ht="12.75">
      <c r="H179" s="164"/>
    </row>
    <row r="180" spans="8:8" ht="12.75">
      <c r="H180" s="164"/>
    </row>
    <row r="181" spans="8:8" ht="12.75">
      <c r="H181" s="164"/>
    </row>
    <row r="182" spans="8:8" ht="12.75">
      <c r="H182" s="164"/>
    </row>
    <row r="183" spans="8:8" ht="12.75">
      <c r="H183" s="164"/>
    </row>
    <row r="184" spans="8:8" ht="12.75">
      <c r="H184" s="164"/>
    </row>
    <row r="185" spans="8:8" ht="12.75">
      <c r="H185" s="164"/>
    </row>
    <row r="186" spans="8:8" ht="12.75">
      <c r="H186" s="164"/>
    </row>
    <row r="187" spans="8:8" ht="12.75">
      <c r="H187" s="164"/>
    </row>
    <row r="188" spans="8:8" ht="12.75">
      <c r="H188" s="164"/>
    </row>
    <row r="189" spans="8:8" ht="12.75">
      <c r="H189" s="164"/>
    </row>
    <row r="190" spans="8:8" ht="12.75">
      <c r="H190" s="164"/>
    </row>
    <row r="191" spans="8:8" ht="12.75">
      <c r="H191" s="164"/>
    </row>
    <row r="192" spans="8:8" ht="12.75">
      <c r="H192" s="164"/>
    </row>
    <row r="193" spans="8:8" ht="12.75">
      <c r="H193" s="164"/>
    </row>
    <row r="194" spans="8:8" ht="12.75">
      <c r="H194" s="164"/>
    </row>
    <row r="195" spans="8:8" ht="12.75">
      <c r="H195" s="164"/>
    </row>
    <row r="196" spans="8:8" ht="12.75">
      <c r="H196" s="164"/>
    </row>
    <row r="197" spans="8:8" ht="12.75">
      <c r="H197" s="164"/>
    </row>
    <row r="198" spans="8:8" ht="12.75">
      <c r="H198" s="164"/>
    </row>
    <row r="199" spans="8:8" ht="12.75">
      <c r="H199" s="164"/>
    </row>
    <row r="200" spans="8:8" ht="12.75">
      <c r="H200" s="164"/>
    </row>
    <row r="201" spans="8:8" ht="12.75">
      <c r="H201" s="164"/>
    </row>
    <row r="202" spans="8:8" ht="12.75">
      <c r="H202" s="164"/>
    </row>
    <row r="203" spans="8:8" ht="12.75">
      <c r="H203" s="164"/>
    </row>
    <row r="204" spans="8:8" ht="12.75">
      <c r="H204" s="164"/>
    </row>
    <row r="205" spans="8:8" ht="12.75">
      <c r="H205" s="164"/>
    </row>
    <row r="206" spans="8:8" ht="12.75">
      <c r="H206" s="164"/>
    </row>
    <row r="207" spans="8:8" ht="12.75">
      <c r="H207" s="164"/>
    </row>
    <row r="208" spans="8:8" ht="12.75">
      <c r="H208" s="164"/>
    </row>
    <row r="209" spans="8:8" ht="12.75">
      <c r="H209" s="164"/>
    </row>
    <row r="210" spans="8:8" ht="12.75">
      <c r="H210" s="164"/>
    </row>
    <row r="211" spans="8:8" ht="12.75">
      <c r="H211" s="164"/>
    </row>
    <row r="212" spans="8:8" ht="12.75">
      <c r="H212" s="164"/>
    </row>
    <row r="213" spans="8:8" ht="12.75">
      <c r="H213" s="164"/>
    </row>
    <row r="214" spans="8:8" ht="12.75">
      <c r="H214" s="164"/>
    </row>
    <row r="215" spans="8:8" ht="12.75">
      <c r="H215" s="164"/>
    </row>
    <row r="216" spans="8:8" ht="12.75">
      <c r="H216" s="164"/>
    </row>
    <row r="217" spans="8:8" ht="12.75">
      <c r="H217" s="164"/>
    </row>
    <row r="218" spans="8:8" ht="12.75">
      <c r="H218" s="164"/>
    </row>
    <row r="219" spans="8:8" ht="12.75">
      <c r="H219" s="164"/>
    </row>
    <row r="220" spans="8:8" ht="12.75">
      <c r="H220" s="164"/>
    </row>
    <row r="221" spans="8:8" ht="12.75">
      <c r="H221" s="164"/>
    </row>
    <row r="222" spans="8:8" ht="12.75">
      <c r="H222" s="164"/>
    </row>
    <row r="223" spans="8:8" ht="12.75">
      <c r="H223" s="164"/>
    </row>
    <row r="224" spans="8:8" ht="12.75">
      <c r="H224" s="164"/>
    </row>
    <row r="225" spans="8:8" ht="12.75">
      <c r="H225" s="164"/>
    </row>
    <row r="226" spans="8:8" ht="12.75">
      <c r="H226" s="164"/>
    </row>
    <row r="227" spans="8:8" ht="12.75">
      <c r="H227" s="164"/>
    </row>
    <row r="228" spans="8:8" ht="12.75">
      <c r="H228" s="164"/>
    </row>
    <row r="229" spans="8:8" ht="12.75">
      <c r="H229" s="164"/>
    </row>
    <row r="230" spans="8:8" ht="12.75">
      <c r="H230" s="164"/>
    </row>
    <row r="231" spans="8:8" ht="12.75">
      <c r="H231" s="164"/>
    </row>
    <row r="232" spans="8:8" ht="12.75">
      <c r="H232" s="164"/>
    </row>
    <row r="233" spans="8:8" ht="12.75">
      <c r="H233" s="164"/>
    </row>
    <row r="234" spans="8:8" ht="12.75">
      <c r="H234" s="164"/>
    </row>
    <row r="235" spans="8:8" ht="12.75">
      <c r="H235" s="164"/>
    </row>
    <row r="236" spans="8:8" ht="12.75">
      <c r="H236" s="164"/>
    </row>
    <row r="237" spans="8:8" ht="12.75">
      <c r="H237" s="164"/>
    </row>
    <row r="238" spans="8:8" ht="12.75">
      <c r="H238" s="164"/>
    </row>
    <row r="239" spans="8:8" ht="12.75">
      <c r="H239" s="164"/>
    </row>
    <row r="240" spans="8:8" ht="12.75">
      <c r="H240" s="164"/>
    </row>
    <row r="241" spans="8:8" ht="12.75">
      <c r="H241" s="164"/>
    </row>
    <row r="242" spans="8:8" ht="12.75">
      <c r="H242" s="164"/>
    </row>
    <row r="243" spans="8:8" ht="12.75">
      <c r="H243" s="164"/>
    </row>
    <row r="244" spans="8:8" ht="12.75">
      <c r="H244" s="164"/>
    </row>
    <row r="245" spans="8:8" ht="12.75">
      <c r="H245" s="164"/>
    </row>
    <row r="246" spans="8:8" ht="12.75">
      <c r="H246" s="164"/>
    </row>
    <row r="247" spans="8:8" ht="12.75">
      <c r="H247" s="164"/>
    </row>
    <row r="248" spans="8:8" ht="12.75">
      <c r="H248" s="164"/>
    </row>
    <row r="249" spans="8:8" ht="12.75">
      <c r="H249" s="164"/>
    </row>
    <row r="250" spans="8:8" ht="12.75">
      <c r="H250" s="164"/>
    </row>
    <row r="251" spans="8:8" ht="12.75">
      <c r="H251" s="164"/>
    </row>
    <row r="252" spans="8:8" ht="12.75">
      <c r="H252" s="164"/>
    </row>
    <row r="253" spans="8:8" ht="12.75">
      <c r="H253" s="164"/>
    </row>
    <row r="254" spans="8:8" ht="12.75">
      <c r="H254" s="164"/>
    </row>
    <row r="255" spans="8:8" ht="12.75">
      <c r="H255" s="164"/>
    </row>
    <row r="256" spans="8:8" ht="12.75">
      <c r="H256" s="164"/>
    </row>
    <row r="257" spans="8:8" ht="12.75">
      <c r="H257" s="164"/>
    </row>
    <row r="258" spans="8:8" ht="12.75">
      <c r="H258" s="164"/>
    </row>
    <row r="259" spans="8:8" ht="12.75">
      <c r="H259" s="164"/>
    </row>
    <row r="260" spans="8:8" ht="12.75">
      <c r="H260" s="164"/>
    </row>
    <row r="261" spans="8:8" ht="12.75">
      <c r="H261" s="164"/>
    </row>
    <row r="262" spans="8:8" ht="12.75">
      <c r="H262" s="164"/>
    </row>
    <row r="263" spans="8:8" ht="12.75">
      <c r="H263" s="164"/>
    </row>
    <row r="264" spans="8:8" ht="12.75">
      <c r="H264" s="164"/>
    </row>
    <row r="265" spans="8:8" ht="12.75">
      <c r="H265" s="164"/>
    </row>
    <row r="266" spans="8:8" ht="12.75">
      <c r="H266" s="164"/>
    </row>
    <row r="267" spans="8:8" ht="12.75">
      <c r="H267" s="164"/>
    </row>
    <row r="268" spans="8:8" ht="12.75">
      <c r="H268" s="164"/>
    </row>
    <row r="269" spans="8:8" ht="12.75">
      <c r="H269" s="164"/>
    </row>
    <row r="270" spans="8:8" ht="12.75">
      <c r="H270" s="164"/>
    </row>
    <row r="271" spans="8:8" ht="12.75">
      <c r="H271" s="164"/>
    </row>
    <row r="272" spans="8:8" ht="12.75">
      <c r="H272" s="164"/>
    </row>
    <row r="273" spans="8:8" ht="12.75">
      <c r="H273" s="164"/>
    </row>
    <row r="274" spans="8:8" ht="12.75">
      <c r="H274" s="164"/>
    </row>
    <row r="275" spans="8:8" ht="12.75">
      <c r="H275" s="164"/>
    </row>
    <row r="276" spans="8:8" ht="12.75">
      <c r="H276" s="164"/>
    </row>
    <row r="277" spans="8:8" ht="12.75">
      <c r="H277" s="164"/>
    </row>
    <row r="278" spans="8:8" ht="12.75">
      <c r="H278" s="164"/>
    </row>
    <row r="279" spans="8:8" ht="12.75">
      <c r="H279" s="164"/>
    </row>
    <row r="280" spans="8:8" ht="12.75">
      <c r="H280" s="164"/>
    </row>
    <row r="281" spans="8:8" ht="12.75">
      <c r="H281" s="164"/>
    </row>
    <row r="282" spans="8:8" ht="12.75">
      <c r="H282" s="164"/>
    </row>
    <row r="283" spans="8:8" ht="12.75">
      <c r="H283" s="164"/>
    </row>
    <row r="284" spans="8:8" ht="12.75">
      <c r="H284" s="164"/>
    </row>
    <row r="285" spans="8:8" ht="12.75">
      <c r="H285" s="164"/>
    </row>
    <row r="286" spans="8:8" ht="12.75">
      <c r="H286" s="164"/>
    </row>
    <row r="287" spans="8:8" ht="12.75">
      <c r="H287" s="164"/>
    </row>
    <row r="288" spans="8:8" ht="12.75">
      <c r="H288" s="164"/>
    </row>
    <row r="289" spans="8:8" ht="12.75">
      <c r="H289" s="164"/>
    </row>
    <row r="290" spans="8:8" ht="12.75">
      <c r="H290" s="164"/>
    </row>
    <row r="291" spans="8:8" ht="12.75">
      <c r="H291" s="164"/>
    </row>
    <row r="292" spans="8:8" ht="12.75">
      <c r="H292" s="164"/>
    </row>
    <row r="293" spans="8:8" ht="12.75">
      <c r="H293" s="164"/>
    </row>
    <row r="294" spans="8:8" ht="12.75">
      <c r="H294" s="164"/>
    </row>
    <row r="295" spans="8:8" ht="12.75">
      <c r="H295" s="164"/>
    </row>
    <row r="296" spans="8:8" ht="12.75">
      <c r="H296" s="164"/>
    </row>
    <row r="297" spans="8:8" ht="12.75">
      <c r="H297" s="164"/>
    </row>
    <row r="298" spans="8:8" ht="12.75">
      <c r="H298" s="164"/>
    </row>
    <row r="299" spans="8:8" ht="12.75">
      <c r="H299" s="164"/>
    </row>
    <row r="300" spans="8:8" ht="12.75">
      <c r="H300" s="164"/>
    </row>
    <row r="301" spans="8:8" ht="12.75">
      <c r="H301" s="164"/>
    </row>
    <row r="302" spans="8:8" ht="12.75">
      <c r="H302" s="164"/>
    </row>
    <row r="303" spans="8:8" ht="12.75">
      <c r="H303" s="164"/>
    </row>
    <row r="304" spans="8:8" ht="12.75">
      <c r="H304" s="164"/>
    </row>
    <row r="305" spans="8:8" ht="12.75">
      <c r="H305" s="164"/>
    </row>
    <row r="306" spans="8:8" ht="12.75">
      <c r="H306" s="164"/>
    </row>
    <row r="307" spans="8:8" ht="12.75">
      <c r="H307" s="164"/>
    </row>
    <row r="308" spans="8:8" ht="12.75">
      <c r="H308" s="164"/>
    </row>
    <row r="309" spans="8:8" ht="12.75">
      <c r="H309" s="164"/>
    </row>
    <row r="310" spans="8:8" ht="12.75">
      <c r="H310" s="164"/>
    </row>
    <row r="311" spans="8:8" ht="12.75">
      <c r="H311" s="164"/>
    </row>
    <row r="312" spans="8:8" ht="12.75">
      <c r="H312" s="164"/>
    </row>
    <row r="313" spans="8:8" ht="12.75">
      <c r="H313" s="164"/>
    </row>
    <row r="314" spans="8:8" ht="12.75">
      <c r="H314" s="164"/>
    </row>
    <row r="315" spans="8:8" ht="12.75">
      <c r="H315" s="164"/>
    </row>
    <row r="316" spans="8:8" ht="12.75">
      <c r="H316" s="164"/>
    </row>
    <row r="317" spans="8:8" ht="12.75">
      <c r="H317" s="164"/>
    </row>
    <row r="318" spans="8:8" ht="12.75">
      <c r="H318" s="164"/>
    </row>
    <row r="319" spans="8:8" ht="12.75">
      <c r="H319" s="164"/>
    </row>
    <row r="320" spans="8:8" ht="12.75">
      <c r="H320" s="164"/>
    </row>
    <row r="321" spans="8:8" ht="12.75">
      <c r="H321" s="164"/>
    </row>
    <row r="322" spans="8:8" ht="12.75">
      <c r="H322" s="164"/>
    </row>
    <row r="323" spans="8:8" ht="12.75">
      <c r="H323" s="164"/>
    </row>
    <row r="324" spans="8:8" ht="12.75">
      <c r="H324" s="164"/>
    </row>
    <row r="325" spans="8:8" ht="12.75">
      <c r="H325" s="164"/>
    </row>
    <row r="326" spans="8:8" ht="12.75">
      <c r="H326" s="164"/>
    </row>
    <row r="327" spans="8:8" ht="12.75">
      <c r="H327" s="164"/>
    </row>
    <row r="328" spans="8:8" ht="12.75">
      <c r="H328" s="164"/>
    </row>
    <row r="329" spans="8:8" ht="12.75">
      <c r="H329" s="164"/>
    </row>
    <row r="330" spans="8:8" ht="12.75">
      <c r="H330" s="164"/>
    </row>
    <row r="331" spans="8:8" ht="12.75">
      <c r="H331" s="164"/>
    </row>
    <row r="332" spans="8:8" ht="12.75">
      <c r="H332" s="164"/>
    </row>
    <row r="333" spans="8:8" ht="12.75">
      <c r="H333" s="164"/>
    </row>
    <row r="334" spans="8:8" ht="12.75">
      <c r="H334" s="164"/>
    </row>
    <row r="335" spans="8:8" ht="12.75">
      <c r="H335" s="164"/>
    </row>
    <row r="336" spans="8:8" ht="12.75">
      <c r="H336" s="164"/>
    </row>
    <row r="337" spans="8:8" ht="12.75">
      <c r="H337" s="164"/>
    </row>
    <row r="338" spans="8:8" ht="12.75">
      <c r="H338" s="164"/>
    </row>
    <row r="339" spans="8:8" ht="12.75">
      <c r="H339" s="164"/>
    </row>
    <row r="340" spans="8:8" ht="12.75">
      <c r="H340" s="164"/>
    </row>
    <row r="341" spans="8:8" ht="12.75">
      <c r="H341" s="164"/>
    </row>
    <row r="342" spans="8:8" ht="12.75">
      <c r="H342" s="164"/>
    </row>
    <row r="343" spans="8:8" ht="12.75">
      <c r="H343" s="164"/>
    </row>
    <row r="344" spans="8:8" ht="12.75">
      <c r="H344" s="164"/>
    </row>
    <row r="345" spans="8:8" ht="12.75">
      <c r="H345" s="164"/>
    </row>
    <row r="346" spans="8:8" ht="12.75">
      <c r="H346" s="164"/>
    </row>
    <row r="347" spans="8:8" ht="12.75">
      <c r="H347" s="164"/>
    </row>
    <row r="348" spans="8:8" ht="12.75">
      <c r="H348" s="164"/>
    </row>
    <row r="349" spans="8:8" ht="12.75">
      <c r="H349" s="164"/>
    </row>
    <row r="350" spans="8:8" ht="12.75">
      <c r="H350" s="164"/>
    </row>
    <row r="351" spans="8:8" ht="12.75">
      <c r="H351" s="164"/>
    </row>
    <row r="352" spans="8:8" ht="12.75">
      <c r="H352" s="164"/>
    </row>
    <row r="353" spans="8:8" ht="12.75">
      <c r="H353" s="164"/>
    </row>
    <row r="354" spans="8:8" ht="12.75">
      <c r="H354" s="164"/>
    </row>
    <row r="355" spans="8:8" ht="12.75">
      <c r="H355" s="164"/>
    </row>
    <row r="356" spans="8:8" ht="12.75">
      <c r="H356" s="164"/>
    </row>
    <row r="357" spans="8:8" ht="12.75">
      <c r="H357" s="164"/>
    </row>
    <row r="358" spans="8:8" ht="12.75">
      <c r="H358" s="164"/>
    </row>
    <row r="359" spans="8:8" ht="12.75">
      <c r="H359" s="164"/>
    </row>
    <row r="360" spans="8:8" ht="12.75">
      <c r="H360" s="164"/>
    </row>
    <row r="361" spans="8:8" ht="12.75">
      <c r="H361" s="164"/>
    </row>
    <row r="362" spans="8:8" ht="12.75">
      <c r="H362" s="164"/>
    </row>
    <row r="363" spans="8:8" ht="12.75">
      <c r="H363" s="164"/>
    </row>
    <row r="364" spans="8:8" ht="12.75">
      <c r="H364" s="164"/>
    </row>
    <row r="365" spans="8:8" ht="12.75">
      <c r="H365" s="164"/>
    </row>
    <row r="366" spans="8:8" ht="12.75">
      <c r="H366" s="164"/>
    </row>
    <row r="367" spans="8:8" ht="12.75">
      <c r="H367" s="164"/>
    </row>
    <row r="368" spans="8:8" ht="12.75">
      <c r="H368" s="164"/>
    </row>
    <row r="369" spans="8:8" ht="12.75">
      <c r="H369" s="164"/>
    </row>
    <row r="370" spans="8:8" ht="12.75">
      <c r="H370" s="164"/>
    </row>
    <row r="371" spans="8:8" ht="12.75">
      <c r="H371" s="164"/>
    </row>
    <row r="372" spans="8:8" ht="12.75">
      <c r="H372" s="164"/>
    </row>
    <row r="373" spans="8:8" ht="12.75">
      <c r="H373" s="164"/>
    </row>
    <row r="374" spans="8:8" ht="12.75">
      <c r="H374" s="164"/>
    </row>
    <row r="375" spans="8:8" ht="12.75">
      <c r="H375" s="164"/>
    </row>
    <row r="376" spans="8:8" ht="12.75">
      <c r="H376" s="164"/>
    </row>
    <row r="377" spans="8:8" ht="12.75">
      <c r="H377" s="164"/>
    </row>
    <row r="378" spans="8:8" ht="12.75">
      <c r="H378" s="164"/>
    </row>
    <row r="379" spans="8:8" ht="12.75">
      <c r="H379" s="164"/>
    </row>
    <row r="380" spans="8:8" ht="12.75">
      <c r="H380" s="164"/>
    </row>
    <row r="381" spans="8:8" ht="12.75">
      <c r="H381" s="164"/>
    </row>
    <row r="382" spans="8:8" ht="12.75">
      <c r="H382" s="164"/>
    </row>
    <row r="383" spans="8:8" ht="12.75">
      <c r="H383" s="164"/>
    </row>
    <row r="384" spans="8:8" ht="12.75">
      <c r="H384" s="164"/>
    </row>
    <row r="385" spans="8:8" ht="12.75">
      <c r="H385" s="164"/>
    </row>
    <row r="386" spans="8:8" ht="12.75">
      <c r="H386" s="164"/>
    </row>
    <row r="387" spans="8:8" ht="12.75">
      <c r="H387" s="164"/>
    </row>
    <row r="388" spans="8:8" ht="12.75">
      <c r="H388" s="164"/>
    </row>
    <row r="389" spans="8:8" ht="12.75">
      <c r="H389" s="164"/>
    </row>
    <row r="390" spans="8:8" ht="12.75">
      <c r="H390" s="164"/>
    </row>
    <row r="391" spans="8:8" ht="12.75">
      <c r="H391" s="164"/>
    </row>
    <row r="392" spans="8:8" ht="12.75">
      <c r="H392" s="164"/>
    </row>
    <row r="393" spans="8:8" ht="12.75">
      <c r="H393" s="164"/>
    </row>
    <row r="394" spans="8:8" ht="12.75">
      <c r="H394" s="164"/>
    </row>
    <row r="395" spans="8:8" ht="12.75">
      <c r="H395" s="164"/>
    </row>
    <row r="396" spans="8:8" ht="12.75">
      <c r="H396" s="164"/>
    </row>
    <row r="397" spans="8:8" ht="12.75">
      <c r="H397" s="164"/>
    </row>
    <row r="398" spans="8:8" ht="12.75">
      <c r="H398" s="164"/>
    </row>
    <row r="399" spans="8:8" ht="12.75">
      <c r="H399" s="164"/>
    </row>
    <row r="400" spans="8:8" ht="12.75">
      <c r="H400" s="164"/>
    </row>
    <row r="401" spans="8:8" ht="12.75">
      <c r="H401" s="164"/>
    </row>
    <row r="402" spans="8:8" ht="12.75">
      <c r="H402" s="164"/>
    </row>
    <row r="403" spans="8:8" ht="12.75">
      <c r="H403" s="164"/>
    </row>
    <row r="404" spans="8:8" ht="12.75">
      <c r="H404" s="164"/>
    </row>
    <row r="405" spans="8:8" ht="12.75">
      <c r="H405" s="164"/>
    </row>
    <row r="406" spans="8:8" ht="12.75">
      <c r="H406" s="164"/>
    </row>
    <row r="407" spans="8:8" ht="12.75">
      <c r="H407" s="164"/>
    </row>
    <row r="408" spans="8:8" ht="12.75">
      <c r="H408" s="164"/>
    </row>
    <row r="409" spans="8:8" ht="12.75">
      <c r="H409" s="164"/>
    </row>
    <row r="410" spans="8:8" ht="12.75">
      <c r="H410" s="164"/>
    </row>
    <row r="411" spans="8:8" ht="12.75">
      <c r="H411" s="164"/>
    </row>
    <row r="412" spans="8:8" ht="12.75">
      <c r="H412" s="164"/>
    </row>
    <row r="413" spans="8:8" ht="12.75">
      <c r="H413" s="164"/>
    </row>
    <row r="414" spans="8:8" ht="12.75">
      <c r="H414" s="164"/>
    </row>
    <row r="415" spans="8:8" ht="12.75">
      <c r="H415" s="164"/>
    </row>
    <row r="416" spans="8:8" ht="12.75">
      <c r="H416" s="164"/>
    </row>
    <row r="417" spans="8:8" ht="12.75">
      <c r="H417" s="164"/>
    </row>
    <row r="418" spans="8:8" ht="12.75">
      <c r="H418" s="164"/>
    </row>
    <row r="419" spans="8:8" ht="12.75">
      <c r="H419" s="164"/>
    </row>
    <row r="420" spans="8:8" ht="12.75">
      <c r="H420" s="164"/>
    </row>
    <row r="421" spans="8:8" ht="12.75">
      <c r="H421" s="164"/>
    </row>
    <row r="422" spans="8:8" ht="12.75">
      <c r="H422" s="164"/>
    </row>
    <row r="423" spans="8:8" ht="12.75">
      <c r="H423" s="164"/>
    </row>
    <row r="424" spans="8:8" ht="12.75">
      <c r="H424" s="164"/>
    </row>
    <row r="425" spans="8:8" ht="12.75">
      <c r="H425" s="164"/>
    </row>
    <row r="426" spans="8:8" ht="12.75">
      <c r="H426" s="164"/>
    </row>
    <row r="427" spans="8:8" ht="12.75">
      <c r="H427" s="164"/>
    </row>
    <row r="428" spans="8:8" ht="12.75">
      <c r="H428" s="164"/>
    </row>
    <row r="429" spans="8:8" ht="12.75">
      <c r="H429" s="164"/>
    </row>
    <row r="430" spans="8:8" ht="12.75">
      <c r="H430" s="164"/>
    </row>
    <row r="431" spans="8:8" ht="12.75">
      <c r="H431" s="164"/>
    </row>
    <row r="432" spans="8:8" ht="12.75">
      <c r="H432" s="164"/>
    </row>
    <row r="433" spans="8:8" ht="12.75">
      <c r="H433" s="164"/>
    </row>
    <row r="434" spans="8:8" ht="12.75">
      <c r="H434" s="164"/>
    </row>
    <row r="435" spans="8:8" ht="12.75">
      <c r="H435" s="164"/>
    </row>
    <row r="436" spans="8:8" ht="12.75">
      <c r="H436" s="164"/>
    </row>
    <row r="437" spans="8:8" ht="12.75">
      <c r="H437" s="164"/>
    </row>
    <row r="438" spans="8:8" ht="12.75">
      <c r="H438" s="164"/>
    </row>
    <row r="439" spans="8:8" ht="12.75">
      <c r="H439" s="164"/>
    </row>
    <row r="440" spans="8:8" ht="12.75">
      <c r="H440" s="164"/>
    </row>
    <row r="441" spans="8:8" ht="12.75">
      <c r="H441" s="164"/>
    </row>
    <row r="442" spans="8:8" ht="12.75">
      <c r="H442" s="164"/>
    </row>
    <row r="443" spans="8:8" ht="12.75">
      <c r="H443" s="164"/>
    </row>
    <row r="444" spans="8:8" ht="12.75">
      <c r="H444" s="164"/>
    </row>
    <row r="445" spans="8:8" ht="12.75">
      <c r="H445" s="164"/>
    </row>
    <row r="446" spans="8:8" ht="12.75">
      <c r="H446" s="164"/>
    </row>
    <row r="447" spans="8:8" ht="12.75">
      <c r="H447" s="164"/>
    </row>
    <row r="448" spans="8:8" ht="12.75">
      <c r="H448" s="164"/>
    </row>
    <row r="449" spans="8:8" ht="12.75">
      <c r="H449" s="164"/>
    </row>
    <row r="450" spans="8:8" ht="12.75">
      <c r="H450" s="164"/>
    </row>
    <row r="451" spans="8:8" ht="12.75">
      <c r="H451" s="164"/>
    </row>
    <row r="452" spans="8:8" ht="12.75">
      <c r="H452" s="164"/>
    </row>
    <row r="453" spans="8:8" ht="12.75">
      <c r="H453" s="164"/>
    </row>
    <row r="454" spans="8:8" ht="12.75">
      <c r="H454" s="164"/>
    </row>
    <row r="455" spans="8:8" ht="12.75">
      <c r="H455" s="164"/>
    </row>
    <row r="456" spans="8:8" ht="12.75">
      <c r="H456" s="164"/>
    </row>
    <row r="457" spans="8:8" ht="12.75">
      <c r="H457" s="164"/>
    </row>
    <row r="458" spans="8:8" ht="12.75">
      <c r="H458" s="164"/>
    </row>
    <row r="459" spans="8:8" ht="12.75">
      <c r="H459" s="164"/>
    </row>
    <row r="460" spans="8:8" ht="12.75">
      <c r="H460" s="164"/>
    </row>
    <row r="461" spans="8:8" ht="12.75">
      <c r="H461" s="164"/>
    </row>
    <row r="462" spans="8:8" ht="12.75">
      <c r="H462" s="164"/>
    </row>
    <row r="463" spans="8:8" ht="12.75">
      <c r="H463" s="164"/>
    </row>
    <row r="464" spans="8:8" ht="12.75">
      <c r="H464" s="164"/>
    </row>
    <row r="465" spans="8:8" ht="12.75">
      <c r="H465" s="164"/>
    </row>
    <row r="466" spans="8:8" ht="12.75">
      <c r="H466" s="164"/>
    </row>
    <row r="467" spans="8:8" ht="12.75">
      <c r="H467" s="164"/>
    </row>
    <row r="468" spans="8:8" ht="12.75">
      <c r="H468" s="164"/>
    </row>
    <row r="469" spans="8:8" ht="12.75">
      <c r="H469" s="164"/>
    </row>
    <row r="470" spans="8:8" ht="12.75">
      <c r="H470" s="164"/>
    </row>
    <row r="471" spans="8:8" ht="12.75">
      <c r="H471" s="164"/>
    </row>
    <row r="472" spans="8:8" ht="12.75">
      <c r="H472" s="164"/>
    </row>
    <row r="473" spans="8:8" ht="12.75">
      <c r="H473" s="164"/>
    </row>
    <row r="474" spans="8:8" ht="12.75">
      <c r="H474" s="164"/>
    </row>
    <row r="475" spans="8:8" ht="12.75">
      <c r="H475" s="164"/>
    </row>
    <row r="476" spans="8:8" ht="12.75">
      <c r="H476" s="164"/>
    </row>
    <row r="477" spans="8:8" ht="12.75">
      <c r="H477" s="164"/>
    </row>
    <row r="478" spans="8:8" ht="12.75">
      <c r="H478" s="164"/>
    </row>
    <row r="479" spans="8:8" ht="12.75">
      <c r="H479" s="164"/>
    </row>
    <row r="480" spans="8:8" ht="12.75">
      <c r="H480" s="164"/>
    </row>
    <row r="481" spans="8:8" ht="12.75">
      <c r="H481" s="164"/>
    </row>
    <row r="482" spans="8:8" ht="12.75">
      <c r="H482" s="164"/>
    </row>
    <row r="483" spans="8:8" ht="12.75">
      <c r="H483" s="164"/>
    </row>
    <row r="484" spans="8:8" ht="12.75">
      <c r="H484" s="164"/>
    </row>
    <row r="485" spans="8:8" ht="12.75">
      <c r="H485" s="164"/>
    </row>
    <row r="486" spans="8:8" ht="12.75">
      <c r="H486" s="164"/>
    </row>
    <row r="487" spans="8:8" ht="12.75">
      <c r="H487" s="164"/>
    </row>
    <row r="488" spans="8:8" ht="12.75">
      <c r="H488" s="164"/>
    </row>
    <row r="489" spans="8:8" ht="12.75">
      <c r="H489" s="164"/>
    </row>
    <row r="490" spans="8:8" ht="12.75">
      <c r="H490" s="164"/>
    </row>
    <row r="491" spans="8:8" ht="12.75">
      <c r="H491" s="164"/>
    </row>
    <row r="492" spans="8:8" ht="12.75">
      <c r="H492" s="164"/>
    </row>
    <row r="493" spans="8:8" ht="12.75">
      <c r="H493" s="164"/>
    </row>
    <row r="494" spans="8:8" ht="12.75">
      <c r="H494" s="164"/>
    </row>
    <row r="495" spans="8:8" ht="12.75">
      <c r="H495" s="164"/>
    </row>
    <row r="496" spans="8:8" ht="12.75">
      <c r="H496" s="164"/>
    </row>
    <row r="497" spans="8:8" ht="12.75">
      <c r="H497" s="164"/>
    </row>
    <row r="498" spans="8:8" ht="12.75">
      <c r="H498" s="164"/>
    </row>
    <row r="499" spans="8:8" ht="12.75">
      <c r="H499" s="164"/>
    </row>
    <row r="500" spans="8:8" ht="12.75">
      <c r="H500" s="164"/>
    </row>
    <row r="501" spans="8:8" ht="12.75">
      <c r="H501" s="164"/>
    </row>
    <row r="502" spans="8:8" ht="12.75">
      <c r="H502" s="164"/>
    </row>
    <row r="503" spans="8:8" ht="12.75">
      <c r="H503" s="164"/>
    </row>
    <row r="504" spans="8:8" ht="12.75">
      <c r="H504" s="164"/>
    </row>
    <row r="505" spans="8:8" ht="12.75">
      <c r="H505" s="164"/>
    </row>
    <row r="506" spans="8:8" ht="12.75">
      <c r="H506" s="164"/>
    </row>
    <row r="507" spans="8:8" ht="12.75">
      <c r="H507" s="164"/>
    </row>
    <row r="508" spans="8:8" ht="12.75">
      <c r="H508" s="164"/>
    </row>
    <row r="509" spans="8:8" ht="12.75">
      <c r="H509" s="164"/>
    </row>
    <row r="510" spans="8:8" ht="12.75">
      <c r="H510" s="164"/>
    </row>
    <row r="511" spans="8:8" ht="12.75">
      <c r="H511" s="164"/>
    </row>
    <row r="512" spans="8:8" ht="12.75">
      <c r="H512" s="164"/>
    </row>
    <row r="513" spans="8:8" ht="12.75">
      <c r="H513" s="164"/>
    </row>
    <row r="514" spans="8:8" ht="12.75">
      <c r="H514" s="164"/>
    </row>
    <row r="515" spans="8:8" ht="12.75">
      <c r="H515" s="164"/>
    </row>
    <row r="516" spans="8:8" ht="12.75">
      <c r="H516" s="164"/>
    </row>
    <row r="517" spans="8:8" ht="12.75">
      <c r="H517" s="164"/>
    </row>
    <row r="518" spans="8:8" ht="12.75">
      <c r="H518" s="164"/>
    </row>
    <row r="519" spans="8:8" ht="12.75">
      <c r="H519" s="164"/>
    </row>
    <row r="520" spans="8:8" ht="12.75">
      <c r="H520" s="164"/>
    </row>
    <row r="521" spans="8:8" ht="12.75">
      <c r="H521" s="164"/>
    </row>
    <row r="522" spans="8:8" ht="12.75">
      <c r="H522" s="164"/>
    </row>
    <row r="523" spans="8:8" ht="12.75">
      <c r="H523" s="164"/>
    </row>
    <row r="524" spans="8:8" ht="12.75">
      <c r="H524" s="164"/>
    </row>
    <row r="525" spans="8:8" ht="12.75">
      <c r="H525" s="164"/>
    </row>
    <row r="526" spans="8:8" ht="12.75">
      <c r="H526" s="164"/>
    </row>
    <row r="527" spans="8:8" ht="12.75">
      <c r="H527" s="164"/>
    </row>
    <row r="528" spans="8:8" ht="12.75">
      <c r="H528" s="164"/>
    </row>
    <row r="529" spans="8:8" ht="12.75">
      <c r="H529" s="164"/>
    </row>
    <row r="530" spans="8:8" ht="12.75">
      <c r="H530" s="164"/>
    </row>
    <row r="531" spans="8:8" ht="12.75">
      <c r="H531" s="164"/>
    </row>
    <row r="532" spans="8:8" ht="12.75">
      <c r="H532" s="164"/>
    </row>
    <row r="533" spans="8:8" ht="12.75">
      <c r="H533" s="164"/>
    </row>
    <row r="534" spans="8:8" ht="12.75">
      <c r="H534" s="164"/>
    </row>
    <row r="535" spans="8:8" ht="12.75">
      <c r="H535" s="164"/>
    </row>
    <row r="536" spans="8:8" ht="12.75">
      <c r="H536" s="164"/>
    </row>
    <row r="537" spans="8:8" ht="12.75">
      <c r="H537" s="164"/>
    </row>
    <row r="538" spans="8:8" ht="12.75">
      <c r="H538" s="164"/>
    </row>
    <row r="539" spans="8:8" ht="12.75">
      <c r="H539" s="164"/>
    </row>
    <row r="540" spans="8:8" ht="12.75">
      <c r="H540" s="164"/>
    </row>
    <row r="541" spans="8:8" ht="12.75">
      <c r="H541" s="164"/>
    </row>
    <row r="542" spans="8:8" ht="12.75">
      <c r="H542" s="164"/>
    </row>
    <row r="543" spans="8:8" ht="12.75">
      <c r="H543" s="164"/>
    </row>
    <row r="544" spans="8:8" ht="12.75">
      <c r="H544" s="164"/>
    </row>
    <row r="545" spans="8:8" ht="12.75">
      <c r="H545" s="164"/>
    </row>
    <row r="546" spans="8:8" ht="12.75">
      <c r="H546" s="164"/>
    </row>
    <row r="547" spans="8:8" ht="12.75">
      <c r="H547" s="164"/>
    </row>
    <row r="548" spans="8:8" ht="12.75">
      <c r="H548" s="164"/>
    </row>
    <row r="549" spans="8:8" ht="12.75">
      <c r="H549" s="164"/>
    </row>
    <row r="550" spans="8:8" ht="12.75">
      <c r="H550" s="164"/>
    </row>
    <row r="551" spans="8:8" ht="12.75">
      <c r="H551" s="164"/>
    </row>
    <row r="552" spans="8:8" ht="12.75">
      <c r="H552" s="164"/>
    </row>
    <row r="553" spans="8:8" ht="12.75">
      <c r="H553" s="164"/>
    </row>
    <row r="554" spans="8:8" ht="12.75">
      <c r="H554" s="164"/>
    </row>
    <row r="555" spans="8:8" ht="12.75">
      <c r="H555" s="164"/>
    </row>
    <row r="556" spans="8:8" ht="12.75">
      <c r="H556" s="164"/>
    </row>
    <row r="557" spans="8:8" ht="12.75">
      <c r="H557" s="164"/>
    </row>
    <row r="558" spans="8:8" ht="12.75">
      <c r="H558" s="164"/>
    </row>
    <row r="559" spans="8:8" ht="12.75">
      <c r="H559" s="164"/>
    </row>
    <row r="560" spans="8:8" ht="12.75">
      <c r="H560" s="164"/>
    </row>
    <row r="561" spans="8:8" ht="12.75">
      <c r="H561" s="164"/>
    </row>
    <row r="562" spans="8:8" ht="12.75">
      <c r="H562" s="164"/>
    </row>
    <row r="563" spans="8:8" ht="12.75">
      <c r="H563" s="164"/>
    </row>
    <row r="564" spans="8:8" ht="12.75">
      <c r="H564" s="164"/>
    </row>
    <row r="565" spans="8:8" ht="12.75">
      <c r="H565" s="164"/>
    </row>
    <row r="566" spans="8:8" ht="12.75">
      <c r="H566" s="164"/>
    </row>
    <row r="567" spans="8:8" ht="12.75">
      <c r="H567" s="164"/>
    </row>
    <row r="568" spans="8:8" ht="12.75">
      <c r="H568" s="164"/>
    </row>
    <row r="569" spans="8:8" ht="12.75">
      <c r="H569" s="164"/>
    </row>
    <row r="570" spans="8:8" ht="12.75">
      <c r="H570" s="164"/>
    </row>
    <row r="571" spans="8:8" ht="12.75">
      <c r="H571" s="164"/>
    </row>
    <row r="572" spans="8:8" ht="12.75">
      <c r="H572" s="164"/>
    </row>
    <row r="573" spans="8:8" ht="12.75">
      <c r="H573" s="164"/>
    </row>
    <row r="574" spans="8:8" ht="12.75">
      <c r="H574" s="164"/>
    </row>
    <row r="575" spans="8:8" ht="12.75">
      <c r="H575" s="164"/>
    </row>
    <row r="576" spans="8:8" ht="12.75">
      <c r="H576" s="164"/>
    </row>
    <row r="577" spans="8:8" ht="12.75">
      <c r="H577" s="164"/>
    </row>
    <row r="578" spans="8:8" ht="12.75">
      <c r="H578" s="164"/>
    </row>
    <row r="579" spans="8:8" ht="12.75">
      <c r="H579" s="164"/>
    </row>
    <row r="580" spans="8:8" ht="12.75">
      <c r="H580" s="164"/>
    </row>
    <row r="581" spans="8:8" ht="12.75">
      <c r="H581" s="164"/>
    </row>
    <row r="582" spans="8:8" ht="12.75">
      <c r="H582" s="164"/>
    </row>
    <row r="583" spans="8:8" ht="12.75">
      <c r="H583" s="164"/>
    </row>
    <row r="584" spans="8:8" ht="12.75">
      <c r="H584" s="164"/>
    </row>
    <row r="585" spans="8:8" ht="12.75">
      <c r="H585" s="164"/>
    </row>
    <row r="586" spans="8:8" ht="12.75">
      <c r="H586" s="164"/>
    </row>
    <row r="587" spans="8:8" ht="12.75">
      <c r="H587" s="164"/>
    </row>
    <row r="588" spans="8:8" ht="12.75">
      <c r="H588" s="164"/>
    </row>
    <row r="589" spans="8:8" ht="12.75">
      <c r="H589" s="164"/>
    </row>
    <row r="590" spans="8:8" ht="12.75">
      <c r="H590" s="164"/>
    </row>
    <row r="591" spans="8:8" ht="12.75">
      <c r="H591" s="164"/>
    </row>
    <row r="592" spans="8:8" ht="12.75">
      <c r="H592" s="164"/>
    </row>
    <row r="593" spans="8:8" ht="12.75">
      <c r="H593" s="164"/>
    </row>
    <row r="594" spans="8:8" ht="12.75">
      <c r="H594" s="164"/>
    </row>
    <row r="595" spans="8:8" ht="12.75">
      <c r="H595" s="164"/>
    </row>
    <row r="596" spans="8:8" ht="12.75">
      <c r="H596" s="164"/>
    </row>
    <row r="597" spans="8:8" ht="12.75">
      <c r="H597" s="164"/>
    </row>
    <row r="598" spans="8:8" ht="12.75">
      <c r="H598" s="164"/>
    </row>
    <row r="599" spans="8:8" ht="12.75">
      <c r="H599" s="164"/>
    </row>
    <row r="600" spans="8:8" ht="12.75">
      <c r="H600" s="164"/>
    </row>
    <row r="601" spans="8:8" ht="12.75">
      <c r="H601" s="164"/>
    </row>
    <row r="602" spans="8:8" ht="12.75">
      <c r="H602" s="164"/>
    </row>
    <row r="603" spans="8:8" ht="12.75">
      <c r="H603" s="164"/>
    </row>
    <row r="604" spans="8:8" ht="12.75">
      <c r="H604" s="164"/>
    </row>
    <row r="605" spans="8:8" ht="12.75">
      <c r="H605" s="164"/>
    </row>
    <row r="606" spans="8:8" ht="12.75">
      <c r="H606" s="164"/>
    </row>
    <row r="607" spans="8:8" ht="12.75">
      <c r="H607" s="164"/>
    </row>
    <row r="608" spans="8:8" ht="12.75">
      <c r="H608" s="164"/>
    </row>
    <row r="609" spans="8:8" ht="12.75">
      <c r="H609" s="164"/>
    </row>
    <row r="610" spans="8:8" ht="12.75">
      <c r="H610" s="164"/>
    </row>
    <row r="611" spans="8:8" ht="12.75">
      <c r="H611" s="164"/>
    </row>
    <row r="612" spans="8:8" ht="12.75">
      <c r="H612" s="164"/>
    </row>
    <row r="613" spans="8:8" ht="12.75">
      <c r="H613" s="164"/>
    </row>
    <row r="614" spans="8:8" ht="12.75">
      <c r="H614" s="164"/>
    </row>
    <row r="615" spans="8:8" ht="12.75">
      <c r="H615" s="164"/>
    </row>
    <row r="616" spans="8:8" ht="12.75">
      <c r="H616" s="164"/>
    </row>
    <row r="617" spans="8:8" ht="12.75">
      <c r="H617" s="164"/>
    </row>
    <row r="618" spans="8:8" ht="12.75">
      <c r="H618" s="164"/>
    </row>
    <row r="619" spans="8:8" ht="12.75">
      <c r="H619" s="164"/>
    </row>
    <row r="620" spans="8:8" ht="12.75">
      <c r="H620" s="164"/>
    </row>
    <row r="621" spans="8:8" ht="12.75">
      <c r="H621" s="164"/>
    </row>
    <row r="622" spans="8:8" ht="12.75">
      <c r="H622" s="164"/>
    </row>
    <row r="623" spans="8:8" ht="12.75">
      <c r="H623" s="164"/>
    </row>
    <row r="624" spans="8:8" ht="12.75">
      <c r="H624" s="164"/>
    </row>
    <row r="625" spans="8:8" ht="12.75">
      <c r="H625" s="164"/>
    </row>
    <row r="626" spans="8:8" ht="12.75">
      <c r="H626" s="164"/>
    </row>
    <row r="627" spans="8:8" ht="12.75">
      <c r="H627" s="164"/>
    </row>
    <row r="628" spans="8:8" ht="12.75">
      <c r="H628" s="164"/>
    </row>
    <row r="629" spans="8:8" ht="12.75">
      <c r="H629" s="164"/>
    </row>
    <row r="630" spans="8:8" ht="12.75">
      <c r="H630" s="164"/>
    </row>
    <row r="631" spans="8:8" ht="12.75">
      <c r="H631" s="164"/>
    </row>
    <row r="632" spans="8:8" ht="12.75">
      <c r="H632" s="164"/>
    </row>
    <row r="633" spans="8:8" ht="12.75">
      <c r="H633" s="164"/>
    </row>
    <row r="634" spans="8:8" ht="12.75">
      <c r="H634" s="164"/>
    </row>
    <row r="635" spans="8:8" ht="12.75">
      <c r="H635" s="164"/>
    </row>
    <row r="636" spans="8:8" ht="12.75">
      <c r="H636" s="164"/>
    </row>
    <row r="637" spans="8:8" ht="12.75">
      <c r="H637" s="164"/>
    </row>
    <row r="638" spans="8:8" ht="12.75">
      <c r="H638" s="164"/>
    </row>
    <row r="639" spans="8:8" ht="12.75">
      <c r="H639" s="164"/>
    </row>
    <row r="640" spans="8:8" ht="12.75">
      <c r="H640" s="164"/>
    </row>
    <row r="641" spans="8:8" ht="12.75">
      <c r="H641" s="164"/>
    </row>
    <row r="642" spans="8:8" ht="12.75">
      <c r="H642" s="164"/>
    </row>
    <row r="643" spans="8:8" ht="12.75">
      <c r="H643" s="164"/>
    </row>
    <row r="644" spans="8:8" ht="12.75">
      <c r="H644" s="164"/>
    </row>
    <row r="645" spans="8:8" ht="12.75">
      <c r="H645" s="164"/>
    </row>
    <row r="646" spans="8:8" ht="12.75">
      <c r="H646" s="164"/>
    </row>
    <row r="647" spans="8:8" ht="12.75">
      <c r="H647" s="164"/>
    </row>
    <row r="648" spans="8:8" ht="12.75">
      <c r="H648" s="164"/>
    </row>
    <row r="649" spans="8:8" ht="12.75">
      <c r="H649" s="164"/>
    </row>
    <row r="650" spans="8:8" ht="12.75">
      <c r="H650" s="164"/>
    </row>
    <row r="651" spans="8:8" ht="12.75">
      <c r="H651" s="164"/>
    </row>
    <row r="652" spans="8:8" ht="12.75">
      <c r="H652" s="164"/>
    </row>
    <row r="653" spans="8:8" ht="12.75">
      <c r="H653" s="164"/>
    </row>
    <row r="654" spans="8:8" ht="12.75">
      <c r="H654" s="164"/>
    </row>
    <row r="655" spans="8:8" ht="12.75">
      <c r="H655" s="164"/>
    </row>
    <row r="656" spans="8:8" ht="12.75">
      <c r="H656" s="164"/>
    </row>
    <row r="657" spans="8:8" ht="12.75">
      <c r="H657" s="164"/>
    </row>
    <row r="658" spans="8:8" ht="12.75">
      <c r="H658" s="164"/>
    </row>
    <row r="659" spans="8:8" ht="12.75">
      <c r="H659" s="164"/>
    </row>
    <row r="660" spans="8:8" ht="12.75">
      <c r="H660" s="164"/>
    </row>
    <row r="661" spans="8:8" ht="12.75">
      <c r="H661" s="164"/>
    </row>
    <row r="662" spans="8:8" ht="12.75">
      <c r="H662" s="164"/>
    </row>
    <row r="663" spans="8:8" ht="12.75">
      <c r="H663" s="164"/>
    </row>
    <row r="664" spans="8:8" ht="12.75">
      <c r="H664" s="164"/>
    </row>
    <row r="665" spans="8:8" ht="12.75">
      <c r="H665" s="164"/>
    </row>
    <row r="666" spans="8:8" ht="12.75">
      <c r="H666" s="164"/>
    </row>
    <row r="667" spans="8:8" ht="12.75">
      <c r="H667" s="164"/>
    </row>
    <row r="668" spans="8:8" ht="12.75">
      <c r="H668" s="164"/>
    </row>
    <row r="669" spans="8:8" ht="12.75">
      <c r="H669" s="164"/>
    </row>
    <row r="670" spans="8:8" ht="12.75">
      <c r="H670" s="164"/>
    </row>
    <row r="671" spans="8:8" ht="12.75">
      <c r="H671" s="164"/>
    </row>
    <row r="672" spans="8:8" ht="12.75">
      <c r="H672" s="164"/>
    </row>
    <row r="673" spans="8:8" ht="12.75">
      <c r="H673" s="164"/>
    </row>
    <row r="674" spans="8:8" ht="12.75">
      <c r="H674" s="164"/>
    </row>
    <row r="675" spans="8:8" ht="12.75">
      <c r="H675" s="164"/>
    </row>
    <row r="676" spans="8:8" ht="12.75">
      <c r="H676" s="164"/>
    </row>
    <row r="677" spans="8:8" ht="12.75">
      <c r="H677" s="164"/>
    </row>
    <row r="678" spans="8:8" ht="12.75">
      <c r="H678" s="164"/>
    </row>
    <row r="679" spans="8:8" ht="12.75">
      <c r="H679" s="164"/>
    </row>
    <row r="680" spans="8:8" ht="12.75">
      <c r="H680" s="164"/>
    </row>
    <row r="681" spans="8:8" ht="12.75">
      <c r="H681" s="164"/>
    </row>
    <row r="682" spans="8:8" ht="12.75">
      <c r="H682" s="164"/>
    </row>
    <row r="683" spans="8:8" ht="12.75">
      <c r="H683" s="164"/>
    </row>
    <row r="684" spans="8:8" ht="12.75">
      <c r="H684" s="164"/>
    </row>
    <row r="685" spans="8:8" ht="12.75">
      <c r="H685" s="164"/>
    </row>
    <row r="686" spans="8:8" ht="12.75">
      <c r="H686" s="164"/>
    </row>
    <row r="687" spans="8:8" ht="12.75">
      <c r="H687" s="164"/>
    </row>
    <row r="688" spans="8:8" ht="12.75">
      <c r="H688" s="164"/>
    </row>
    <row r="689" spans="8:8" ht="12.75">
      <c r="H689" s="164"/>
    </row>
    <row r="690" spans="8:8" ht="12.75">
      <c r="H690" s="164"/>
    </row>
    <row r="691" spans="8:8" ht="12.75">
      <c r="H691" s="164"/>
    </row>
    <row r="692" spans="8:8" ht="12.75">
      <c r="H692" s="164"/>
    </row>
    <row r="693" spans="8:8" ht="12.75">
      <c r="H693" s="164"/>
    </row>
    <row r="694" spans="8:8" ht="12.75">
      <c r="H694" s="164"/>
    </row>
    <row r="695" spans="8:8" ht="12.75">
      <c r="H695" s="164"/>
    </row>
    <row r="696" spans="8:8" ht="12.75">
      <c r="H696" s="164"/>
    </row>
    <row r="697" spans="8:8" ht="12.75">
      <c r="H697" s="164"/>
    </row>
    <row r="698" spans="8:8" ht="12.75">
      <c r="H698" s="164"/>
    </row>
    <row r="699" spans="8:8" ht="12.75">
      <c r="H699" s="164"/>
    </row>
    <row r="700" spans="8:8" ht="12.75">
      <c r="H700" s="164"/>
    </row>
    <row r="701" spans="8:8" ht="12.75">
      <c r="H701" s="164"/>
    </row>
    <row r="702" spans="8:8" ht="12.75">
      <c r="H702" s="164"/>
    </row>
    <row r="703" spans="8:8" ht="12.75">
      <c r="H703" s="164"/>
    </row>
    <row r="704" spans="8:8" ht="12.75">
      <c r="H704" s="164"/>
    </row>
    <row r="705" spans="8:8" ht="12.75">
      <c r="H705" s="164"/>
    </row>
    <row r="706" spans="8:8" ht="12.75">
      <c r="H706" s="164"/>
    </row>
    <row r="707" spans="8:8" ht="12.75">
      <c r="H707" s="164"/>
    </row>
    <row r="708" spans="8:8" ht="12.75">
      <c r="H708" s="164"/>
    </row>
    <row r="709" spans="8:8" ht="12.75">
      <c r="H709" s="164"/>
    </row>
    <row r="710" spans="8:8" ht="12.75">
      <c r="H710" s="164"/>
    </row>
    <row r="711" spans="8:8" ht="12.75">
      <c r="H711" s="164"/>
    </row>
    <row r="712" spans="8:8" ht="12.75">
      <c r="H712" s="164"/>
    </row>
    <row r="713" spans="8:8" ht="12.75">
      <c r="H713" s="164"/>
    </row>
    <row r="714" spans="8:8" ht="12.75">
      <c r="H714" s="164"/>
    </row>
    <row r="715" spans="8:8" ht="12.75">
      <c r="H715" s="164"/>
    </row>
    <row r="716" spans="8:8" ht="12.75">
      <c r="H716" s="164"/>
    </row>
    <row r="717" spans="8:8" ht="12.75">
      <c r="H717" s="164"/>
    </row>
    <row r="718" spans="8:8" ht="12.75">
      <c r="H718" s="164"/>
    </row>
    <row r="719" spans="8:8" ht="12.75">
      <c r="H719" s="164"/>
    </row>
    <row r="720" spans="8:8" ht="12.75">
      <c r="H720" s="164"/>
    </row>
    <row r="721" spans="8:8" ht="12.75">
      <c r="H721" s="164"/>
    </row>
    <row r="722" spans="8:8" ht="12.75">
      <c r="H722" s="164"/>
    </row>
    <row r="723" spans="8:8" ht="12.75">
      <c r="H723" s="164"/>
    </row>
    <row r="724" spans="8:8" ht="12.75">
      <c r="H724" s="164"/>
    </row>
    <row r="725" spans="8:8" ht="12.75">
      <c r="H725" s="164"/>
    </row>
    <row r="726" spans="8:8" ht="12.75">
      <c r="H726" s="164"/>
    </row>
    <row r="727" spans="8:8" ht="12.75">
      <c r="H727" s="164"/>
    </row>
    <row r="728" spans="8:8" ht="12.75">
      <c r="H728" s="164"/>
    </row>
    <row r="729" spans="8:8" ht="12.75">
      <c r="H729" s="164"/>
    </row>
    <row r="730" spans="8:8" ht="12.75">
      <c r="H730" s="164"/>
    </row>
    <row r="731" spans="8:8" ht="12.75">
      <c r="H731" s="164"/>
    </row>
    <row r="732" spans="8:8" ht="12.75">
      <c r="H732" s="164"/>
    </row>
    <row r="733" spans="8:8" ht="12.75">
      <c r="H733" s="164"/>
    </row>
    <row r="734" spans="8:8" ht="12.75">
      <c r="H734" s="164"/>
    </row>
    <row r="735" spans="8:8" ht="12.75">
      <c r="H735" s="164"/>
    </row>
    <row r="736" spans="8:8" ht="12.75">
      <c r="H736" s="164"/>
    </row>
    <row r="737" spans="8:8" ht="12.75">
      <c r="H737" s="164"/>
    </row>
    <row r="738" spans="8:8" ht="12.75">
      <c r="H738" s="164"/>
    </row>
    <row r="739" spans="8:8" ht="12.75">
      <c r="H739" s="164"/>
    </row>
    <row r="740" spans="8:8" ht="12.75">
      <c r="H740" s="164"/>
    </row>
    <row r="741" spans="8:8" ht="12.75">
      <c r="H741" s="164"/>
    </row>
    <row r="742" spans="8:8" ht="12.75">
      <c r="H742" s="164"/>
    </row>
    <row r="743" spans="8:8" ht="12.75">
      <c r="H743" s="164"/>
    </row>
    <row r="744" spans="8:8" ht="12.75">
      <c r="H744" s="164"/>
    </row>
    <row r="745" spans="8:8" ht="12.75">
      <c r="H745" s="164"/>
    </row>
    <row r="746" spans="8:8" ht="12.75">
      <c r="H746" s="164"/>
    </row>
    <row r="747" spans="8:8" ht="12.75">
      <c r="H747" s="164"/>
    </row>
    <row r="748" spans="8:8" ht="12.75">
      <c r="H748" s="164"/>
    </row>
    <row r="749" spans="8:8" ht="12.75">
      <c r="H749" s="164"/>
    </row>
    <row r="750" spans="8:8" ht="12.75">
      <c r="H750" s="164"/>
    </row>
    <row r="751" spans="8:8" ht="12.75">
      <c r="H751" s="164"/>
    </row>
    <row r="752" spans="8:8" ht="12.75">
      <c r="H752" s="164"/>
    </row>
    <row r="753" spans="8:8" ht="12.75">
      <c r="H753" s="164"/>
    </row>
    <row r="754" spans="8:8" ht="12.75">
      <c r="H754" s="164"/>
    </row>
    <row r="755" spans="8:8" ht="12.75">
      <c r="H755" s="164"/>
    </row>
    <row r="756" spans="8:8" ht="12.75">
      <c r="H756" s="164"/>
    </row>
    <row r="757" spans="8:8" ht="12.75">
      <c r="H757" s="164"/>
    </row>
    <row r="758" spans="8:8" ht="12.75">
      <c r="H758" s="164"/>
    </row>
    <row r="759" spans="8:8" ht="12.75">
      <c r="H759" s="164"/>
    </row>
    <row r="760" spans="8:8" ht="12.75">
      <c r="H760" s="164"/>
    </row>
    <row r="761" spans="8:8" ht="12.75">
      <c r="H761" s="164"/>
    </row>
    <row r="762" spans="8:8" ht="12.75">
      <c r="H762" s="164"/>
    </row>
    <row r="763" spans="8:8" ht="12.75">
      <c r="H763" s="164"/>
    </row>
    <row r="764" spans="8:8" ht="12.75">
      <c r="H764" s="164"/>
    </row>
    <row r="765" spans="8:8" ht="12.75">
      <c r="H765" s="164"/>
    </row>
    <row r="766" spans="8:8" ht="12.75">
      <c r="H766" s="164"/>
    </row>
    <row r="767" spans="8:8" ht="12.75">
      <c r="H767" s="164"/>
    </row>
    <row r="768" spans="8:8" ht="12.75">
      <c r="H768" s="164"/>
    </row>
    <row r="769" spans="8:8" ht="12.75">
      <c r="H769" s="164"/>
    </row>
    <row r="770" spans="8:8" ht="12.75">
      <c r="H770" s="164"/>
    </row>
    <row r="771" spans="8:8" ht="12.75">
      <c r="H771" s="164"/>
    </row>
    <row r="772" spans="8:8" ht="12.75">
      <c r="H772" s="164"/>
    </row>
    <row r="773" spans="8:8" ht="12.75">
      <c r="H773" s="164"/>
    </row>
    <row r="774" spans="8:8" ht="12.75">
      <c r="H774" s="164"/>
    </row>
    <row r="775" spans="8:8" ht="12.75">
      <c r="H775" s="164"/>
    </row>
    <row r="776" spans="8:8" ht="12.75">
      <c r="H776" s="164"/>
    </row>
    <row r="777" spans="8:8" ht="12.75">
      <c r="H777" s="164"/>
    </row>
    <row r="778" spans="8:8" ht="12.75">
      <c r="H778" s="164"/>
    </row>
    <row r="779" spans="8:8" ht="12.75">
      <c r="H779" s="164"/>
    </row>
    <row r="780" spans="8:8" ht="12.75">
      <c r="H780" s="164"/>
    </row>
    <row r="781" spans="8:8" ht="12.75">
      <c r="H781" s="164"/>
    </row>
    <row r="782" spans="8:8" ht="12.75">
      <c r="H782" s="164"/>
    </row>
    <row r="783" spans="8:8" ht="12.75">
      <c r="H783" s="164"/>
    </row>
    <row r="784" spans="8:8" ht="12.75">
      <c r="H784" s="164"/>
    </row>
    <row r="785" spans="8:8" ht="12.75">
      <c r="H785" s="164"/>
    </row>
    <row r="786" spans="8:8" ht="12.75">
      <c r="H786" s="164"/>
    </row>
    <row r="787" spans="8:8" ht="12.75">
      <c r="H787" s="164"/>
    </row>
    <row r="788" spans="8:8" ht="12.75">
      <c r="H788" s="164"/>
    </row>
    <row r="789" spans="8:8" ht="12.75">
      <c r="H789" s="164"/>
    </row>
    <row r="790" spans="8:8" ht="12.75">
      <c r="H790" s="164"/>
    </row>
    <row r="791" spans="8:8" ht="12.75">
      <c r="H791" s="164"/>
    </row>
    <row r="792" spans="8:8" ht="12.75">
      <c r="H792" s="164"/>
    </row>
    <row r="793" spans="8:8" ht="12.75">
      <c r="H793" s="164"/>
    </row>
    <row r="794" spans="8:8" ht="12.75">
      <c r="H794" s="164"/>
    </row>
    <row r="795" spans="8:8" ht="12.75">
      <c r="H795" s="164"/>
    </row>
    <row r="796" spans="8:8" ht="12.75">
      <c r="H796" s="164"/>
    </row>
    <row r="797" spans="8:8" ht="12.75">
      <c r="H797" s="164"/>
    </row>
    <row r="798" spans="8:8" ht="12.75">
      <c r="H798" s="164"/>
    </row>
    <row r="799" spans="8:8" ht="12.75">
      <c r="H799" s="164"/>
    </row>
    <row r="800" spans="8:8" ht="12.75">
      <c r="H800" s="164"/>
    </row>
    <row r="801" spans="8:8" ht="12.75">
      <c r="H801" s="164"/>
    </row>
    <row r="802" spans="8:8" ht="12.75">
      <c r="H802" s="164"/>
    </row>
    <row r="803" spans="8:8" ht="12.75">
      <c r="H803" s="164"/>
    </row>
    <row r="804" spans="8:8" ht="12.75">
      <c r="H804" s="164"/>
    </row>
    <row r="805" spans="8:8" ht="12.75">
      <c r="H805" s="164"/>
    </row>
    <row r="806" spans="8:8" ht="12.75">
      <c r="H806" s="164"/>
    </row>
    <row r="807" spans="8:8" ht="12.75">
      <c r="H807" s="164"/>
    </row>
    <row r="808" spans="8:8" ht="12.75">
      <c r="H808" s="164"/>
    </row>
    <row r="809" spans="8:8" ht="12.75">
      <c r="H809" s="164"/>
    </row>
    <row r="810" spans="8:8" ht="12.75">
      <c r="H810" s="164"/>
    </row>
    <row r="811" spans="8:8" ht="12.75">
      <c r="H811" s="164"/>
    </row>
    <row r="812" spans="8:8" ht="12.75">
      <c r="H812" s="164"/>
    </row>
    <row r="813" spans="8:8" ht="12.75">
      <c r="H813" s="164"/>
    </row>
    <row r="814" spans="8:8" ht="12.75">
      <c r="H814" s="164"/>
    </row>
    <row r="815" spans="8:8" ht="12.75">
      <c r="H815" s="164"/>
    </row>
    <row r="816" spans="8:8" ht="12.75">
      <c r="H816" s="164"/>
    </row>
    <row r="817" spans="8:8" ht="12.75">
      <c r="H817" s="164"/>
    </row>
    <row r="818" spans="8:8" ht="12.75">
      <c r="H818" s="164"/>
    </row>
    <row r="819" spans="8:8" ht="12.75">
      <c r="H819" s="164"/>
    </row>
    <row r="820" spans="8:8" ht="12.75">
      <c r="H820" s="164"/>
    </row>
    <row r="821" spans="8:8" ht="12.75">
      <c r="H821" s="164"/>
    </row>
    <row r="822" spans="8:8" ht="12.75">
      <c r="H822" s="164"/>
    </row>
    <row r="823" spans="8:8" ht="12.75">
      <c r="H823" s="164"/>
    </row>
    <row r="824" spans="8:8" ht="12.75">
      <c r="H824" s="164"/>
    </row>
    <row r="825" spans="8:8" ht="12.75">
      <c r="H825" s="164"/>
    </row>
    <row r="826" spans="8:8" ht="12.75">
      <c r="H826" s="164"/>
    </row>
    <row r="827" spans="8:8" ht="12.75">
      <c r="H827" s="164"/>
    </row>
    <row r="828" spans="8:8" ht="12.75">
      <c r="H828" s="164"/>
    </row>
    <row r="829" spans="8:8" ht="12.75">
      <c r="H829" s="164"/>
    </row>
    <row r="830" spans="8:8" ht="12.75">
      <c r="H830" s="164"/>
    </row>
    <row r="831" spans="8:8" ht="12.75">
      <c r="H831" s="164"/>
    </row>
    <row r="832" spans="8:8" ht="12.75">
      <c r="H832" s="164"/>
    </row>
    <row r="833" spans="8:8" ht="12.75">
      <c r="H833" s="164"/>
    </row>
    <row r="834" spans="8:8" ht="12.75">
      <c r="H834" s="164"/>
    </row>
    <row r="835" spans="8:8" ht="12.75">
      <c r="H835" s="164"/>
    </row>
    <row r="836" spans="8:8" ht="12.75">
      <c r="H836" s="164"/>
    </row>
    <row r="837" spans="8:8" ht="12.75">
      <c r="H837" s="164"/>
    </row>
    <row r="838" spans="8:8" ht="12.75">
      <c r="H838" s="164"/>
    </row>
    <row r="839" spans="8:8" ht="12.75">
      <c r="H839" s="164"/>
    </row>
    <row r="840" spans="8:8" ht="12.75">
      <c r="H840" s="164"/>
    </row>
    <row r="841" spans="8:8" ht="12.75">
      <c r="H841" s="164"/>
    </row>
    <row r="842" spans="8:8" ht="12.75">
      <c r="H842" s="164"/>
    </row>
    <row r="843" spans="8:8" ht="12.75">
      <c r="H843" s="164"/>
    </row>
    <row r="844" spans="8:8" ht="12.75">
      <c r="H844" s="164"/>
    </row>
    <row r="845" spans="8:8" ht="12.75">
      <c r="H845" s="164"/>
    </row>
    <row r="846" spans="8:8" ht="12.75">
      <c r="H846" s="164"/>
    </row>
    <row r="847" spans="8:8" ht="12.75">
      <c r="H847" s="164"/>
    </row>
    <row r="848" spans="8:8" ht="12.75">
      <c r="H848" s="164"/>
    </row>
    <row r="849" spans="8:8" ht="12.75">
      <c r="H849" s="164"/>
    </row>
    <row r="850" spans="8:8" ht="12.75">
      <c r="H850" s="164"/>
    </row>
    <row r="851" spans="8:8" ht="12.75">
      <c r="H851" s="164"/>
    </row>
    <row r="852" spans="8:8" ht="12.75">
      <c r="H852" s="164"/>
    </row>
    <row r="853" spans="8:8" ht="12.75">
      <c r="H853" s="164"/>
    </row>
    <row r="854" spans="8:8" ht="12.75">
      <c r="H854" s="164"/>
    </row>
    <row r="855" spans="8:8" ht="12.75">
      <c r="H855" s="164"/>
    </row>
    <row r="856" spans="8:8" ht="12.75">
      <c r="H856" s="164"/>
    </row>
    <row r="857" spans="8:8" ht="12.75">
      <c r="H857" s="164"/>
    </row>
    <row r="858" spans="8:8" ht="12.75">
      <c r="H858" s="164"/>
    </row>
    <row r="859" spans="8:8" ht="12.75">
      <c r="H859" s="164"/>
    </row>
    <row r="860" spans="8:8" ht="12.75">
      <c r="H860" s="164"/>
    </row>
    <row r="861" spans="8:8" ht="12.75">
      <c r="H861" s="164"/>
    </row>
    <row r="862" spans="8:8" ht="12.75">
      <c r="H862" s="164"/>
    </row>
    <row r="863" spans="8:8" ht="12.75">
      <c r="H863" s="164"/>
    </row>
    <row r="864" spans="8:8" ht="12.75">
      <c r="H864" s="164"/>
    </row>
    <row r="865" spans="8:8" ht="12.75">
      <c r="H865" s="164"/>
    </row>
    <row r="866" spans="8:8" ht="12.75">
      <c r="H866" s="164"/>
    </row>
    <row r="867" spans="8:8" ht="12.75">
      <c r="H867" s="164"/>
    </row>
    <row r="868" spans="8:8" ht="12.75">
      <c r="H868" s="164"/>
    </row>
    <row r="869" spans="8:8" ht="12.75">
      <c r="H869" s="164"/>
    </row>
    <row r="870" spans="8:8" ht="12.75">
      <c r="H870" s="164"/>
    </row>
    <row r="871" spans="8:8" ht="12.75">
      <c r="H871" s="164"/>
    </row>
    <row r="872" spans="8:8" ht="12.75">
      <c r="H872" s="164"/>
    </row>
    <row r="873" spans="8:8" ht="12.75">
      <c r="H873" s="164"/>
    </row>
    <row r="874" spans="8:8" ht="12.75">
      <c r="H874" s="164"/>
    </row>
    <row r="875" spans="8:8" ht="12.75">
      <c r="H875" s="164"/>
    </row>
    <row r="876" spans="8:8" ht="12.75">
      <c r="H876" s="164"/>
    </row>
    <row r="877" spans="8:8" ht="12.75">
      <c r="H877" s="164"/>
    </row>
    <row r="878" spans="8:8" ht="12.75">
      <c r="H878" s="164"/>
    </row>
    <row r="879" spans="8:8" ht="12.75">
      <c r="H879" s="164"/>
    </row>
    <row r="880" spans="8:8" ht="12.75">
      <c r="H880" s="164"/>
    </row>
    <row r="881" spans="8:8" ht="12.75">
      <c r="H881" s="164"/>
    </row>
    <row r="882" spans="8:8" ht="12.75">
      <c r="H882" s="164"/>
    </row>
    <row r="883" spans="8:8" ht="12.75">
      <c r="H883" s="164"/>
    </row>
    <row r="884" spans="8:8" ht="12.75">
      <c r="H884" s="164"/>
    </row>
    <row r="885" spans="8:8" ht="12.75">
      <c r="H885" s="164"/>
    </row>
    <row r="886" spans="8:8" ht="12.75">
      <c r="H886" s="164"/>
    </row>
    <row r="887" spans="8:8" ht="12.75">
      <c r="H887" s="164"/>
    </row>
    <row r="888" spans="8:8" ht="12.75">
      <c r="H888" s="164"/>
    </row>
    <row r="889" spans="8:8" ht="12.75">
      <c r="H889" s="164"/>
    </row>
    <row r="890" spans="8:8" ht="12.75">
      <c r="H890" s="164"/>
    </row>
    <row r="891" spans="8:8" ht="12.75">
      <c r="H891" s="164"/>
    </row>
    <row r="892" spans="8:8" ht="12.75">
      <c r="H892" s="164"/>
    </row>
    <row r="893" spans="8:8" ht="12.75">
      <c r="H893" s="164"/>
    </row>
    <row r="894" spans="8:8" ht="12.75">
      <c r="H894" s="164"/>
    </row>
    <row r="895" spans="8:8" ht="12.75">
      <c r="H895" s="164"/>
    </row>
    <row r="896" spans="8:8" ht="12.75">
      <c r="H896" s="164"/>
    </row>
    <row r="897" spans="8:8" ht="12.75">
      <c r="H897" s="164"/>
    </row>
    <row r="898" spans="8:8" ht="12.75">
      <c r="H898" s="164"/>
    </row>
    <row r="899" spans="8:8" ht="12.75">
      <c r="H899" s="164"/>
    </row>
    <row r="900" spans="8:8" ht="12.75">
      <c r="H900" s="164"/>
    </row>
    <row r="901" spans="8:8" ht="12.75">
      <c r="H901" s="164"/>
    </row>
    <row r="902" spans="8:8" ht="12.75">
      <c r="H902" s="164"/>
    </row>
    <row r="903" spans="8:8" ht="12.75">
      <c r="H903" s="164"/>
    </row>
    <row r="904" spans="8:8" ht="12.75">
      <c r="H904" s="164"/>
    </row>
    <row r="905" spans="8:8" ht="12.75">
      <c r="H905" s="164"/>
    </row>
    <row r="906" spans="8:8" ht="12.75">
      <c r="H906" s="164"/>
    </row>
    <row r="907" spans="8:8" ht="12.75">
      <c r="H907" s="164"/>
    </row>
    <row r="908" spans="8:8" ht="12.75">
      <c r="H908" s="164"/>
    </row>
    <row r="909" spans="8:8" ht="12.75">
      <c r="H909" s="164"/>
    </row>
    <row r="910" spans="8:8" ht="12.75">
      <c r="H910" s="164"/>
    </row>
    <row r="911" spans="8:8" ht="12.75">
      <c r="H911" s="164"/>
    </row>
    <row r="912" spans="8:8" ht="12.75">
      <c r="H912" s="164"/>
    </row>
    <row r="913" spans="8:8" ht="12.75">
      <c r="H913" s="164"/>
    </row>
    <row r="914" spans="8:8" ht="12.75">
      <c r="H914" s="164"/>
    </row>
    <row r="915" spans="8:8" ht="12.75">
      <c r="H915" s="164"/>
    </row>
    <row r="916" spans="8:8" ht="12.75">
      <c r="H916" s="164"/>
    </row>
    <row r="917" spans="8:8" ht="12.75">
      <c r="H917" s="164"/>
    </row>
    <row r="918" spans="8:8" ht="12.75">
      <c r="H918" s="164"/>
    </row>
    <row r="919" spans="8:8" ht="12.75">
      <c r="H919" s="164"/>
    </row>
    <row r="920" spans="8:8" ht="12.75">
      <c r="H920" s="164"/>
    </row>
    <row r="921" spans="8:8" ht="12.75">
      <c r="H921" s="164"/>
    </row>
    <row r="922" spans="8:8" ht="12.75">
      <c r="H922" s="164"/>
    </row>
    <row r="923" spans="8:8" ht="12.75">
      <c r="H923" s="164"/>
    </row>
    <row r="924" spans="8:8" ht="12.75">
      <c r="H924" s="164"/>
    </row>
    <row r="925" spans="8:8" ht="12.75">
      <c r="H925" s="164"/>
    </row>
    <row r="926" spans="8:8" ht="12.75">
      <c r="H926" s="164"/>
    </row>
    <row r="927" spans="8:8" ht="12.75">
      <c r="H927" s="164"/>
    </row>
    <row r="928" spans="8:8" ht="12.75">
      <c r="H928" s="164"/>
    </row>
    <row r="929" spans="8:8" ht="12.75">
      <c r="H929" s="164"/>
    </row>
    <row r="930" spans="8:8" ht="12.75">
      <c r="H930" s="164"/>
    </row>
    <row r="931" spans="8:8" ht="12.75">
      <c r="H931" s="164"/>
    </row>
    <row r="932" spans="8:8" ht="12.75">
      <c r="H932" s="164"/>
    </row>
    <row r="933" spans="8:8" ht="12.75">
      <c r="H933" s="164"/>
    </row>
    <row r="934" spans="8:8" ht="12.75">
      <c r="H934" s="164"/>
    </row>
    <row r="935" spans="8:8" ht="12.75">
      <c r="H935" s="164"/>
    </row>
    <row r="936" spans="8:8" ht="12.75">
      <c r="H936" s="164"/>
    </row>
    <row r="937" spans="8:8" ht="12.75">
      <c r="H937" s="164"/>
    </row>
    <row r="938" spans="8:8" ht="12.75">
      <c r="H938" s="164"/>
    </row>
    <row r="939" spans="8:8" ht="12.75">
      <c r="H939" s="164"/>
    </row>
    <row r="940" spans="8:8" ht="12.75">
      <c r="H940" s="164"/>
    </row>
    <row r="941" spans="8:8" ht="12.75">
      <c r="H941" s="164"/>
    </row>
    <row r="942" spans="8:8" ht="12.75">
      <c r="H942" s="164"/>
    </row>
    <row r="943" spans="8:8" ht="12.75">
      <c r="H943" s="164"/>
    </row>
    <row r="944" spans="8:8" ht="12.75">
      <c r="H944" s="164"/>
    </row>
    <row r="945" spans="8:8" ht="12.75">
      <c r="H945" s="164"/>
    </row>
    <row r="946" spans="8:8" ht="12.75">
      <c r="H946" s="164"/>
    </row>
    <row r="947" spans="8:8" ht="12.75">
      <c r="H947" s="164"/>
    </row>
    <row r="948" spans="8:8" ht="12.75">
      <c r="H948" s="164"/>
    </row>
    <row r="949" spans="8:8" ht="12.75">
      <c r="H949" s="164"/>
    </row>
    <row r="950" spans="8:8" ht="12.75">
      <c r="H950" s="164"/>
    </row>
    <row r="951" spans="8:8" ht="12.75">
      <c r="H951" s="164"/>
    </row>
    <row r="952" spans="8:8" ht="12.75">
      <c r="H952" s="164"/>
    </row>
    <row r="953" spans="8:8" ht="12.75">
      <c r="H953" s="164"/>
    </row>
    <row r="954" spans="8:8" ht="12.75">
      <c r="H954" s="164"/>
    </row>
    <row r="955" spans="8:8" ht="12.75">
      <c r="H955" s="164"/>
    </row>
    <row r="956" spans="8:8" ht="12.75">
      <c r="H956" s="164"/>
    </row>
    <row r="957" spans="8:8" ht="12.75">
      <c r="H957" s="164"/>
    </row>
    <row r="958" spans="8:8" ht="12.75">
      <c r="H958" s="164"/>
    </row>
    <row r="959" spans="8:8" ht="12.75">
      <c r="H959" s="164"/>
    </row>
    <row r="960" spans="8:8" ht="12.75">
      <c r="H960" s="164"/>
    </row>
    <row r="961" spans="8:8" ht="12.75">
      <c r="H961" s="164"/>
    </row>
    <row r="962" spans="8:8" ht="12.75">
      <c r="H962" s="164"/>
    </row>
    <row r="963" spans="8:8" ht="12.75">
      <c r="H963" s="164"/>
    </row>
    <row r="964" spans="8:8" ht="12.75">
      <c r="H964" s="164"/>
    </row>
    <row r="965" spans="8:8" ht="12.75">
      <c r="H965" s="164"/>
    </row>
    <row r="966" spans="8:8" ht="12.75">
      <c r="H966" s="164"/>
    </row>
    <row r="967" spans="8:8" ht="12.75">
      <c r="H967" s="164"/>
    </row>
    <row r="968" spans="8:8" ht="12.75">
      <c r="H968" s="164"/>
    </row>
    <row r="969" spans="8:8" ht="12.75">
      <c r="H969" s="164"/>
    </row>
    <row r="970" spans="8:8" ht="12.75">
      <c r="H970" s="164"/>
    </row>
    <row r="971" spans="8:8" ht="12.75">
      <c r="H971" s="164"/>
    </row>
    <row r="972" spans="8:8" ht="12.75">
      <c r="H972" s="164"/>
    </row>
    <row r="973" spans="8:8" ht="12.75">
      <c r="H973" s="164"/>
    </row>
    <row r="974" spans="8:8" ht="12.75">
      <c r="H974" s="164"/>
    </row>
    <row r="975" spans="8:8" ht="12.75">
      <c r="H975" s="164"/>
    </row>
    <row r="976" spans="8:8" ht="12.75">
      <c r="H976" s="164"/>
    </row>
    <row r="977" spans="8:8" ht="12.75">
      <c r="H977" s="164"/>
    </row>
    <row r="978" spans="8:8" ht="12.75">
      <c r="H978" s="164"/>
    </row>
    <row r="979" spans="8:8" ht="12.75">
      <c r="H979" s="164"/>
    </row>
    <row r="980" spans="8:8" ht="12.75">
      <c r="H980" s="164"/>
    </row>
    <row r="981" spans="8:8" ht="12.75">
      <c r="H981" s="164"/>
    </row>
    <row r="982" spans="8:8" ht="12.75">
      <c r="H982" s="164"/>
    </row>
    <row r="983" spans="8:8" ht="12.75">
      <c r="H983" s="164"/>
    </row>
    <row r="984" spans="8:8" ht="12.75">
      <c r="H984" s="164"/>
    </row>
    <row r="985" spans="8:8" ht="12.75">
      <c r="H985" s="164"/>
    </row>
    <row r="986" spans="8:8" ht="12.75">
      <c r="H986" s="164"/>
    </row>
    <row r="987" spans="8:8" ht="12.75">
      <c r="H987" s="164"/>
    </row>
    <row r="988" spans="8:8" ht="12.75">
      <c r="H988" s="164"/>
    </row>
    <row r="989" spans="8:8" ht="12.75">
      <c r="H989" s="164"/>
    </row>
    <row r="990" spans="8:8" ht="12.75">
      <c r="H990" s="164"/>
    </row>
    <row r="991" spans="8:8" ht="12.75">
      <c r="H991" s="164"/>
    </row>
    <row r="992" spans="8:8" ht="12.75">
      <c r="H992" s="164"/>
    </row>
    <row r="993" spans="8:8" ht="12.75">
      <c r="H993" s="164"/>
    </row>
    <row r="994" spans="8:8" ht="12.75">
      <c r="H994" s="164"/>
    </row>
    <row r="995" spans="8:8" ht="12.75">
      <c r="H995" s="164"/>
    </row>
    <row r="996" spans="8:8" ht="12.75">
      <c r="H996" s="164"/>
    </row>
    <row r="997" spans="8:8" ht="12.75">
      <c r="H997" s="164"/>
    </row>
    <row r="998" spans="8:8" ht="12.75">
      <c r="H998" s="164"/>
    </row>
    <row r="999" spans="8:8" ht="12.75">
      <c r="H999" s="164"/>
    </row>
    <row r="1000" spans="8:8" ht="12.75">
      <c r="H1000" s="164"/>
    </row>
    <row r="1001" spans="8:8" ht="12.75">
      <c r="H1001" s="164"/>
    </row>
    <row r="1002" spans="8:8" ht="12.75">
      <c r="H1002" s="164"/>
    </row>
    <row r="1003" spans="8:8" ht="12.75">
      <c r="H1003" s="164"/>
    </row>
  </sheetData>
  <mergeCells count="53">
    <mergeCell ref="E59:G59"/>
    <mergeCell ref="E48:G48"/>
    <mergeCell ref="E49:G49"/>
    <mergeCell ref="E50:G50"/>
    <mergeCell ref="E51:G51"/>
    <mergeCell ref="E52:G52"/>
    <mergeCell ref="E54:H54"/>
    <mergeCell ref="E55:G55"/>
    <mergeCell ref="E56:G56"/>
    <mergeCell ref="E57:G57"/>
    <mergeCell ref="E58:G58"/>
    <mergeCell ref="E47:G47"/>
    <mergeCell ref="E35:G35"/>
    <mergeCell ref="E36:G36"/>
    <mergeCell ref="E37:G37"/>
    <mergeCell ref="E38:G38"/>
    <mergeCell ref="E39:G39"/>
    <mergeCell ref="E41:H41"/>
    <mergeCell ref="E42:G42"/>
    <mergeCell ref="E43:G43"/>
    <mergeCell ref="E44:G44"/>
    <mergeCell ref="E45:G45"/>
    <mergeCell ref="E46:G46"/>
    <mergeCell ref="E34:G34"/>
    <mergeCell ref="E21:G21"/>
    <mergeCell ref="E22:G22"/>
    <mergeCell ref="E24:H24"/>
    <mergeCell ref="E25:G25"/>
    <mergeCell ref="E26:G26"/>
    <mergeCell ref="E27:G27"/>
    <mergeCell ref="E28:G28"/>
    <mergeCell ref="E29:G29"/>
    <mergeCell ref="E30:G30"/>
    <mergeCell ref="E32:H32"/>
    <mergeCell ref="E33:G33"/>
    <mergeCell ref="E20:G20"/>
    <mergeCell ref="E8:G8"/>
    <mergeCell ref="E9:G9"/>
    <mergeCell ref="E10:G10"/>
    <mergeCell ref="E12:H12"/>
    <mergeCell ref="E13:G13"/>
    <mergeCell ref="E14:G14"/>
    <mergeCell ref="E15:G15"/>
    <mergeCell ref="E16:G16"/>
    <mergeCell ref="E17:G17"/>
    <mergeCell ref="E18:G18"/>
    <mergeCell ref="E19:G19"/>
    <mergeCell ref="E7:G7"/>
    <mergeCell ref="E1:L1"/>
    <mergeCell ref="E3:G3"/>
    <mergeCell ref="E4:H4"/>
    <mergeCell ref="E5:G5"/>
    <mergeCell ref="E6:G6"/>
  </mergeCells>
  <pageMargins left="0.511811024" right="0.511811024" top="0.78740157499999996" bottom="0.78740157499999996" header="0.31496062000000002" footer="0.3149606200000000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B7406"/>
  </sheetPr>
  <dimension ref="C2:H30"/>
  <sheetViews>
    <sheetView showGridLines="0" zoomScaleNormal="100" workbookViewId="0">
      <selection activeCell="H18" sqref="H18"/>
    </sheetView>
  </sheetViews>
  <sheetFormatPr defaultRowHeight="15"/>
  <cols>
    <col min="3" max="3" width="16.140625" bestFit="1" customWidth="1"/>
    <col min="4" max="4" width="18.85546875" bestFit="1" customWidth="1"/>
    <col min="5" max="6" width="4.42578125" customWidth="1"/>
    <col min="7" max="7" width="23.28515625" bestFit="1" customWidth="1"/>
    <col min="8" max="8" width="15.140625" bestFit="1" customWidth="1"/>
  </cols>
  <sheetData>
    <row r="2" spans="3:8">
      <c r="C2" s="782" t="s">
        <v>537</v>
      </c>
      <c r="D2" s="782"/>
    </row>
    <row r="3" spans="3:8" ht="15.75" thickBot="1">
      <c r="C3" s="207" t="s">
        <v>113</v>
      </c>
      <c r="D3" s="208" t="s">
        <v>534</v>
      </c>
    </row>
    <row r="4" spans="3:8" ht="15.75" thickTop="1">
      <c r="C4" s="202" t="s">
        <v>529</v>
      </c>
      <c r="D4" s="203">
        <v>3636137.7402457185</v>
      </c>
    </row>
    <row r="5" spans="3:8">
      <c r="C5" s="206" t="s">
        <v>24</v>
      </c>
      <c r="D5" s="201">
        <v>3629632.5762037146</v>
      </c>
    </row>
    <row r="6" spans="3:8">
      <c r="C6" s="204" t="s">
        <v>520</v>
      </c>
      <c r="D6" s="205">
        <v>3580140.4196578627</v>
      </c>
    </row>
    <row r="7" spans="3:8">
      <c r="C7" s="204" t="s">
        <v>530</v>
      </c>
      <c r="D7" s="205">
        <v>3205955.8584812172</v>
      </c>
    </row>
    <row r="8" spans="3:8">
      <c r="C8" s="206" t="s">
        <v>23</v>
      </c>
      <c r="D8" s="201">
        <v>3016424.2073855423</v>
      </c>
    </row>
    <row r="9" spans="3:8">
      <c r="C9" s="204" t="s">
        <v>514</v>
      </c>
      <c r="D9" s="205">
        <v>2684011.2640175442</v>
      </c>
    </row>
    <row r="10" spans="3:8">
      <c r="C10" s="204" t="s">
        <v>515</v>
      </c>
      <c r="D10" s="205">
        <v>2657910.3451917735</v>
      </c>
    </row>
    <row r="11" spans="3:8">
      <c r="C11" s="206" t="s">
        <v>526</v>
      </c>
      <c r="D11" s="201">
        <v>2613873.0489751361</v>
      </c>
    </row>
    <row r="12" spans="3:8" ht="16.5" thickBot="1">
      <c r="C12" s="204" t="s">
        <v>453</v>
      </c>
      <c r="D12" s="205">
        <v>2575070.6704293508</v>
      </c>
      <c r="G12" s="384" t="s">
        <v>511</v>
      </c>
      <c r="H12" s="384"/>
    </row>
    <row r="13" spans="3:8" ht="15.75" thickTop="1">
      <c r="C13" s="204" t="s">
        <v>523</v>
      </c>
      <c r="D13" s="205">
        <v>2441677.7717648139</v>
      </c>
      <c r="G13" s="202" t="s">
        <v>510</v>
      </c>
      <c r="H13" s="209">
        <f>COUNTA(C4:C30)</f>
        <v>27</v>
      </c>
    </row>
    <row r="14" spans="3:8">
      <c r="C14" s="206" t="s">
        <v>525</v>
      </c>
      <c r="D14" s="201">
        <v>2186195.9641906964</v>
      </c>
      <c r="G14" s="204" t="s">
        <v>512</v>
      </c>
      <c r="H14" s="210">
        <f>COUNT(D3:D30)</f>
        <v>22</v>
      </c>
    </row>
    <row r="15" spans="3:8">
      <c r="C15" s="204" t="s">
        <v>518</v>
      </c>
      <c r="D15" s="205">
        <v>2094644.2346953596</v>
      </c>
      <c r="G15" s="206" t="s">
        <v>513</v>
      </c>
      <c r="H15" s="211">
        <v>5</v>
      </c>
    </row>
    <row r="16" spans="3:8">
      <c r="C16" s="204" t="s">
        <v>531</v>
      </c>
      <c r="D16" s="205">
        <v>2085613.9243565761</v>
      </c>
      <c r="G16" s="204" t="s">
        <v>541</v>
      </c>
      <c r="H16" s="212">
        <f>MAX(D4:D25)</f>
        <v>3636137.7402457185</v>
      </c>
    </row>
    <row r="17" spans="3:8">
      <c r="C17" s="206" t="s">
        <v>522</v>
      </c>
      <c r="D17" s="201">
        <v>2054341.2206695159</v>
      </c>
      <c r="G17" s="206" t="s">
        <v>542</v>
      </c>
      <c r="H17" s="213">
        <f>MIN(D4:D30)</f>
        <v>1636372.8347838109</v>
      </c>
    </row>
    <row r="18" spans="3:8">
      <c r="C18" s="206" t="s">
        <v>25</v>
      </c>
      <c r="D18" s="201">
        <v>1967382.9713020385</v>
      </c>
      <c r="G18" s="204" t="s">
        <v>535</v>
      </c>
      <c r="H18" s="212">
        <f>SUM(D4:D31)</f>
        <v>53051085.298635028</v>
      </c>
    </row>
    <row r="19" spans="3:8">
      <c r="C19" s="206" t="s">
        <v>527</v>
      </c>
      <c r="D19" s="201">
        <v>1954872.8905345346</v>
      </c>
      <c r="G19" s="206" t="s">
        <v>536</v>
      </c>
      <c r="H19" s="213">
        <f>AVERAGE(D4:D30)</f>
        <v>2411412.968119774</v>
      </c>
    </row>
    <row r="20" spans="3:8">
      <c r="C20" s="204" t="s">
        <v>519</v>
      </c>
      <c r="D20" s="205">
        <v>1918621.2717004544</v>
      </c>
    </row>
    <row r="21" spans="3:8">
      <c r="C21" s="204" t="s">
        <v>516</v>
      </c>
      <c r="D21" s="205">
        <v>1811240.66902203</v>
      </c>
    </row>
    <row r="22" spans="3:8">
      <c r="C22" s="206" t="s">
        <v>532</v>
      </c>
      <c r="D22" s="201">
        <v>1802166.2746959655</v>
      </c>
    </row>
    <row r="23" spans="3:8">
      <c r="C23" s="206" t="s">
        <v>533</v>
      </c>
      <c r="D23" s="201">
        <v>1798727.0721427489</v>
      </c>
    </row>
    <row r="24" spans="3:8">
      <c r="C24" s="206" t="s">
        <v>20</v>
      </c>
      <c r="D24" s="201">
        <v>1700072.0681886224</v>
      </c>
    </row>
    <row r="25" spans="3:8">
      <c r="C25" s="206" t="s">
        <v>19</v>
      </c>
      <c r="D25" s="201">
        <v>1636372.8347838109</v>
      </c>
    </row>
    <row r="26" spans="3:8">
      <c r="C26" s="204" t="s">
        <v>521</v>
      </c>
      <c r="D26" s="205"/>
    </row>
    <row r="27" spans="3:8">
      <c r="C27" s="206" t="s">
        <v>528</v>
      </c>
      <c r="D27" s="201"/>
    </row>
    <row r="28" spans="3:8">
      <c r="C28" s="206" t="s">
        <v>454</v>
      </c>
      <c r="D28" s="201"/>
    </row>
    <row r="29" spans="3:8">
      <c r="C29" s="204" t="s">
        <v>524</v>
      </c>
      <c r="D29" s="205"/>
    </row>
    <row r="30" spans="3:8">
      <c r="C30" s="204" t="s">
        <v>517</v>
      </c>
      <c r="D30" s="205"/>
    </row>
  </sheetData>
  <sortState xmlns:xlrd2="http://schemas.microsoft.com/office/spreadsheetml/2017/richdata2" ref="C3:D30">
    <sortCondition descending="1" ref="D4:D30"/>
  </sortState>
  <mergeCells count="1">
    <mergeCell ref="C2:D2"/>
  </mergeCells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B7406"/>
  </sheetPr>
  <dimension ref="B1:N28"/>
  <sheetViews>
    <sheetView showGridLines="0" zoomScaleNormal="100" workbookViewId="0">
      <selection activeCell="R11" sqref="R11"/>
    </sheetView>
  </sheetViews>
  <sheetFormatPr defaultRowHeight="15"/>
  <cols>
    <col min="1" max="1" width="3.7109375" customWidth="1"/>
    <col min="2" max="2" width="11.140625" customWidth="1"/>
    <col min="3" max="3" width="9.28515625" customWidth="1"/>
    <col min="4" max="4" width="12.85546875" customWidth="1"/>
    <col min="5" max="6" width="3.7109375" customWidth="1"/>
    <col min="7" max="7" width="8.5703125" customWidth="1"/>
    <col min="8" max="8" width="26.42578125" bestFit="1" customWidth="1"/>
    <col min="9" max="9" width="21.140625" bestFit="1" customWidth="1"/>
    <col min="10" max="10" width="12.7109375" customWidth="1"/>
    <col min="11" max="11" width="13.28515625" customWidth="1"/>
    <col min="12" max="12" width="14.140625" customWidth="1"/>
    <col min="13" max="13" width="17.7109375" customWidth="1"/>
    <col min="14" max="14" width="21.140625" customWidth="1"/>
    <col min="15" max="15" width="1.5703125" customWidth="1"/>
    <col min="16" max="18" width="9.42578125" customWidth="1"/>
  </cols>
  <sheetData>
    <row r="1" spans="8:14">
      <c r="J1" s="433"/>
    </row>
    <row r="2" spans="8:14" ht="15.75" thickBot="1"/>
    <row r="3" spans="8:14" ht="18.75">
      <c r="H3" s="792" t="s">
        <v>973</v>
      </c>
      <c r="I3" s="793"/>
      <c r="J3" s="793"/>
      <c r="K3" s="793"/>
      <c r="L3" s="793"/>
      <c r="M3" s="793"/>
      <c r="N3" s="794"/>
    </row>
    <row r="4" spans="8:14" ht="15" customHeight="1">
      <c r="H4" s="583" t="s">
        <v>462</v>
      </c>
      <c r="I4" s="1" t="s">
        <v>113</v>
      </c>
      <c r="J4" s="1" t="s">
        <v>451</v>
      </c>
      <c r="K4" s="1" t="s">
        <v>104</v>
      </c>
      <c r="L4" s="1" t="s">
        <v>105</v>
      </c>
      <c r="M4" s="1" t="s">
        <v>106</v>
      </c>
      <c r="N4" s="584" t="s">
        <v>107</v>
      </c>
    </row>
    <row r="5" spans="8:14" ht="15" customHeight="1">
      <c r="H5" s="585" t="s">
        <v>446</v>
      </c>
      <c r="I5" s="145" t="s">
        <v>19</v>
      </c>
      <c r="J5" s="586">
        <v>1953550</v>
      </c>
      <c r="K5" s="587">
        <v>7145278</v>
      </c>
      <c r="L5" s="587">
        <v>4013327</v>
      </c>
      <c r="M5" s="587">
        <v>9502713</v>
      </c>
      <c r="N5" s="588">
        <v>5349417</v>
      </c>
    </row>
    <row r="6" spans="8:14">
      <c r="H6" s="585" t="s">
        <v>468</v>
      </c>
      <c r="I6" s="145" t="s">
        <v>24</v>
      </c>
      <c r="J6" s="586">
        <v>8422219</v>
      </c>
      <c r="K6" s="596"/>
      <c r="L6" s="596"/>
      <c r="M6" s="587">
        <v>5068932</v>
      </c>
      <c r="N6" s="597"/>
    </row>
    <row r="7" spans="8:14">
      <c r="H7" s="585" t="s">
        <v>350</v>
      </c>
      <c r="I7" s="145" t="s">
        <v>453</v>
      </c>
      <c r="J7" s="586">
        <v>1666184</v>
      </c>
      <c r="K7" s="587">
        <v>4351917</v>
      </c>
      <c r="L7" s="587">
        <v>4923778</v>
      </c>
      <c r="M7" s="587">
        <v>5949417</v>
      </c>
      <c r="N7" s="588">
        <v>3900864</v>
      </c>
    </row>
    <row r="8" spans="8:14">
      <c r="H8" s="585" t="s">
        <v>469</v>
      </c>
      <c r="I8" s="145" t="s">
        <v>454</v>
      </c>
      <c r="J8" s="586">
        <v>6743232</v>
      </c>
      <c r="K8" s="587">
        <v>3547813</v>
      </c>
      <c r="L8" s="587">
        <v>8068638</v>
      </c>
      <c r="M8" s="596"/>
      <c r="N8" s="588">
        <v>2481432</v>
      </c>
    </row>
    <row r="9" spans="8:14">
      <c r="H9" s="585" t="s">
        <v>470</v>
      </c>
      <c r="I9" s="145" t="s">
        <v>455</v>
      </c>
      <c r="J9" s="586">
        <v>5399138</v>
      </c>
      <c r="K9" s="587">
        <v>8849771</v>
      </c>
      <c r="L9" s="587"/>
      <c r="M9" s="587">
        <v>4565987</v>
      </c>
      <c r="N9" s="588">
        <v>3201077</v>
      </c>
    </row>
    <row r="10" spans="8:14" ht="15" customHeight="1">
      <c r="H10" s="585" t="s">
        <v>471</v>
      </c>
      <c r="I10" s="145" t="s">
        <v>456</v>
      </c>
      <c r="J10" s="586">
        <v>9392702</v>
      </c>
      <c r="K10" s="587">
        <v>9159065</v>
      </c>
      <c r="L10" s="596"/>
      <c r="M10" s="587">
        <v>1547606</v>
      </c>
      <c r="N10" s="588">
        <v>1746546</v>
      </c>
    </row>
    <row r="11" spans="8:14" ht="15.75" customHeight="1">
      <c r="H11" s="585" t="s">
        <v>472</v>
      </c>
      <c r="I11" s="145" t="s">
        <v>457</v>
      </c>
      <c r="J11" s="586">
        <v>9257488</v>
      </c>
      <c r="K11" s="587"/>
      <c r="L11" s="587">
        <v>2441407</v>
      </c>
      <c r="M11" s="587">
        <v>2956471</v>
      </c>
      <c r="N11" s="597"/>
    </row>
    <row r="12" spans="8:14">
      <c r="H12" s="585" t="s">
        <v>473</v>
      </c>
      <c r="I12" s="145" t="s">
        <v>458</v>
      </c>
      <c r="J12" s="586">
        <v>9014512</v>
      </c>
      <c r="K12" s="587">
        <v>9861365</v>
      </c>
      <c r="L12" s="587">
        <v>9781234</v>
      </c>
      <c r="M12" s="587">
        <v>2831937</v>
      </c>
      <c r="N12" s="588">
        <v>7987337</v>
      </c>
    </row>
    <row r="13" spans="8:14">
      <c r="H13" s="585" t="s">
        <v>474</v>
      </c>
      <c r="I13" s="145" t="s">
        <v>459</v>
      </c>
      <c r="J13" s="586">
        <v>3486507</v>
      </c>
      <c r="K13" s="587">
        <v>6127963</v>
      </c>
      <c r="L13" s="587">
        <v>1953733</v>
      </c>
      <c r="M13" s="587">
        <v>5334834</v>
      </c>
      <c r="N13" s="588">
        <v>5666488</v>
      </c>
    </row>
    <row r="14" spans="8:14">
      <c r="H14" s="585" t="s">
        <v>583</v>
      </c>
      <c r="I14" s="145" t="s">
        <v>460</v>
      </c>
      <c r="J14" s="586">
        <v>4098641</v>
      </c>
      <c r="K14" s="596"/>
      <c r="L14" s="587">
        <v>8768766</v>
      </c>
      <c r="M14" s="587">
        <v>8630430</v>
      </c>
      <c r="N14" s="588">
        <v>4852098</v>
      </c>
    </row>
    <row r="15" spans="8:14">
      <c r="H15" s="585" t="s">
        <v>475</v>
      </c>
      <c r="I15" s="145" t="s">
        <v>461</v>
      </c>
      <c r="J15" s="586">
        <v>6458199</v>
      </c>
      <c r="K15" s="587">
        <v>9075066</v>
      </c>
      <c r="L15" s="587">
        <v>9651644</v>
      </c>
      <c r="M15" s="596"/>
      <c r="N15" s="588">
        <v>7081959</v>
      </c>
    </row>
    <row r="16" spans="8:14" ht="15.75" thickBot="1">
      <c r="H16" s="589" t="s">
        <v>476</v>
      </c>
      <c r="I16" s="590" t="s">
        <v>452</v>
      </c>
      <c r="J16" s="591">
        <v>2638795</v>
      </c>
      <c r="K16" s="592">
        <v>4593057</v>
      </c>
      <c r="L16" s="592">
        <v>8575801</v>
      </c>
      <c r="M16" s="592">
        <v>3190117</v>
      </c>
      <c r="N16" s="593">
        <v>6795761</v>
      </c>
    </row>
    <row r="18" spans="2:14" ht="19.5" thickBot="1">
      <c r="B18" s="187" t="s">
        <v>467</v>
      </c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</row>
    <row r="19" spans="2:14" s="153" customFormat="1" ht="19.5" customHeight="1" thickBot="1">
      <c r="B19" s="188" t="s">
        <v>463</v>
      </c>
      <c r="C19" s="189"/>
      <c r="D19" s="189"/>
      <c r="E19" s="785">
        <f>COUNTA(tblclientesdevedores[Representante])</f>
        <v>12</v>
      </c>
      <c r="F19" s="786"/>
      <c r="G19" s="787"/>
      <c r="H19" s="190" t="s">
        <v>464</v>
      </c>
      <c r="I19" s="356">
        <f>COUNTA(tblclientesdevedores[Filial])</f>
        <v>12</v>
      </c>
      <c r="J19" s="191" t="s">
        <v>826</v>
      </c>
      <c r="K19" s="191" t="s">
        <v>974</v>
      </c>
      <c r="L19" s="189"/>
      <c r="M19" s="269">
        <f>MAX(tblclientesdevedores[[1º Trimestre]:[4º Trimestre]])</f>
        <v>9861365</v>
      </c>
      <c r="N19" s="192" t="s">
        <v>465</v>
      </c>
    </row>
    <row r="20" spans="2:14" s="153" customFormat="1" ht="19.5" customHeight="1" thickBot="1">
      <c r="B20" s="189" t="s">
        <v>975</v>
      </c>
      <c r="C20" s="788">
        <f>MIN(tblclientesdevedores[[1º Trimestre]:[4º Trimestre]])</f>
        <v>1547606</v>
      </c>
      <c r="D20" s="789"/>
      <c r="E20" s="193" t="s">
        <v>972</v>
      </c>
      <c r="F20" s="194"/>
      <c r="G20" s="194"/>
      <c r="H20" s="189"/>
      <c r="I20" s="189"/>
      <c r="J20" s="189"/>
      <c r="K20" s="189"/>
      <c r="L20" s="788">
        <f>AVEDEV(tblclientesdevedores[[1º Trimestre]:[4º Trimestre]])</f>
        <v>2252681.6094182823</v>
      </c>
      <c r="M20" s="789"/>
      <c r="N20" s="189" t="s">
        <v>466</v>
      </c>
    </row>
    <row r="21" spans="2:14" s="153" customFormat="1" ht="19.5" customHeight="1" thickBot="1">
      <c r="B21" s="190" t="s">
        <v>976</v>
      </c>
      <c r="C21" s="189"/>
      <c r="D21" s="189"/>
      <c r="E21" s="189"/>
      <c r="F21" s="189"/>
      <c r="G21" s="189"/>
      <c r="H21" s="189"/>
      <c r="I21" s="790">
        <f>SUM(tblclientesdevedores[[1º Trimestre]:[4º Trimestre]])</f>
        <v>219531046</v>
      </c>
      <c r="J21" s="791"/>
      <c r="K21" s="189"/>
      <c r="L21" s="189"/>
      <c r="M21" s="189"/>
      <c r="N21" s="189"/>
    </row>
    <row r="22" spans="2:14" ht="15.75" thickBot="1"/>
    <row r="23" spans="2:14" ht="15.75">
      <c r="B23" s="438" t="s">
        <v>927</v>
      </c>
      <c r="C23" s="439"/>
      <c r="D23" s="440"/>
      <c r="H23" s="594" t="s">
        <v>1086</v>
      </c>
    </row>
    <row r="24" spans="2:14" ht="16.5" thickBot="1">
      <c r="B24" s="441" t="s">
        <v>928</v>
      </c>
      <c r="C24" s="783">
        <f>COUNTBLANK(tblclientesdevedores[[1º Trimestre]:[4º Trimestre]])</f>
        <v>10</v>
      </c>
      <c r="D24" s="784"/>
      <c r="H24" s="582">
        <f>C24/C27</f>
        <v>0.26315789473684209</v>
      </c>
    </row>
    <row r="25" spans="2:14" ht="15.75" thickBot="1"/>
    <row r="26" spans="2:14" ht="15.75">
      <c r="B26" s="438" t="s">
        <v>929</v>
      </c>
      <c r="C26" s="439"/>
      <c r="D26" s="440"/>
      <c r="H26" s="377"/>
    </row>
    <row r="27" spans="2:14" ht="16.5" thickBot="1">
      <c r="B27" s="441" t="s">
        <v>928</v>
      </c>
      <c r="C27" s="783">
        <f>COUNT(tblclientesdevedores[[1º Trimestre]:[4º Trimestre]])</f>
        <v>38</v>
      </c>
      <c r="D27" s="784"/>
      <c r="H27" s="594" t="s">
        <v>1085</v>
      </c>
    </row>
    <row r="28" spans="2:14" ht="15.75">
      <c r="H28" s="595">
        <f>1-H24</f>
        <v>0.73684210526315796</v>
      </c>
    </row>
  </sheetData>
  <mergeCells count="7">
    <mergeCell ref="C27:D27"/>
    <mergeCell ref="E19:G19"/>
    <mergeCell ref="C20:D20"/>
    <mergeCell ref="I21:J21"/>
    <mergeCell ref="H3:N3"/>
    <mergeCell ref="C24:D24"/>
    <mergeCell ref="L20:M20"/>
  </mergeCells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/>
  </sheetPr>
  <dimension ref="A1"/>
  <sheetViews>
    <sheetView showGridLines="0" showRowColHeaders="0" zoomScale="145" zoomScaleNormal="145" workbookViewId="0">
      <selection activeCell="H25" sqref="H25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70C0"/>
  </sheetPr>
  <dimension ref="B3:M17"/>
  <sheetViews>
    <sheetView zoomScaleNormal="100" workbookViewId="0">
      <selection activeCell="K6" sqref="K6"/>
    </sheetView>
  </sheetViews>
  <sheetFormatPr defaultRowHeight="15"/>
  <cols>
    <col min="2" max="2" width="12.28515625" bestFit="1" customWidth="1"/>
    <col min="3" max="3" width="20.42578125" customWidth="1"/>
    <col min="5" max="8" width="2.85546875" customWidth="1"/>
    <col min="9" max="9" width="16" bestFit="1" customWidth="1"/>
    <col min="10" max="10" width="14" customWidth="1"/>
    <col min="11" max="11" width="19.42578125" customWidth="1"/>
    <col min="14" max="14" width="14.5703125" bestFit="1" customWidth="1"/>
  </cols>
  <sheetData>
    <row r="3" spans="2:13">
      <c r="I3" s="795" t="s">
        <v>933</v>
      </c>
      <c r="J3" s="795"/>
      <c r="K3" s="795"/>
    </row>
    <row r="4" spans="2:13">
      <c r="I4" s="796"/>
      <c r="J4" s="796"/>
      <c r="K4" s="796"/>
    </row>
    <row r="5" spans="2:13" ht="15.75" thickBot="1">
      <c r="B5" s="199" t="s">
        <v>497</v>
      </c>
      <c r="C5" s="198" t="s">
        <v>722</v>
      </c>
      <c r="I5" s="287" t="s">
        <v>187</v>
      </c>
      <c r="J5" s="287" t="s">
        <v>167</v>
      </c>
      <c r="K5" s="288" t="s">
        <v>721</v>
      </c>
    </row>
    <row r="6" spans="2:13" ht="15.75" thickBot="1">
      <c r="B6" s="196" t="s">
        <v>498</v>
      </c>
      <c r="C6" s="197">
        <v>402</v>
      </c>
      <c r="I6" s="284" t="s">
        <v>586</v>
      </c>
      <c r="J6" s="284">
        <v>2498.69895</v>
      </c>
      <c r="K6" s="290">
        <f>ROUND(J6,2)</f>
        <v>2498.6999999999998</v>
      </c>
    </row>
    <row r="7" spans="2:13" ht="15.75" thickBot="1">
      <c r="B7" s="196" t="s">
        <v>499</v>
      </c>
      <c r="C7" s="197">
        <v>470</v>
      </c>
      <c r="I7" s="285" t="s">
        <v>977</v>
      </c>
      <c r="J7" s="285">
        <v>1894.9548500000001</v>
      </c>
      <c r="K7" s="290">
        <f t="shared" ref="K7:K10" si="0">ROUND(J7,2)</f>
        <v>1894.95</v>
      </c>
    </row>
    <row r="8" spans="2:13" ht="15.75" thickBot="1">
      <c r="B8" s="196" t="s">
        <v>500</v>
      </c>
      <c r="C8" s="197">
        <v>531</v>
      </c>
      <c r="I8" s="284" t="s">
        <v>930</v>
      </c>
      <c r="J8" s="284">
        <v>8485.4957799999993</v>
      </c>
      <c r="K8" s="290">
        <f t="shared" si="0"/>
        <v>8485.5</v>
      </c>
    </row>
    <row r="9" spans="2:13" ht="15.75" thickBot="1">
      <c r="B9" s="196" t="s">
        <v>501</v>
      </c>
      <c r="C9" s="197">
        <v>501</v>
      </c>
      <c r="I9" s="285" t="s">
        <v>931</v>
      </c>
      <c r="J9" s="285">
        <v>1949.4999499999999</v>
      </c>
      <c r="K9" s="290">
        <f t="shared" si="0"/>
        <v>1949.5</v>
      </c>
    </row>
    <row r="10" spans="2:13">
      <c r="B10" s="196" t="s">
        <v>502</v>
      </c>
      <c r="C10" s="197">
        <v>389</v>
      </c>
      <c r="I10" s="286" t="s">
        <v>932</v>
      </c>
      <c r="J10" s="286">
        <v>8954.5487400000002</v>
      </c>
      <c r="K10" s="290">
        <f t="shared" si="0"/>
        <v>8954.5499999999993</v>
      </c>
    </row>
    <row r="11" spans="2:13">
      <c r="B11" s="196" t="s">
        <v>503</v>
      </c>
      <c r="C11" s="197">
        <v>421</v>
      </c>
    </row>
    <row r="12" spans="2:13">
      <c r="B12" s="196" t="s">
        <v>504</v>
      </c>
      <c r="C12" s="197">
        <v>230</v>
      </c>
    </row>
    <row r="13" spans="2:13">
      <c r="B13" s="196" t="s">
        <v>505</v>
      </c>
      <c r="C13" s="197">
        <v>159</v>
      </c>
    </row>
    <row r="14" spans="2:13">
      <c r="B14" s="196" t="s">
        <v>506</v>
      </c>
      <c r="C14" s="197">
        <v>183</v>
      </c>
    </row>
    <row r="15" spans="2:13">
      <c r="B15" s="196" t="s">
        <v>507</v>
      </c>
      <c r="C15" s="197">
        <v>315</v>
      </c>
      <c r="M15" s="433"/>
    </row>
    <row r="16" spans="2:13" ht="15.75" thickBot="1">
      <c r="B16" s="196" t="s">
        <v>508</v>
      </c>
      <c r="C16" s="197">
        <v>439</v>
      </c>
    </row>
    <row r="17" spans="2:3" ht="16.5" thickTop="1" thickBot="1">
      <c r="B17" s="200" t="s">
        <v>509</v>
      </c>
      <c r="C17" s="289"/>
    </row>
  </sheetData>
  <mergeCells count="1">
    <mergeCell ref="I3:K4"/>
  </mergeCells>
  <pageMargins left="0.511811024" right="0.511811024" top="0.78740157499999996" bottom="0.78740157499999996" header="0.31496062000000002" footer="0.3149606200000000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B277-8992-4C2C-B094-C9E0DC806B1D}">
  <sheetPr>
    <tabColor rgb="FF0070C0"/>
  </sheetPr>
  <dimension ref="B3:K14"/>
  <sheetViews>
    <sheetView zoomScaleNormal="100" workbookViewId="0">
      <selection activeCell="C4" sqref="C4"/>
    </sheetView>
  </sheetViews>
  <sheetFormatPr defaultRowHeight="15"/>
  <cols>
    <col min="1" max="1" width="2.28515625" customWidth="1"/>
    <col min="2" max="2" width="27" bestFit="1" customWidth="1"/>
    <col min="3" max="3" width="11.28515625" bestFit="1" customWidth="1"/>
    <col min="5" max="5" width="13.42578125" customWidth="1"/>
    <col min="6" max="6" width="12.28515625" customWidth="1"/>
    <col min="8" max="8" width="27" bestFit="1" customWidth="1"/>
    <col min="9" max="9" width="10.7109375" bestFit="1" customWidth="1"/>
  </cols>
  <sheetData>
    <row r="3" spans="2:11" ht="15.75" thickBot="1">
      <c r="B3" s="294" t="s">
        <v>725</v>
      </c>
      <c r="C3" s="295" t="s">
        <v>330</v>
      </c>
      <c r="E3" s="294" t="s">
        <v>723</v>
      </c>
      <c r="F3" s="295" t="s">
        <v>330</v>
      </c>
    </row>
    <row r="4" spans="2:11" ht="16.5" thickTop="1" thickBot="1">
      <c r="B4" s="296" t="s">
        <v>730</v>
      </c>
      <c r="C4" s="297">
        <v>-970.33399999999995</v>
      </c>
      <c r="E4" s="296" t="s">
        <v>724</v>
      </c>
      <c r="F4" s="297">
        <v>7800</v>
      </c>
    </row>
    <row r="5" spans="2:11" ht="15.75" thickBot="1">
      <c r="B5" s="298" t="s">
        <v>731</v>
      </c>
      <c r="C5" s="299">
        <v>-420.34199999999998</v>
      </c>
      <c r="E5" s="298" t="s">
        <v>725</v>
      </c>
      <c r="F5" s="303">
        <f>ROUNDDOWN(C8,2)</f>
        <v>-1591.78</v>
      </c>
    </row>
    <row r="6" spans="2:11" ht="15.75" thickBot="1">
      <c r="B6" s="300" t="s">
        <v>732</v>
      </c>
      <c r="C6" s="293">
        <v>-178.119</v>
      </c>
      <c r="E6" s="300" t="s">
        <v>726</v>
      </c>
      <c r="F6" s="303">
        <f>ROUNDUP(C14,2)</f>
        <v>1368.44</v>
      </c>
    </row>
    <row r="7" spans="2:11" ht="16.5" thickTop="1" thickBot="1">
      <c r="B7" s="298" t="s">
        <v>733</v>
      </c>
      <c r="C7" s="299">
        <v>-22.991</v>
      </c>
      <c r="E7" s="301" t="s">
        <v>108</v>
      </c>
      <c r="F7" s="302">
        <f>SUBTOTAL(109,'Descontos e Acréscimos Salário'!$F$4:$F$6)</f>
        <v>7576.66</v>
      </c>
    </row>
    <row r="8" spans="2:11" ht="15.75" thickTop="1">
      <c r="B8" s="301" t="s">
        <v>108</v>
      </c>
      <c r="C8" s="291">
        <f>SUBTOTAL(109,'Descontos e Acréscimos Salário'!$C$4:$C$7)</f>
        <v>-1591.7859999999998</v>
      </c>
    </row>
    <row r="9" spans="2:11">
      <c r="K9" s="292"/>
    </row>
    <row r="10" spans="2:11" ht="15.75" thickBot="1">
      <c r="B10" s="294" t="s">
        <v>726</v>
      </c>
      <c r="C10" s="295" t="s">
        <v>330</v>
      </c>
    </row>
    <row r="11" spans="2:11" ht="15.75" thickTop="1">
      <c r="B11" s="296" t="s">
        <v>727</v>
      </c>
      <c r="C11" s="297">
        <v>51.212000000000003</v>
      </c>
    </row>
    <row r="12" spans="2:11">
      <c r="B12" s="298" t="s">
        <v>728</v>
      </c>
      <c r="C12" s="299">
        <v>250.553</v>
      </c>
    </row>
    <row r="13" spans="2:11" ht="15.75" thickBot="1">
      <c r="B13" s="300" t="s">
        <v>729</v>
      </c>
      <c r="C13" s="293">
        <v>1066.6666666666667</v>
      </c>
    </row>
    <row r="14" spans="2:11" ht="15.75" thickTop="1">
      <c r="B14" s="301" t="s">
        <v>108</v>
      </c>
      <c r="C14" s="291">
        <f>SUBTOTAL(109,'Descontos e Acréscimos Salário'!$C$11:$C$13)</f>
        <v>1368.4316666666668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B6328-F9B2-4E04-A8D4-D7ECC30D52F8}">
  <sheetPr>
    <tabColor rgb="FF0070C0"/>
  </sheetPr>
  <dimension ref="B4:G26"/>
  <sheetViews>
    <sheetView zoomScaleNormal="100" workbookViewId="0">
      <selection activeCell="G17" sqref="G17"/>
    </sheetView>
  </sheetViews>
  <sheetFormatPr defaultColWidth="12" defaultRowHeight="15"/>
  <cols>
    <col min="1" max="1" width="4.85546875" customWidth="1"/>
    <col min="2" max="2" width="19.7109375" customWidth="1"/>
    <col min="3" max="3" width="17.140625" customWidth="1"/>
    <col min="4" max="4" width="17" customWidth="1"/>
    <col min="5" max="5" width="17.28515625" bestFit="1" customWidth="1"/>
    <col min="6" max="6" width="12.140625" bestFit="1" customWidth="1"/>
    <col min="7" max="7" width="15.28515625" customWidth="1"/>
  </cols>
  <sheetData>
    <row r="4" spans="2:7">
      <c r="B4" s="461" t="s">
        <v>734</v>
      </c>
      <c r="C4" s="461" t="s">
        <v>735</v>
      </c>
      <c r="G4" s="1"/>
    </row>
    <row r="5" spans="2:7">
      <c r="B5">
        <v>3.9999899999999999</v>
      </c>
      <c r="C5">
        <f>INT(Tabela32[[#This Row],[Valores de Entrada]])</f>
        <v>3</v>
      </c>
      <c r="G5" s="52"/>
    </row>
    <row r="6" spans="2:7">
      <c r="B6">
        <v>2.7181000000000002</v>
      </c>
      <c r="C6">
        <f>INT(Tabela32[[#This Row],[Valores de Entrada]])</f>
        <v>2</v>
      </c>
    </row>
    <row r="7" spans="2:7">
      <c r="B7">
        <v>1.4141999999999999</v>
      </c>
      <c r="C7">
        <f>INT(Tabela32[[#This Row],[Valores de Entrada]])</f>
        <v>1</v>
      </c>
    </row>
    <row r="8" spans="2:7">
      <c r="B8">
        <v>-1.115</v>
      </c>
      <c r="C8">
        <f>INT(Tabela32[[#This Row],[Valores de Entrada]])</f>
        <v>-2</v>
      </c>
    </row>
    <row r="9" spans="2:7">
      <c r="B9">
        <v>-2.5</v>
      </c>
      <c r="C9">
        <f>INT(Tabela32[[#This Row],[Valores de Entrada]])</f>
        <v>-3</v>
      </c>
    </row>
    <row r="10" spans="2:7">
      <c r="B10">
        <v>9.7799999999999994</v>
      </c>
      <c r="C10">
        <f>INT(Tabela32[[#This Row],[Valores de Entrada]])</f>
        <v>9</v>
      </c>
    </row>
    <row r="11" spans="2:7">
      <c r="B11">
        <v>7.3890000000000002</v>
      </c>
      <c r="C11">
        <f>INT(Tabela32[[#This Row],[Valores de Entrada]])</f>
        <v>7</v>
      </c>
    </row>
    <row r="12" spans="2:7">
      <c r="B12">
        <v>-1.57</v>
      </c>
      <c r="C12">
        <f>INT(Tabela32[[#This Row],[Valores de Entrada]])</f>
        <v>-2</v>
      </c>
    </row>
    <row r="13" spans="2:7">
      <c r="B13">
        <v>1.6479999999999999</v>
      </c>
      <c r="C13">
        <f>INT(Tabela32[[#This Row],[Valores de Entrada]])</f>
        <v>1</v>
      </c>
    </row>
    <row r="14" spans="2:7">
      <c r="B14">
        <v>1.772</v>
      </c>
      <c r="C14">
        <f>INT(Tabela32[[#This Row],[Valores de Entrada]])</f>
        <v>1</v>
      </c>
    </row>
    <row r="16" spans="2:7">
      <c r="B16" t="s">
        <v>437</v>
      </c>
      <c r="C16" t="s">
        <v>187</v>
      </c>
      <c r="D16" t="s">
        <v>258</v>
      </c>
      <c r="E16" t="s">
        <v>978</v>
      </c>
      <c r="F16" t="s">
        <v>979</v>
      </c>
      <c r="G16" s="53" t="s">
        <v>980</v>
      </c>
    </row>
    <row r="17" spans="2:7">
      <c r="B17">
        <v>1</v>
      </c>
      <c r="C17" t="s">
        <v>430</v>
      </c>
      <c r="D17" s="53">
        <v>31320</v>
      </c>
      <c r="E17" s="218">
        <f ca="1">YEAR(TODAY())-YEAR(TB_int[[#This Row],[Data de Nascimento]])</f>
        <v>41</v>
      </c>
      <c r="F17" s="53">
        <f t="shared" ref="F17:F26" ca="1" si="0">TODAY()</f>
        <v>46060</v>
      </c>
      <c r="G17">
        <f>'Desafio Filiais'!F6</f>
        <v>0</v>
      </c>
    </row>
    <row r="18" spans="2:7">
      <c r="B18">
        <v>2</v>
      </c>
      <c r="C18" t="s">
        <v>971</v>
      </c>
      <c r="D18" s="53">
        <v>31420</v>
      </c>
      <c r="E18" s="218">
        <f ca="1">YEAR(TODAY())-YEAR(TB_int[[#This Row],[Data de Nascimento]])</f>
        <v>40</v>
      </c>
      <c r="F18" s="53">
        <f t="shared" ca="1" si="0"/>
        <v>46060</v>
      </c>
      <c r="G18">
        <f>'Desafio Filiais'!F7</f>
        <v>0</v>
      </c>
    </row>
    <row r="19" spans="2:7">
      <c r="B19">
        <v>3</v>
      </c>
      <c r="C19" t="s">
        <v>737</v>
      </c>
      <c r="D19" s="53">
        <v>34446</v>
      </c>
      <c r="E19" s="218">
        <f ca="1">YEAR(TODAY())-YEAR(TB_int[[#This Row],[Data de Nascimento]])</f>
        <v>32</v>
      </c>
      <c r="F19" s="53">
        <f t="shared" ca="1" si="0"/>
        <v>46060</v>
      </c>
      <c r="G19">
        <f>'Desafio Filiais'!F8</f>
        <v>0</v>
      </c>
    </row>
    <row r="20" spans="2:7">
      <c r="B20">
        <v>4</v>
      </c>
      <c r="C20" t="s">
        <v>435</v>
      </c>
      <c r="D20" s="53">
        <v>43208</v>
      </c>
      <c r="E20" s="218">
        <f ca="1">YEAR(TODAY())-YEAR(TB_int[[#This Row],[Data de Nascimento]])</f>
        <v>8</v>
      </c>
      <c r="F20" s="53">
        <f t="shared" ca="1" si="0"/>
        <v>46060</v>
      </c>
      <c r="G20">
        <f>'Desafio Filiais'!F9</f>
        <v>0</v>
      </c>
    </row>
    <row r="21" spans="2:7">
      <c r="B21">
        <v>5</v>
      </c>
      <c r="C21" t="s">
        <v>434</v>
      </c>
      <c r="D21" s="53">
        <v>41645</v>
      </c>
      <c r="E21" s="218">
        <f ca="1">YEAR(TODAY())-YEAR(TB_int[[#This Row],[Data de Nascimento]])</f>
        <v>12</v>
      </c>
      <c r="F21" s="53">
        <f t="shared" ca="1" si="0"/>
        <v>46060</v>
      </c>
      <c r="G21">
        <f>'Desafio Filiais'!F10</f>
        <v>0</v>
      </c>
    </row>
    <row r="22" spans="2:7">
      <c r="B22">
        <v>6</v>
      </c>
      <c r="C22" t="s">
        <v>432</v>
      </c>
      <c r="D22" s="53">
        <v>39226</v>
      </c>
      <c r="E22" s="218">
        <f ca="1">YEAR(TODAY())-YEAR(TB_int[[#This Row],[Data de Nascimento]])</f>
        <v>19</v>
      </c>
      <c r="F22" s="53">
        <f t="shared" ca="1" si="0"/>
        <v>46060</v>
      </c>
      <c r="G22">
        <f>'Desafio Filiais'!F11</f>
        <v>0</v>
      </c>
    </row>
    <row r="23" spans="2:7">
      <c r="B23">
        <v>7</v>
      </c>
      <c r="C23" t="s">
        <v>436</v>
      </c>
      <c r="D23" s="53">
        <v>22017</v>
      </c>
      <c r="E23" s="218">
        <f ca="1">YEAR(TODAY())-YEAR(TB_int[[#This Row],[Data de Nascimento]])</f>
        <v>66</v>
      </c>
      <c r="F23" s="53">
        <f t="shared" ca="1" si="0"/>
        <v>46060</v>
      </c>
      <c r="G23">
        <f>'Desafio Filiais'!F12</f>
        <v>0</v>
      </c>
    </row>
    <row r="24" spans="2:7">
      <c r="B24">
        <v>8</v>
      </c>
      <c r="C24" t="s">
        <v>981</v>
      </c>
      <c r="D24" s="53">
        <v>23005</v>
      </c>
      <c r="E24" s="218">
        <f ca="1">YEAR(TODAY())-YEAR(TB_int[[#This Row],[Data de Nascimento]])</f>
        <v>64</v>
      </c>
      <c r="F24" s="53">
        <f t="shared" ca="1" si="0"/>
        <v>46060</v>
      </c>
      <c r="G24">
        <f>'Desafio Filiais'!F13</f>
        <v>0</v>
      </c>
    </row>
    <row r="25" spans="2:7">
      <c r="B25">
        <v>9</v>
      </c>
      <c r="C25" t="s">
        <v>982</v>
      </c>
      <c r="D25" s="53">
        <v>32013</v>
      </c>
      <c r="E25" s="218">
        <f ca="1">YEAR(TODAY())-YEAR(TB_int[[#This Row],[Data de Nascimento]])</f>
        <v>39</v>
      </c>
      <c r="F25" s="53">
        <f t="shared" ca="1" si="0"/>
        <v>46060</v>
      </c>
      <c r="G25">
        <f>'Desafio Filiais'!F14</f>
        <v>0</v>
      </c>
    </row>
    <row r="26" spans="2:7">
      <c r="B26">
        <v>10</v>
      </c>
      <c r="C26" t="s">
        <v>983</v>
      </c>
      <c r="D26" s="53">
        <v>41255</v>
      </c>
      <c r="E26" s="218">
        <f ca="1">YEAR(TODAY())-YEAR(TB_int[[#This Row],[Data de Nascimento]])</f>
        <v>14</v>
      </c>
      <c r="F26" s="53">
        <f t="shared" ca="1" si="0"/>
        <v>46060</v>
      </c>
      <c r="G26">
        <f>'Desafio Filiais'!F15</f>
        <v>0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7892-406D-4125-98AE-A5F6A1E64F93}">
  <sheetPr>
    <tabColor rgb="FF0070C0"/>
  </sheetPr>
  <dimension ref="B3:F15"/>
  <sheetViews>
    <sheetView zoomScaleNormal="100" workbookViewId="0">
      <selection activeCell="D7" sqref="D7"/>
    </sheetView>
  </sheetViews>
  <sheetFormatPr defaultColWidth="12" defaultRowHeight="15"/>
  <cols>
    <col min="1" max="1" width="4.85546875" customWidth="1"/>
    <col min="2" max="2" width="14" customWidth="1"/>
    <col min="3" max="3" width="15.85546875" customWidth="1"/>
    <col min="4" max="4" width="14.28515625" bestFit="1" customWidth="1"/>
    <col min="6" max="6" width="16.7109375" customWidth="1"/>
    <col min="7" max="7" width="17.85546875" bestFit="1" customWidth="1"/>
    <col min="8" max="8" width="14.7109375" customWidth="1"/>
  </cols>
  <sheetData>
    <row r="3" spans="2:6">
      <c r="B3" s="304" t="s">
        <v>187</v>
      </c>
      <c r="C3" s="304" t="s">
        <v>167</v>
      </c>
      <c r="D3" s="304" t="s">
        <v>736</v>
      </c>
    </row>
    <row r="4" spans="2:6">
      <c r="B4" s="305" t="s">
        <v>430</v>
      </c>
      <c r="C4" s="307">
        <f>ABS(-4587)</f>
        <v>4587</v>
      </c>
      <c r="D4" s="307">
        <f>ABS(C4)</f>
        <v>4587</v>
      </c>
    </row>
    <row r="5" spans="2:6">
      <c r="B5" s="306" t="s">
        <v>971</v>
      </c>
      <c r="C5" s="308">
        <v>8546</v>
      </c>
      <c r="D5" s="307">
        <f t="shared" ref="D5:D7" si="0">ABS(C5)</f>
        <v>8546</v>
      </c>
    </row>
    <row r="6" spans="2:6">
      <c r="B6" s="305" t="s">
        <v>737</v>
      </c>
      <c r="C6" s="307">
        <f>ABS(-6848)</f>
        <v>6848</v>
      </c>
      <c r="D6" s="307">
        <f t="shared" si="0"/>
        <v>6848</v>
      </c>
    </row>
    <row r="7" spans="2:6">
      <c r="B7" s="306" t="s">
        <v>432</v>
      </c>
      <c r="C7" s="308">
        <f>ABS(-12845)</f>
        <v>12845</v>
      </c>
      <c r="D7" s="307">
        <f t="shared" si="0"/>
        <v>12845</v>
      </c>
    </row>
    <row r="9" spans="2:6">
      <c r="B9" s="375" t="s">
        <v>327</v>
      </c>
      <c r="C9" s="375" t="s">
        <v>856</v>
      </c>
      <c r="D9" t="s">
        <v>857</v>
      </c>
      <c r="E9" t="s">
        <v>839</v>
      </c>
      <c r="F9" t="s">
        <v>858</v>
      </c>
    </row>
    <row r="10" spans="2:6">
      <c r="B10" t="s">
        <v>859</v>
      </c>
      <c r="C10" s="54">
        <v>1500</v>
      </c>
      <c r="D10" s="54">
        <v>1550</v>
      </c>
      <c r="E10" s="376">
        <f>Tabela7[[#This Row],[Planejado]]-Tabela7[[#This Row],[Realizado]]</f>
        <v>-50</v>
      </c>
      <c r="F10" s="377">
        <f>Tabela7[[#This Row],[Diferença]]/Tabela7[[#This Row],[Planejado]]</f>
        <v>-3.3333333333333333E-2</v>
      </c>
    </row>
    <row r="11" spans="2:6">
      <c r="B11" t="s">
        <v>860</v>
      </c>
      <c r="C11" s="54">
        <v>2400</v>
      </c>
      <c r="D11" s="54">
        <v>2421</v>
      </c>
      <c r="E11" s="376">
        <f>Tabela7[[#This Row],[Planejado]]-Tabela7[[#This Row],[Realizado]]</f>
        <v>-21</v>
      </c>
      <c r="F11" s="377">
        <f>Tabela7[[#This Row],[Diferença]]/Tabela7[[#This Row],[Planejado]]</f>
        <v>-8.7500000000000008E-3</v>
      </c>
    </row>
    <row r="12" spans="2:6">
      <c r="B12" t="s">
        <v>861</v>
      </c>
      <c r="C12" s="54">
        <v>3200</v>
      </c>
      <c r="D12" s="54">
        <v>3185</v>
      </c>
      <c r="E12" s="376">
        <f>Tabela7[[#This Row],[Planejado]]-Tabela7[[#This Row],[Realizado]]</f>
        <v>15</v>
      </c>
      <c r="F12" s="377">
        <f>Tabela7[[#This Row],[Diferença]]/Tabela7[[#This Row],[Planejado]]</f>
        <v>4.6874999999999998E-3</v>
      </c>
    </row>
    <row r="13" spans="2:6">
      <c r="B13" t="s">
        <v>862</v>
      </c>
      <c r="C13" s="54">
        <v>1854</v>
      </c>
      <c r="D13" s="54">
        <v>1000</v>
      </c>
      <c r="E13" s="376">
        <f>Tabela7[[#This Row],[Planejado]]-Tabela7[[#This Row],[Realizado]]</f>
        <v>854</v>
      </c>
      <c r="F13" s="377">
        <f>Tabela7[[#This Row],[Diferença]]/Tabela7[[#This Row],[Planejado]]</f>
        <v>0.46062567421790723</v>
      </c>
    </row>
    <row r="14" spans="2:6">
      <c r="B14" t="s">
        <v>863</v>
      </c>
      <c r="C14" s="54">
        <v>2225</v>
      </c>
      <c r="D14" s="54">
        <v>2400</v>
      </c>
      <c r="E14" s="376">
        <f>Tabela7[[#This Row],[Planejado]]-Tabela7[[#This Row],[Realizado]]</f>
        <v>-175</v>
      </c>
      <c r="F14" s="377">
        <f>Tabela7[[#This Row],[Diferença]]/Tabela7[[#This Row],[Planejado]]</f>
        <v>-7.8651685393258425E-2</v>
      </c>
    </row>
    <row r="15" spans="2:6">
      <c r="B15" t="s">
        <v>864</v>
      </c>
      <c r="C15" s="54">
        <v>1542</v>
      </c>
      <c r="D15" s="54">
        <v>3000</v>
      </c>
      <c r="E15" s="376">
        <f>Tabela7[[#This Row],[Planejado]]-Tabela7[[#This Row],[Realizado]]</f>
        <v>-1458</v>
      </c>
      <c r="F15" s="377">
        <f>Tabela7[[#This Row],[Diferença]]/Tabela7[[#This Row],[Planejado]]</f>
        <v>-0.94552529182879375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9900"/>
  </sheetPr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/>
  </sheetPr>
  <dimension ref="A1"/>
  <sheetViews>
    <sheetView showGridLines="0" showRowColHeaders="0" zoomScaleNormal="100" workbookViewId="0">
      <selection activeCell="X21" sqref="X21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CEA03-A6B2-4219-BADB-D7796F873779}">
  <sheetPr>
    <tabColor rgb="FF0070C0"/>
  </sheetPr>
  <dimension ref="I21:L29"/>
  <sheetViews>
    <sheetView showGridLines="0" zoomScaleNormal="100" workbookViewId="0">
      <selection activeCell="K1" sqref="K1"/>
    </sheetView>
  </sheetViews>
  <sheetFormatPr defaultRowHeight="15"/>
  <cols>
    <col min="9" max="9" width="11" bestFit="1" customWidth="1"/>
    <col min="12" max="12" width="11" bestFit="1" customWidth="1"/>
    <col min="18" max="18" width="10.7109375" bestFit="1" customWidth="1"/>
  </cols>
  <sheetData>
    <row r="21" spans="9:12">
      <c r="I21" s="53"/>
    </row>
    <row r="22" spans="9:12">
      <c r="L22" s="53"/>
    </row>
    <row r="23" spans="9:12">
      <c r="I23" s="53"/>
      <c r="L23" s="53"/>
    </row>
    <row r="28" spans="9:12">
      <c r="I28" s="311"/>
      <c r="J28" s="311"/>
    </row>
    <row r="29" spans="9:12">
      <c r="I29" s="42"/>
    </row>
  </sheetData>
  <pageMargins left="0.511811024" right="0.511811024" top="0.78740157499999996" bottom="0.78740157499999996" header="0.31496062000000002" footer="0.3149606200000000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6FF4-ECAC-4815-902A-F4F0EA9AF652}">
  <sheetPr>
    <tabColor rgb="FF0070C0"/>
  </sheetPr>
  <dimension ref="B2:J29"/>
  <sheetViews>
    <sheetView zoomScaleNormal="100" workbookViewId="0">
      <selection activeCell="D6" sqref="D6:D18"/>
    </sheetView>
  </sheetViews>
  <sheetFormatPr defaultRowHeight="15"/>
  <cols>
    <col min="1" max="1" width="6.85546875" customWidth="1"/>
    <col min="2" max="4" width="19.140625" customWidth="1"/>
    <col min="10" max="10" width="10.7109375" bestFit="1" customWidth="1"/>
  </cols>
  <sheetData>
    <row r="2" spans="2:4" ht="15.75">
      <c r="B2" s="378" t="s">
        <v>865</v>
      </c>
      <c r="C2" s="797" t="s">
        <v>866</v>
      </c>
      <c r="D2" s="798"/>
    </row>
    <row r="3" spans="2:4" ht="15.75">
      <c r="B3" s="378" t="s">
        <v>317</v>
      </c>
      <c r="C3" s="797" t="s">
        <v>153</v>
      </c>
      <c r="D3" s="798"/>
    </row>
    <row r="4" spans="2:4" ht="6.75" customHeight="1"/>
    <row r="5" spans="2:4" ht="15.75" thickBot="1">
      <c r="B5" s="304" t="s">
        <v>738</v>
      </c>
      <c r="C5" s="304" t="s">
        <v>739</v>
      </c>
      <c r="D5" s="288" t="s">
        <v>740</v>
      </c>
    </row>
    <row r="6" spans="2:4">
      <c r="B6" s="309">
        <v>43368.916666666664</v>
      </c>
      <c r="C6" s="357">
        <v>43369.333333333336</v>
      </c>
      <c r="D6" s="599">
        <f>(C6-B6)</f>
        <v>0.41666666667151731</v>
      </c>
    </row>
    <row r="7" spans="2:4">
      <c r="B7" s="310">
        <v>43369.90625</v>
      </c>
      <c r="C7" s="358">
        <v>43370.375</v>
      </c>
      <c r="D7" s="600">
        <f t="shared" ref="D7:D18" si="0">(C7-B7)</f>
        <v>0.46875</v>
      </c>
    </row>
    <row r="8" spans="2:4">
      <c r="B8" s="309">
        <v>43370.958333333336</v>
      </c>
      <c r="C8" s="357">
        <v>43371.354166666664</v>
      </c>
      <c r="D8" s="601">
        <f t="shared" si="0"/>
        <v>0.39583333332848269</v>
      </c>
    </row>
    <row r="9" spans="2:4">
      <c r="B9" s="310">
        <v>43371.9375</v>
      </c>
      <c r="C9" s="358">
        <v>43372.375</v>
      </c>
      <c r="D9" s="600">
        <f t="shared" si="0"/>
        <v>0.4375</v>
      </c>
    </row>
    <row r="10" spans="2:4">
      <c r="B10" s="309">
        <v>43372.916666666664</v>
      </c>
      <c r="C10" s="357">
        <v>43373.395833391201</v>
      </c>
      <c r="D10" s="601">
        <f t="shared" si="0"/>
        <v>0.47916672453720821</v>
      </c>
    </row>
    <row r="11" spans="2:4">
      <c r="B11" s="310">
        <v>43373.895833333336</v>
      </c>
      <c r="C11" s="358">
        <v>43374.41666678241</v>
      </c>
      <c r="D11" s="600">
        <f t="shared" si="0"/>
        <v>0.52083344907441642</v>
      </c>
    </row>
    <row r="12" spans="2:4">
      <c r="B12" s="309">
        <v>43374.875</v>
      </c>
      <c r="C12" s="357">
        <v>43375.437500173612</v>
      </c>
      <c r="D12" s="601">
        <f t="shared" si="0"/>
        <v>0.56250017361162463</v>
      </c>
    </row>
    <row r="13" spans="2:4">
      <c r="B13" s="310">
        <v>43375.854166666664</v>
      </c>
      <c r="C13" s="358">
        <v>43376.458333564813</v>
      </c>
      <c r="D13" s="600">
        <f t="shared" si="0"/>
        <v>0.60416689814883284</v>
      </c>
    </row>
    <row r="14" spans="2:4">
      <c r="B14" s="309">
        <v>43376.833333333336</v>
      </c>
      <c r="C14" s="357">
        <v>43377.479166956022</v>
      </c>
      <c r="D14" s="601">
        <f t="shared" si="0"/>
        <v>0.64583362268604105</v>
      </c>
    </row>
    <row r="15" spans="2:4">
      <c r="B15" s="310">
        <v>43377.8125</v>
      </c>
      <c r="C15" s="358">
        <v>43378.500000347223</v>
      </c>
      <c r="D15" s="600">
        <f t="shared" si="0"/>
        <v>0.68750034722324926</v>
      </c>
    </row>
    <row r="16" spans="2:4">
      <c r="B16" s="309">
        <v>43378.791666666664</v>
      </c>
      <c r="C16" s="357">
        <v>43379.520833738425</v>
      </c>
      <c r="D16" s="601">
        <f t="shared" si="0"/>
        <v>0.72916707176045747</v>
      </c>
    </row>
    <row r="17" spans="2:10">
      <c r="B17" s="310">
        <v>43379.770833333336</v>
      </c>
      <c r="C17" s="358">
        <v>43380.541667129626</v>
      </c>
      <c r="D17" s="600">
        <f t="shared" si="0"/>
        <v>0.77083379629038973</v>
      </c>
    </row>
    <row r="18" spans="2:10" ht="15.75" thickBot="1">
      <c r="B18" s="309">
        <v>43380.75</v>
      </c>
      <c r="C18" s="357">
        <v>43381.562500520835</v>
      </c>
      <c r="D18" s="602">
        <f t="shared" si="0"/>
        <v>0.8125005208348739</v>
      </c>
    </row>
    <row r="27" spans="2:10">
      <c r="J27" s="53"/>
    </row>
    <row r="28" spans="2:10">
      <c r="J28" s="53"/>
    </row>
    <row r="29" spans="2:10">
      <c r="J29" s="598"/>
    </row>
  </sheetData>
  <mergeCells count="2">
    <mergeCell ref="C2:D2"/>
    <mergeCell ref="C3:D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70C0"/>
  </sheetPr>
  <dimension ref="B3:G17"/>
  <sheetViews>
    <sheetView zoomScaleNormal="100" workbookViewId="0">
      <selection activeCell="G13" sqref="G13"/>
    </sheetView>
  </sheetViews>
  <sheetFormatPr defaultRowHeight="15"/>
  <cols>
    <col min="1" max="1" width="1.5703125" customWidth="1"/>
    <col min="2" max="2" width="15.5703125" bestFit="1" customWidth="1"/>
    <col min="3" max="3" width="17.85546875" customWidth="1"/>
    <col min="4" max="4" width="15.7109375" customWidth="1"/>
    <col min="5" max="5" width="15.85546875" customWidth="1"/>
    <col min="6" max="6" width="17.140625" customWidth="1"/>
    <col min="7" max="7" width="17" customWidth="1"/>
  </cols>
  <sheetData>
    <row r="3" spans="2:7">
      <c r="B3" t="s">
        <v>841</v>
      </c>
    </row>
    <row r="4" spans="2:7" ht="15.75" thickBot="1">
      <c r="B4" s="365" t="s">
        <v>837</v>
      </c>
      <c r="C4" s="365" t="s">
        <v>838</v>
      </c>
      <c r="D4" s="365" t="s">
        <v>840</v>
      </c>
      <c r="E4" s="365" t="s">
        <v>836</v>
      </c>
      <c r="F4" s="365" t="s">
        <v>835</v>
      </c>
      <c r="G4" s="366" t="s">
        <v>839</v>
      </c>
    </row>
    <row r="5" spans="2:7" ht="25.5" customHeight="1" thickBot="1">
      <c r="B5" s="367">
        <f>$C$11</f>
        <v>43526</v>
      </c>
      <c r="C5" s="367">
        <f>$D$15</f>
        <v>43573</v>
      </c>
      <c r="D5" s="364">
        <f>C5-B5</f>
        <v>47</v>
      </c>
      <c r="E5" s="368">
        <f>Tabela9[[#Totals],[Custo Previsto]]</f>
        <v>11908</v>
      </c>
      <c r="F5" s="369">
        <f>Tabela9[[#Totals],[Custo Realizado]]</f>
        <v>13887</v>
      </c>
      <c r="G5" s="370">
        <f>'Reforma de Casa'!$F$5:$F$5-'Reforma de Casa'!$E$5:$E$5</f>
        <v>1979</v>
      </c>
    </row>
    <row r="9" spans="2:7" ht="21">
      <c r="B9" s="799" t="s">
        <v>842</v>
      </c>
      <c r="C9" s="799"/>
      <c r="D9" s="799"/>
      <c r="E9" s="799"/>
      <c r="F9" s="799"/>
      <c r="G9" s="799"/>
    </row>
    <row r="10" spans="2:7" s="1" customFormat="1" ht="21" customHeight="1" thickBot="1">
      <c r="B10" s="1" t="s">
        <v>827</v>
      </c>
      <c r="C10" s="1" t="s">
        <v>833</v>
      </c>
      <c r="D10" s="1" t="s">
        <v>834</v>
      </c>
      <c r="E10" s="1" t="s">
        <v>777</v>
      </c>
      <c r="F10" s="1" t="s">
        <v>836</v>
      </c>
      <c r="G10" s="1" t="s">
        <v>835</v>
      </c>
    </row>
    <row r="11" spans="2:7" s="1" customFormat="1" ht="21" customHeight="1">
      <c r="B11" s="1" t="s">
        <v>828</v>
      </c>
      <c r="C11" s="214">
        <v>43526</v>
      </c>
      <c r="D11" s="214">
        <v>43533</v>
      </c>
      <c r="E11" s="360">
        <f>Tabela9[[#This Row],[Término]]-Tabela9[[#This Row],[Início]]</f>
        <v>7</v>
      </c>
      <c r="F11" s="359">
        <v>1500</v>
      </c>
      <c r="G11" s="359">
        <v>1845</v>
      </c>
    </row>
    <row r="12" spans="2:7" s="1" customFormat="1" ht="21" customHeight="1">
      <c r="B12" s="1" t="s">
        <v>829</v>
      </c>
      <c r="C12" s="214">
        <v>43534</v>
      </c>
      <c r="D12" s="214">
        <v>43542</v>
      </c>
      <c r="E12" s="361">
        <f>Tabela9[[#This Row],[Término]]-Tabela9[[#This Row],[Início]]</f>
        <v>8</v>
      </c>
      <c r="F12" s="359">
        <v>4500</v>
      </c>
      <c r="G12" s="359">
        <v>6442</v>
      </c>
    </row>
    <row r="13" spans="2:7" s="1" customFormat="1" ht="21" customHeight="1">
      <c r="B13" s="1" t="s">
        <v>830</v>
      </c>
      <c r="C13" s="214">
        <v>43544</v>
      </c>
      <c r="D13" s="214">
        <v>43556</v>
      </c>
      <c r="E13" s="361">
        <f>Tabela9[[#This Row],[Término]]-Tabela9[[#This Row],[Início]]</f>
        <v>12</v>
      </c>
      <c r="F13" s="359">
        <v>3200</v>
      </c>
      <c r="G13" s="359">
        <v>2800</v>
      </c>
    </row>
    <row r="14" spans="2:7" s="1" customFormat="1" ht="21" customHeight="1">
      <c r="B14" s="1" t="s">
        <v>831</v>
      </c>
      <c r="C14" s="214">
        <v>43559</v>
      </c>
      <c r="D14" s="214">
        <v>43565</v>
      </c>
      <c r="E14" s="361">
        <f>Tabela9[[#This Row],[Término]]-Tabela9[[#This Row],[Início]]</f>
        <v>6</v>
      </c>
      <c r="F14" s="359">
        <v>1854</v>
      </c>
      <c r="G14" s="359">
        <v>1600</v>
      </c>
    </row>
    <row r="15" spans="2:7" s="1" customFormat="1" ht="21" customHeight="1" thickBot="1">
      <c r="B15" s="1" t="s">
        <v>832</v>
      </c>
      <c r="C15" s="214">
        <v>43567</v>
      </c>
      <c r="D15" s="214">
        <v>43573</v>
      </c>
      <c r="E15" s="362">
        <f>Tabela9[[#This Row],[Término]]-Tabela9[[#This Row],[Início]]</f>
        <v>6</v>
      </c>
      <c r="F15" s="359">
        <v>854</v>
      </c>
      <c r="G15" s="359">
        <v>1200</v>
      </c>
    </row>
    <row r="16" spans="2:7" s="1" customFormat="1" ht="21" customHeight="1">
      <c r="B16" s="1" t="s">
        <v>108</v>
      </c>
      <c r="F16" s="363">
        <f>SUBTOTAL(109,Tabela9[Custo Previsto])</f>
        <v>11908</v>
      </c>
      <c r="G16" s="363">
        <f>SUBTOTAL(109,Tabela9[Custo Realizado])</f>
        <v>13887</v>
      </c>
    </row>
    <row r="17" spans="2:5">
      <c r="B17" s="1"/>
      <c r="C17" s="1"/>
      <c r="D17" s="1"/>
      <c r="E17" s="1"/>
    </row>
  </sheetData>
  <mergeCells count="1">
    <mergeCell ref="B9:G9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70C0"/>
  </sheetPr>
  <dimension ref="B3:M14"/>
  <sheetViews>
    <sheetView showGridLines="0" topLeftCell="B2" workbookViewId="0">
      <selection activeCell="M6" sqref="M6"/>
    </sheetView>
  </sheetViews>
  <sheetFormatPr defaultRowHeight="15"/>
  <cols>
    <col min="1" max="2" width="6.85546875" customWidth="1"/>
    <col min="3" max="3" width="13.5703125" style="1" customWidth="1"/>
    <col min="4" max="4" width="15" style="1" customWidth="1"/>
    <col min="5" max="5" width="12.85546875" style="1" customWidth="1"/>
    <col min="6" max="6" width="16.7109375" style="1" customWidth="1"/>
    <col min="7" max="7" width="7" customWidth="1"/>
    <col min="8" max="9" width="4.42578125" customWidth="1"/>
    <col min="10" max="10" width="12.85546875" customWidth="1"/>
    <col min="11" max="11" width="19.28515625" customWidth="1"/>
    <col min="12" max="12" width="14.28515625" customWidth="1"/>
    <col min="13" max="13" width="13.7109375" bestFit="1" customWidth="1"/>
  </cols>
  <sheetData>
    <row r="3" spans="2:13" ht="18.75">
      <c r="B3" s="53"/>
      <c r="C3" s="800" t="s">
        <v>550</v>
      </c>
      <c r="D3" s="800"/>
      <c r="E3" s="800"/>
      <c r="F3" s="800"/>
      <c r="J3" s="800" t="s">
        <v>560</v>
      </c>
      <c r="K3" s="800"/>
      <c r="L3" s="800"/>
      <c r="M3" s="800"/>
    </row>
    <row r="4" spans="2:13" s="195" customFormat="1" ht="29.25" customHeight="1">
      <c r="C4" s="195" t="s">
        <v>317</v>
      </c>
      <c r="D4" s="195" t="s">
        <v>549</v>
      </c>
      <c r="E4" s="195" t="s">
        <v>554</v>
      </c>
      <c r="F4" s="195" t="s">
        <v>741</v>
      </c>
      <c r="J4" s="1" t="s">
        <v>553</v>
      </c>
      <c r="K4" s="1" t="s">
        <v>555</v>
      </c>
      <c r="L4" s="1" t="s">
        <v>556</v>
      </c>
      <c r="M4" s="1" t="s">
        <v>561</v>
      </c>
    </row>
    <row r="5" spans="2:13" ht="24" customHeight="1">
      <c r="C5" s="1" t="s">
        <v>547</v>
      </c>
      <c r="D5" s="214">
        <v>42736</v>
      </c>
      <c r="E5" s="1">
        <v>35</v>
      </c>
      <c r="F5" s="214">
        <f>Tabela2429[[#This Row],[Data entrada]]+Tabela2429[[#This Row],[Dias Trabalhados]]</f>
        <v>42771</v>
      </c>
      <c r="J5" s="1" t="s">
        <v>557</v>
      </c>
      <c r="K5" s="214">
        <v>43241</v>
      </c>
      <c r="L5" s="214">
        <v>43244</v>
      </c>
      <c r="M5" s="1">
        <f>Tabela29[[#This Row],[Data planejada]]-Tabela29[[#This Row],[Data real]]</f>
        <v>-3</v>
      </c>
    </row>
    <row r="6" spans="2:13" ht="24" customHeight="1">
      <c r="C6" s="1" t="s">
        <v>434</v>
      </c>
      <c r="D6" s="214">
        <v>42737</v>
      </c>
      <c r="E6" s="1">
        <v>36</v>
      </c>
      <c r="F6" s="214">
        <f>Tabela2429[[#This Row],[Data entrada]]+Tabela2429[[#This Row],[Dias Trabalhados]]</f>
        <v>42773</v>
      </c>
      <c r="J6" s="1" t="s">
        <v>558</v>
      </c>
      <c r="K6" s="214">
        <f>K5+1</f>
        <v>43242</v>
      </c>
      <c r="L6" s="214">
        <f>L5+1</f>
        <v>43245</v>
      </c>
      <c r="M6" s="1">
        <f>Tabela29[[#This Row],[Data planejada]]-Tabela29[[#This Row],[Data real]]</f>
        <v>-3</v>
      </c>
    </row>
    <row r="7" spans="2:13" ht="24" customHeight="1">
      <c r="C7" s="1" t="s">
        <v>436</v>
      </c>
      <c r="D7" s="214">
        <v>42869</v>
      </c>
      <c r="E7" s="1">
        <v>61</v>
      </c>
      <c r="F7" s="214">
        <f>Tabela2429[[#This Row],[Data entrada]]+Tabela2429[[#This Row],[Dias Trabalhados]]</f>
        <v>42930</v>
      </c>
      <c r="J7" s="1" t="s">
        <v>559</v>
      </c>
      <c r="K7" s="214">
        <f>K6+1</f>
        <v>43243</v>
      </c>
      <c r="L7" s="214">
        <f>L6+1</f>
        <v>43246</v>
      </c>
      <c r="M7" s="1">
        <f>Tabela29[[#This Row],[Data planejada]]-Tabela29[[#This Row],[Data real]]</f>
        <v>-3</v>
      </c>
    </row>
    <row r="8" spans="2:13" ht="24" customHeight="1">
      <c r="C8" s="1" t="s">
        <v>546</v>
      </c>
      <c r="D8" s="214">
        <v>41781</v>
      </c>
      <c r="E8" s="1">
        <v>121</v>
      </c>
      <c r="F8" s="214">
        <f>Tabela2429[[#This Row],[Data entrada]]+Tabela2429[[#This Row],[Dias Trabalhados]]</f>
        <v>41902</v>
      </c>
    </row>
    <row r="9" spans="2:13" ht="24" customHeight="1">
      <c r="C9" s="1" t="s">
        <v>435</v>
      </c>
      <c r="D9" s="214">
        <v>40940</v>
      </c>
      <c r="E9" s="1">
        <v>101</v>
      </c>
      <c r="F9" s="214">
        <f>Tabela2429[[#This Row],[Data entrada]]+Tabela2429[[#This Row],[Dias Trabalhados]]</f>
        <v>41041</v>
      </c>
    </row>
    <row r="10" spans="2:13" ht="24" customHeight="1">
      <c r="C10" s="1" t="s">
        <v>430</v>
      </c>
      <c r="D10" s="214">
        <v>40940</v>
      </c>
      <c r="E10" s="1">
        <v>26</v>
      </c>
      <c r="F10" s="214">
        <f>Tabela2429[[#This Row],[Data entrada]]+Tabela2429[[#This Row],[Dias Trabalhados]]</f>
        <v>40966</v>
      </c>
    </row>
    <row r="11" spans="2:13" ht="24" customHeight="1">
      <c r="C11" s="1" t="s">
        <v>548</v>
      </c>
      <c r="D11" s="214">
        <v>42769</v>
      </c>
      <c r="E11" s="1">
        <v>58</v>
      </c>
      <c r="F11" s="214">
        <f>Tabela2429[[#This Row],[Data entrada]]+Tabela2429[[#This Row],[Dias Trabalhados]]</f>
        <v>42827</v>
      </c>
    </row>
    <row r="12" spans="2:13" ht="24" customHeight="1">
      <c r="C12" s="1" t="s">
        <v>545</v>
      </c>
      <c r="D12" s="214">
        <v>37258</v>
      </c>
      <c r="E12" s="1">
        <v>93</v>
      </c>
      <c r="F12" s="214">
        <f>Tabela2429[[#This Row],[Data entrada]]+Tabela2429[[#This Row],[Dias Trabalhados]]</f>
        <v>37351</v>
      </c>
    </row>
    <row r="13" spans="2:13" ht="24" customHeight="1">
      <c r="C13" s="1" t="s">
        <v>544</v>
      </c>
      <c r="D13" s="214">
        <v>42767</v>
      </c>
      <c r="E13" s="1">
        <v>28</v>
      </c>
      <c r="F13" s="214">
        <f>Tabela2429[[#This Row],[Data entrada]]+Tabela2429[[#This Row],[Dias Trabalhados]]</f>
        <v>42795</v>
      </c>
    </row>
    <row r="14" spans="2:13" ht="24" customHeight="1">
      <c r="C14" s="1" t="s">
        <v>432</v>
      </c>
      <c r="D14" s="214">
        <v>41884</v>
      </c>
      <c r="E14" s="1">
        <v>101</v>
      </c>
      <c r="F14" s="214">
        <f>Tabela2429[[#This Row],[Data entrada]]+Tabela2429[[#This Row],[Dias Trabalhados]]</f>
        <v>41985</v>
      </c>
    </row>
  </sheetData>
  <mergeCells count="2">
    <mergeCell ref="C3:F3"/>
    <mergeCell ref="J3:M3"/>
  </mergeCell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70C0"/>
  </sheetPr>
  <dimension ref="C2:H13"/>
  <sheetViews>
    <sheetView workbookViewId="0">
      <selection activeCell="H11" sqref="H11"/>
    </sheetView>
  </sheetViews>
  <sheetFormatPr defaultRowHeight="22.5" customHeight="1"/>
  <cols>
    <col min="1" max="1" width="3.28515625" customWidth="1"/>
    <col min="3" max="3" width="12.7109375" customWidth="1"/>
    <col min="4" max="4" width="19.28515625" customWidth="1"/>
    <col min="5" max="5" width="18.7109375" customWidth="1"/>
    <col min="6" max="6" width="24.140625" customWidth="1"/>
    <col min="8" max="8" width="17.7109375" customWidth="1"/>
  </cols>
  <sheetData>
    <row r="2" spans="3:8" ht="22.5" customHeight="1">
      <c r="C2" s="800" t="s">
        <v>867</v>
      </c>
      <c r="D2" s="800"/>
      <c r="E2" s="800"/>
      <c r="F2" s="800"/>
    </row>
    <row r="3" spans="3:8" ht="22.5" customHeight="1" thickBot="1">
      <c r="C3" s="1" t="s">
        <v>843</v>
      </c>
      <c r="D3" s="1" t="s">
        <v>543</v>
      </c>
      <c r="E3" s="1" t="s">
        <v>551</v>
      </c>
      <c r="F3" s="1" t="s">
        <v>552</v>
      </c>
    </row>
    <row r="4" spans="3:8" ht="22.5" customHeight="1">
      <c r="C4" s="1" t="s">
        <v>844</v>
      </c>
      <c r="D4" s="215">
        <v>43453.772222222222</v>
      </c>
      <c r="E4" s="215">
        <v>43453.78125</v>
      </c>
      <c r="F4" s="371">
        <f>Tabela2628[[#This Row],[Entrega]]-Tabela2628[[#This Row],[Saída]]</f>
        <v>9.0277777781011537E-3</v>
      </c>
    </row>
    <row r="5" spans="3:8" ht="22.5" customHeight="1">
      <c r="C5" s="1" t="s">
        <v>845</v>
      </c>
      <c r="D5" s="215">
        <v>43453.78125</v>
      </c>
      <c r="E5" s="215">
        <v>43453.788194444445</v>
      </c>
      <c r="F5" s="372">
        <f>Tabela2628[[#This Row],[Entrega]]-Tabela2628[[#This Row],[Saída]]</f>
        <v>6.9444444452528842E-3</v>
      </c>
    </row>
    <row r="6" spans="3:8" ht="22.5" customHeight="1">
      <c r="C6" s="1" t="s">
        <v>846</v>
      </c>
      <c r="D6" s="215">
        <v>43453.788194444445</v>
      </c>
      <c r="E6" s="215">
        <v>43453.792361111111</v>
      </c>
      <c r="F6" s="372">
        <f>Tabela2628[[#This Row],[Entrega]]-Tabela2628[[#This Row],[Saída]]</f>
        <v>4.166666665696539E-3</v>
      </c>
    </row>
    <row r="7" spans="3:8" ht="22.5" customHeight="1">
      <c r="C7" s="1" t="s">
        <v>847</v>
      </c>
      <c r="D7" s="215">
        <v>43453.803472222222</v>
      </c>
      <c r="E7" s="215">
        <v>43453.824999999997</v>
      </c>
      <c r="F7" s="372">
        <f>Tabela2628[[#This Row],[Entrega]]-Tabela2628[[#This Row],[Saída]]</f>
        <v>2.1527777775190771E-2</v>
      </c>
    </row>
    <row r="8" spans="3:8" ht="22.5" customHeight="1">
      <c r="C8" s="1" t="s">
        <v>848</v>
      </c>
      <c r="D8" s="215">
        <v>43454.885416666664</v>
      </c>
      <c r="E8" s="215">
        <v>43454.929861111108</v>
      </c>
      <c r="F8" s="372">
        <f>Tabela2628[[#This Row],[Entrega]]-Tabela2628[[#This Row],[Saída]]</f>
        <v>4.4444444443797693E-2</v>
      </c>
    </row>
    <row r="9" spans="3:8" ht="22.5" customHeight="1">
      <c r="C9" s="1" t="s">
        <v>849</v>
      </c>
      <c r="D9" s="215">
        <v>43454.886805555558</v>
      </c>
      <c r="E9" s="215">
        <v>43454.895138888889</v>
      </c>
      <c r="F9" s="372">
        <f>Tabela2628[[#This Row],[Entrega]]-Tabela2628[[#This Row],[Saída]]</f>
        <v>8.333333331393078E-3</v>
      </c>
      <c r="H9" t="s">
        <v>854</v>
      </c>
    </row>
    <row r="10" spans="3:8" ht="22.5" customHeight="1">
      <c r="C10" s="1" t="s">
        <v>850</v>
      </c>
      <c r="D10" s="215">
        <v>43454.927083333336</v>
      </c>
      <c r="E10" s="215">
        <v>43454.939583333333</v>
      </c>
      <c r="F10" s="372">
        <f>Tabela2628[[#This Row],[Entrega]]-Tabela2628[[#This Row],[Saída]]</f>
        <v>1.2499999997089617E-2</v>
      </c>
      <c r="H10" s="374">
        <f>AVERAGE(Tabela2628[Total em horas])</f>
        <v>2.0486111109494231E-2</v>
      </c>
    </row>
    <row r="11" spans="3:8" ht="22.5" customHeight="1">
      <c r="C11" s="1" t="s">
        <v>851</v>
      </c>
      <c r="D11" s="215">
        <v>43454.974305555559</v>
      </c>
      <c r="E11" s="215">
        <v>43455.017361111109</v>
      </c>
      <c r="F11" s="372">
        <f>Tabela2628[[#This Row],[Entrega]]-Tabela2628[[#This Row],[Saída]]</f>
        <v>4.3055555550381541E-2</v>
      </c>
    </row>
    <row r="12" spans="3:8" ht="22.5" customHeight="1">
      <c r="C12" s="1" t="s">
        <v>852</v>
      </c>
      <c r="D12" s="215">
        <v>43455.74722222222</v>
      </c>
      <c r="E12" s="215">
        <v>43455.75</v>
      </c>
      <c r="F12" s="372">
        <f>Tabela2628[[#This Row],[Entrega]]-Tabela2628[[#This Row],[Saída]]</f>
        <v>2.7777777795563452E-3</v>
      </c>
    </row>
    <row r="13" spans="3:8" ht="22.5" customHeight="1" thickBot="1">
      <c r="C13" s="1" t="s">
        <v>853</v>
      </c>
      <c r="D13" s="215">
        <v>43455.748611111114</v>
      </c>
      <c r="E13" s="215">
        <v>43455.800694444442</v>
      </c>
      <c r="F13" s="373">
        <f>Tabela2628[[#This Row],[Entrega]]-Tabela2628[[#This Row],[Saída]]</f>
        <v>5.2083333328482695E-2</v>
      </c>
    </row>
  </sheetData>
  <mergeCells count="1">
    <mergeCell ref="C2:F2"/>
  </mergeCell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30D8-90C7-4875-8938-11C7A3DBEF32}">
  <sheetPr>
    <tabColor theme="9" tint="-0.249977111117893"/>
  </sheetPr>
  <dimension ref="A1:M30"/>
  <sheetViews>
    <sheetView showGridLines="0" workbookViewId="0">
      <selection activeCell="M2" sqref="M2"/>
    </sheetView>
  </sheetViews>
  <sheetFormatPr defaultRowHeight="15"/>
  <cols>
    <col min="1" max="1" width="16" bestFit="1" customWidth="1"/>
    <col min="2" max="2" width="10" bestFit="1" customWidth="1"/>
    <col min="3" max="3" width="9.42578125" bestFit="1" customWidth="1"/>
    <col min="4" max="4" width="10" bestFit="1" customWidth="1"/>
    <col min="5" max="5" width="8.28515625" bestFit="1" customWidth="1"/>
    <col min="6" max="6" width="12.140625" customWidth="1"/>
    <col min="7" max="7" width="11.5703125" customWidth="1"/>
    <col min="9" max="9" width="2.7109375" customWidth="1"/>
    <col min="10" max="11" width="11" bestFit="1" customWidth="1"/>
    <col min="12" max="12" width="12.85546875" bestFit="1" customWidth="1"/>
    <col min="13" max="13" width="12.140625" bestFit="1" customWidth="1"/>
  </cols>
  <sheetData>
    <row r="1" spans="1:13" ht="30.75" thickBot="1">
      <c r="A1" s="226" t="s">
        <v>598</v>
      </c>
      <c r="B1" s="272" t="s">
        <v>599</v>
      </c>
      <c r="C1" s="272" t="s">
        <v>600</v>
      </c>
      <c r="D1" s="272" t="s">
        <v>601</v>
      </c>
      <c r="E1" s="272" t="s">
        <v>602</v>
      </c>
      <c r="F1" s="272" t="s">
        <v>603</v>
      </c>
      <c r="J1" s="272" t="s">
        <v>742</v>
      </c>
      <c r="K1" s="272" t="s">
        <v>743</v>
      </c>
      <c r="L1" s="272" t="s">
        <v>744</v>
      </c>
      <c r="M1" s="272" t="s">
        <v>108</v>
      </c>
    </row>
    <row r="2" spans="1:13" ht="16.5" thickTop="1" thickBot="1">
      <c r="A2" s="227">
        <v>43497</v>
      </c>
      <c r="B2" s="311">
        <v>0.375</v>
      </c>
      <c r="C2" s="311">
        <v>0.5</v>
      </c>
      <c r="D2" s="311">
        <v>0.54166666666666663</v>
      </c>
      <c r="E2" s="311">
        <v>0.75</v>
      </c>
      <c r="F2" s="312">
        <f>FolhaDeHoras48[[#This Row],[Saída Tarde]]-FolhaDeHoras48[[#This Row],[Entrada Manhã]]-(FolhaDeHoras48[[#This Row],[Entrada Tarde]]-FolhaDeHoras48[[#This Row],[Saída Manhã]])</f>
        <v>0.33333333333333337</v>
      </c>
      <c r="J2" s="313">
        <f>SUM(FolhaDeHoras48[Duração])</f>
        <v>7.0889004629629619</v>
      </c>
      <c r="K2" s="603">
        <f>Tabela973[[#This Row],[Total em Horas]]*24</f>
        <v>170.13361111111109</v>
      </c>
      <c r="L2" s="314">
        <v>50</v>
      </c>
      <c r="M2" s="315">
        <f>Tabela973[[#This Row],[Total em Decimal]]*Tabela973[[#This Row],[Valor/hora]]</f>
        <v>8506.6805555555547</v>
      </c>
    </row>
    <row r="3" spans="1:13" ht="16.5" thickTop="1" thickBot="1">
      <c r="A3" s="227">
        <v>43498</v>
      </c>
      <c r="F3" s="312">
        <f>FolhaDeHoras48[[#This Row],[Saída Tarde]]-FolhaDeHoras48[[#This Row],[Entrada Manhã]]-(FolhaDeHoras48[[#This Row],[Entrada Tarde]]-FolhaDeHoras48[[#This Row],[Saída Manhã]])</f>
        <v>0</v>
      </c>
    </row>
    <row r="4" spans="1:13" ht="16.5" thickTop="1" thickBot="1">
      <c r="A4" s="227">
        <v>43499</v>
      </c>
      <c r="F4" s="312">
        <f>FolhaDeHoras48[[#This Row],[Saída Tarde]]-FolhaDeHoras48[[#This Row],[Entrada Manhã]]-(FolhaDeHoras48[[#This Row],[Entrada Tarde]]-FolhaDeHoras48[[#This Row],[Saída Manhã]])</f>
        <v>0</v>
      </c>
    </row>
    <row r="5" spans="1:13" ht="16.5" thickTop="1" thickBot="1">
      <c r="A5" s="227">
        <v>43500</v>
      </c>
      <c r="B5" s="311">
        <v>0.26815972222222223</v>
      </c>
      <c r="C5" s="311">
        <v>0.50718750000000001</v>
      </c>
      <c r="D5" s="311">
        <v>0.54630787037037043</v>
      </c>
      <c r="E5" s="311">
        <v>0.70981481481481479</v>
      </c>
      <c r="F5" s="312">
        <f>FolhaDeHoras48[[#This Row],[Saída Tarde]]-FolhaDeHoras48[[#This Row],[Entrada Manhã]]-(FolhaDeHoras48[[#This Row],[Entrada Tarde]]-FolhaDeHoras48[[#This Row],[Saída Manhã]])</f>
        <v>0.40253472222222214</v>
      </c>
    </row>
    <row r="6" spans="1:13" ht="16.5" thickTop="1" thickBot="1">
      <c r="A6" s="227">
        <v>43501</v>
      </c>
      <c r="B6" s="311">
        <v>0.32984953703703707</v>
      </c>
      <c r="C6" s="311">
        <v>0.56755787037037042</v>
      </c>
      <c r="D6" s="311">
        <v>0.6174074074074074</v>
      </c>
      <c r="E6" s="311">
        <v>0.70208333333333339</v>
      </c>
      <c r="F6" s="312">
        <f>FolhaDeHoras48[[#This Row],[Saída Tarde]]-FolhaDeHoras48[[#This Row],[Entrada Manhã]]-(FolhaDeHoras48[[#This Row],[Entrada Tarde]]-FolhaDeHoras48[[#This Row],[Saída Manhã]])</f>
        <v>0.32238425925925934</v>
      </c>
    </row>
    <row r="7" spans="1:13" ht="16.5" thickTop="1" thickBot="1">
      <c r="A7" s="227">
        <v>43502</v>
      </c>
      <c r="B7" s="311">
        <v>0.45288194444444446</v>
      </c>
      <c r="C7" s="311">
        <v>0.54689814814814819</v>
      </c>
      <c r="D7" s="311">
        <v>0.57200231481481478</v>
      </c>
      <c r="E7" s="311">
        <v>0.80815972222222221</v>
      </c>
      <c r="F7" s="312">
        <f>FolhaDeHoras48[[#This Row],[Saída Tarde]]-FolhaDeHoras48[[#This Row],[Entrada Manhã]]-(FolhaDeHoras48[[#This Row],[Entrada Tarde]]-FolhaDeHoras48[[#This Row],[Saída Manhã]])</f>
        <v>0.33017361111111115</v>
      </c>
    </row>
    <row r="8" spans="1:13" ht="16.5" thickTop="1" thickBot="1">
      <c r="A8" s="227">
        <v>43503</v>
      </c>
      <c r="B8" s="311">
        <v>0.35268518518518516</v>
      </c>
      <c r="C8" s="311">
        <v>0.46957175925925926</v>
      </c>
      <c r="D8" s="311">
        <v>0.54341435185185183</v>
      </c>
      <c r="E8" s="311">
        <v>0.69321759259259252</v>
      </c>
      <c r="F8" s="312">
        <f>FolhaDeHoras48[[#This Row],[Saída Tarde]]-FolhaDeHoras48[[#This Row],[Entrada Manhã]]-(FolhaDeHoras48[[#This Row],[Entrada Tarde]]-FolhaDeHoras48[[#This Row],[Saída Manhã]])</f>
        <v>0.2666898148148148</v>
      </c>
    </row>
    <row r="9" spans="1:13" ht="16.5" thickTop="1" thickBot="1">
      <c r="A9" s="227">
        <v>43504</v>
      </c>
      <c r="B9" s="311">
        <v>0.41846064814814815</v>
      </c>
      <c r="C9" s="311">
        <v>0.56824074074074071</v>
      </c>
      <c r="D9" s="311">
        <v>0.62366898148148142</v>
      </c>
      <c r="E9" s="311">
        <v>0.74914351851851846</v>
      </c>
      <c r="F9" s="312">
        <f>FolhaDeHoras48[[#This Row],[Saída Tarde]]-FolhaDeHoras48[[#This Row],[Entrada Manhã]]-(FolhaDeHoras48[[#This Row],[Entrada Tarde]]-FolhaDeHoras48[[#This Row],[Saída Manhã]])</f>
        <v>0.2752546296296296</v>
      </c>
    </row>
    <row r="10" spans="1:13" ht="16.5" thickTop="1" thickBot="1">
      <c r="A10" s="227">
        <v>43505</v>
      </c>
      <c r="F10" s="312">
        <f>FolhaDeHoras48[[#This Row],[Saída Tarde]]-FolhaDeHoras48[[#This Row],[Entrada Manhã]]-(FolhaDeHoras48[[#This Row],[Entrada Tarde]]-FolhaDeHoras48[[#This Row],[Saída Manhã]])</f>
        <v>0</v>
      </c>
    </row>
    <row r="11" spans="1:13" ht="16.5" thickTop="1" thickBot="1">
      <c r="A11" s="227">
        <v>43506</v>
      </c>
      <c r="F11" s="312">
        <f>FolhaDeHoras48[[#This Row],[Saída Tarde]]-FolhaDeHoras48[[#This Row],[Entrada Manhã]]-(FolhaDeHoras48[[#This Row],[Entrada Tarde]]-FolhaDeHoras48[[#This Row],[Saída Manhã]])</f>
        <v>0</v>
      </c>
    </row>
    <row r="12" spans="1:13" ht="16.5" thickTop="1" thickBot="1">
      <c r="A12" s="227">
        <v>43507</v>
      </c>
      <c r="B12" s="311">
        <v>0.4012384259259259</v>
      </c>
      <c r="C12" s="311">
        <v>0.55546296296296294</v>
      </c>
      <c r="D12" s="311">
        <v>0.60640046296296291</v>
      </c>
      <c r="E12" s="311">
        <v>0.84766203703703702</v>
      </c>
      <c r="F12" s="312">
        <f>FolhaDeHoras48[[#This Row],[Saída Tarde]]-FolhaDeHoras48[[#This Row],[Entrada Manhã]]-(FolhaDeHoras48[[#This Row],[Entrada Tarde]]-FolhaDeHoras48[[#This Row],[Saída Manhã]])</f>
        <v>0.39548611111111115</v>
      </c>
    </row>
    <row r="13" spans="1:13" ht="16.5" thickTop="1" thickBot="1">
      <c r="A13" s="227">
        <v>43508</v>
      </c>
      <c r="B13" s="311">
        <v>0.37684027777777779</v>
      </c>
      <c r="C13" s="311">
        <v>0.50307870370370367</v>
      </c>
      <c r="D13" s="311">
        <v>0.57094907407407403</v>
      </c>
      <c r="E13" s="311">
        <v>0.76650462962962962</v>
      </c>
      <c r="F13" s="312">
        <f>FolhaDeHoras48[[#This Row],[Saída Tarde]]-FolhaDeHoras48[[#This Row],[Entrada Manhã]]-(FolhaDeHoras48[[#This Row],[Entrada Tarde]]-FolhaDeHoras48[[#This Row],[Saída Manhã]])</f>
        <v>0.32179398148148147</v>
      </c>
    </row>
    <row r="14" spans="1:13" ht="16.5" thickTop="1" thickBot="1">
      <c r="A14" s="227">
        <v>43509</v>
      </c>
      <c r="B14" s="311">
        <v>0.35114583333333332</v>
      </c>
      <c r="C14" s="311">
        <v>0.52214120370370376</v>
      </c>
      <c r="D14" s="311">
        <v>0.62099537037037034</v>
      </c>
      <c r="E14" s="311">
        <v>0.8273032407407408</v>
      </c>
      <c r="F14" s="312">
        <f>FolhaDeHoras48[[#This Row],[Saída Tarde]]-FolhaDeHoras48[[#This Row],[Entrada Manhã]]-(FolhaDeHoras48[[#This Row],[Entrada Tarde]]-FolhaDeHoras48[[#This Row],[Saída Manhã]])</f>
        <v>0.3773032407407409</v>
      </c>
    </row>
    <row r="15" spans="1:13" ht="16.5" thickTop="1" thickBot="1">
      <c r="A15" s="227">
        <v>43510</v>
      </c>
      <c r="B15" s="311">
        <v>0.263587962962963</v>
      </c>
      <c r="C15" s="311">
        <v>0.57810185185185181</v>
      </c>
      <c r="D15" s="311">
        <v>0.63056712962962957</v>
      </c>
      <c r="E15" s="311">
        <v>0.79456018518518512</v>
      </c>
      <c r="F15" s="312">
        <f>FolhaDeHoras48[[#This Row],[Saída Tarde]]-FolhaDeHoras48[[#This Row],[Entrada Manhã]]-(FolhaDeHoras48[[#This Row],[Entrada Tarde]]-FolhaDeHoras48[[#This Row],[Saída Manhã]])</f>
        <v>0.47850694444444442</v>
      </c>
    </row>
    <row r="16" spans="1:13" ht="16.5" thickTop="1" thickBot="1">
      <c r="A16" s="227">
        <v>43511</v>
      </c>
      <c r="B16" s="311">
        <v>0.29317129629629629</v>
      </c>
      <c r="C16" s="311">
        <v>0.45900462962962968</v>
      </c>
      <c r="D16" s="311">
        <v>0.60037037037037033</v>
      </c>
      <c r="E16" s="311">
        <v>0.85578703703703696</v>
      </c>
      <c r="F16" s="312">
        <f>FolhaDeHoras48[[#This Row],[Saída Tarde]]-FolhaDeHoras48[[#This Row],[Entrada Manhã]]-(FolhaDeHoras48[[#This Row],[Entrada Tarde]]-FolhaDeHoras48[[#This Row],[Saída Manhã]])</f>
        <v>0.42124999999999996</v>
      </c>
    </row>
    <row r="17" spans="1:6" ht="16.5" thickTop="1" thickBot="1">
      <c r="A17" s="227">
        <v>43512</v>
      </c>
      <c r="F17" s="312">
        <f>FolhaDeHoras48[[#This Row],[Saída Tarde]]-FolhaDeHoras48[[#This Row],[Entrada Manhã]]-(FolhaDeHoras48[[#This Row],[Entrada Tarde]]-FolhaDeHoras48[[#This Row],[Saída Manhã]])</f>
        <v>0</v>
      </c>
    </row>
    <row r="18" spans="1:6" ht="16.5" thickTop="1" thickBot="1">
      <c r="A18" s="227">
        <v>43513</v>
      </c>
      <c r="F18" s="312">
        <f>FolhaDeHoras48[[#This Row],[Saída Tarde]]-FolhaDeHoras48[[#This Row],[Entrada Manhã]]-(FolhaDeHoras48[[#This Row],[Entrada Tarde]]-FolhaDeHoras48[[#This Row],[Saída Manhã]])</f>
        <v>0</v>
      </c>
    </row>
    <row r="19" spans="1:6" ht="16.5" thickTop="1" thickBot="1">
      <c r="A19" s="227">
        <v>43514</v>
      </c>
      <c r="B19" s="311">
        <v>0.41846064814814815</v>
      </c>
      <c r="C19" s="311">
        <v>0.56824074074074071</v>
      </c>
      <c r="D19" s="311">
        <v>0.62366898148148142</v>
      </c>
      <c r="E19" s="311">
        <v>0.74914351851851846</v>
      </c>
      <c r="F19" s="312">
        <f>FolhaDeHoras48[[#This Row],[Saída Tarde]]-FolhaDeHoras48[[#This Row],[Entrada Manhã]]-(FolhaDeHoras48[[#This Row],[Entrada Tarde]]-FolhaDeHoras48[[#This Row],[Saída Manhã]])</f>
        <v>0.2752546296296296</v>
      </c>
    </row>
    <row r="20" spans="1:6" ht="16.5" thickTop="1" thickBot="1">
      <c r="A20" s="227">
        <v>43515</v>
      </c>
      <c r="B20" s="311">
        <v>0.2913425925925926</v>
      </c>
      <c r="C20" s="311">
        <v>0.48592592592592593</v>
      </c>
      <c r="D20" s="311">
        <v>0.57731481481481484</v>
      </c>
      <c r="E20" s="311">
        <v>0.89390046296296299</v>
      </c>
      <c r="F20" s="312">
        <f>FolhaDeHoras48[[#This Row],[Saída Tarde]]-FolhaDeHoras48[[#This Row],[Entrada Manhã]]-(FolhaDeHoras48[[#This Row],[Entrada Tarde]]-FolhaDeHoras48[[#This Row],[Saída Manhã]])</f>
        <v>0.51116898148148149</v>
      </c>
    </row>
    <row r="21" spans="1:6" ht="16.5" thickTop="1" thickBot="1">
      <c r="A21" s="227">
        <v>43516</v>
      </c>
      <c r="B21" s="311">
        <v>0.32350694444444444</v>
      </c>
      <c r="C21" s="311">
        <v>0.5153240740740741</v>
      </c>
      <c r="D21" s="311">
        <v>0.56018518518518523</v>
      </c>
      <c r="E21" s="311">
        <v>0.71833333333333327</v>
      </c>
      <c r="F21" s="312">
        <f>FolhaDeHoras48[[#This Row],[Saída Tarde]]-FolhaDeHoras48[[#This Row],[Entrada Manhã]]-(FolhaDeHoras48[[#This Row],[Entrada Tarde]]-FolhaDeHoras48[[#This Row],[Saída Manhã]])</f>
        <v>0.34996527777777769</v>
      </c>
    </row>
    <row r="22" spans="1:6" ht="16.5" thickTop="1" thickBot="1">
      <c r="A22" s="227">
        <v>43517</v>
      </c>
      <c r="B22" s="311">
        <v>0.43809027777777776</v>
      </c>
      <c r="C22" s="311">
        <v>0.53574074074074074</v>
      </c>
      <c r="D22" s="311">
        <v>0.59402777777777782</v>
      </c>
      <c r="E22" s="311">
        <v>0.7518055555555555</v>
      </c>
      <c r="F22" s="312">
        <f>FolhaDeHoras48[[#This Row],[Saída Tarde]]-FolhaDeHoras48[[#This Row],[Entrada Manhã]]-(FolhaDeHoras48[[#This Row],[Entrada Tarde]]-FolhaDeHoras48[[#This Row],[Saída Manhã]])</f>
        <v>0.25542824074074066</v>
      </c>
    </row>
    <row r="23" spans="1:6" ht="16.5" thickTop="1" thickBot="1">
      <c r="A23" s="227">
        <v>43518</v>
      </c>
      <c r="B23" s="311">
        <v>0.4012384259259259</v>
      </c>
      <c r="C23" s="311">
        <v>0.55546296296296294</v>
      </c>
      <c r="D23" s="311">
        <v>0.60640046296296291</v>
      </c>
      <c r="E23" s="311">
        <v>0.84766203703703702</v>
      </c>
      <c r="F23" s="312">
        <f>FolhaDeHoras48[[#This Row],[Saída Tarde]]-FolhaDeHoras48[[#This Row],[Entrada Manhã]]-(FolhaDeHoras48[[#This Row],[Entrada Tarde]]-FolhaDeHoras48[[#This Row],[Saída Manhã]])</f>
        <v>0.39548611111111115</v>
      </c>
    </row>
    <row r="24" spans="1:6" ht="16.5" thickTop="1" thickBot="1">
      <c r="A24" s="227">
        <v>43519</v>
      </c>
      <c r="F24" s="312">
        <f>FolhaDeHoras48[[#This Row],[Saída Tarde]]-FolhaDeHoras48[[#This Row],[Entrada Manhã]]-(FolhaDeHoras48[[#This Row],[Entrada Tarde]]-FolhaDeHoras48[[#This Row],[Saída Manhã]])</f>
        <v>0</v>
      </c>
    </row>
    <row r="25" spans="1:6" ht="16.5" thickTop="1" thickBot="1">
      <c r="A25" s="227">
        <v>43520</v>
      </c>
      <c r="F25" s="312">
        <f>FolhaDeHoras48[[#This Row],[Saída Tarde]]-FolhaDeHoras48[[#This Row],[Entrada Manhã]]-(FolhaDeHoras48[[#This Row],[Entrada Tarde]]-FolhaDeHoras48[[#This Row],[Saída Manhã]])</f>
        <v>0</v>
      </c>
    </row>
    <row r="26" spans="1:6" ht="16.5" thickTop="1" thickBot="1">
      <c r="A26" s="227">
        <v>43521</v>
      </c>
      <c r="B26" s="311">
        <v>0.32984953703703707</v>
      </c>
      <c r="C26" s="311">
        <v>0.56755787037037042</v>
      </c>
      <c r="D26" s="311">
        <v>0.6174074074074074</v>
      </c>
      <c r="E26" s="311">
        <v>0.70208333333333339</v>
      </c>
      <c r="F26" s="312">
        <f>FolhaDeHoras48[[#This Row],[Saída Tarde]]-FolhaDeHoras48[[#This Row],[Entrada Manhã]]-(FolhaDeHoras48[[#This Row],[Entrada Tarde]]-FolhaDeHoras48[[#This Row],[Saída Manhã]])</f>
        <v>0.32238425925925934</v>
      </c>
    </row>
    <row r="27" spans="1:6" ht="16.5" thickTop="1" thickBot="1">
      <c r="A27" s="227">
        <v>43522</v>
      </c>
      <c r="B27" s="311">
        <v>0.45288194444444446</v>
      </c>
      <c r="C27" s="311">
        <v>0.54689814814814819</v>
      </c>
      <c r="D27" s="311">
        <v>0.57200231481481478</v>
      </c>
      <c r="E27" s="311">
        <v>0.80815972222222221</v>
      </c>
      <c r="F27" s="312">
        <f>FolhaDeHoras48[[#This Row],[Saída Tarde]]-FolhaDeHoras48[[#This Row],[Entrada Manhã]]-(FolhaDeHoras48[[#This Row],[Entrada Tarde]]-FolhaDeHoras48[[#This Row],[Saída Manhã]])</f>
        <v>0.33017361111111115</v>
      </c>
    </row>
    <row r="28" spans="1:6" ht="16.5" thickTop="1" thickBot="1">
      <c r="A28" s="227">
        <v>43523</v>
      </c>
      <c r="B28" s="311">
        <v>0.37684027777777779</v>
      </c>
      <c r="C28" s="311">
        <v>0.50307870370370367</v>
      </c>
      <c r="D28" s="311">
        <v>0.57094907407407403</v>
      </c>
      <c r="E28" s="311">
        <v>0.76650462962962962</v>
      </c>
      <c r="F28" s="312">
        <f>FolhaDeHoras48[[#This Row],[Saída Tarde]]-FolhaDeHoras48[[#This Row],[Entrada Manhã]]-(FolhaDeHoras48[[#This Row],[Entrada Tarde]]-FolhaDeHoras48[[#This Row],[Saída Manhã]])</f>
        <v>0.32179398148148147</v>
      </c>
    </row>
    <row r="29" spans="1:6" ht="15.75" thickTop="1">
      <c r="A29" s="227">
        <v>43524</v>
      </c>
      <c r="B29" s="311">
        <v>0.26815972222222223</v>
      </c>
      <c r="C29" s="311">
        <v>0.50718750000000001</v>
      </c>
      <c r="D29" s="311">
        <v>0.54630787037037043</v>
      </c>
      <c r="E29" s="311">
        <v>0.70981481481481479</v>
      </c>
      <c r="F29" s="312">
        <f>FolhaDeHoras48[[#This Row],[Saída Tarde]]-FolhaDeHoras48[[#This Row],[Entrada Manhã]]-(FolhaDeHoras48[[#This Row],[Entrada Tarde]]-FolhaDeHoras48[[#This Row],[Saída Manhã]])</f>
        <v>0.40253472222222214</v>
      </c>
    </row>
    <row r="30" spans="1:6">
      <c r="A30" t="s">
        <v>108</v>
      </c>
      <c r="F30" s="228">
        <f>SUBTOTAL(109,FolhaDeHoras48[Duração])</f>
        <v>7.0889004629629619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/>
  </sheetPr>
  <dimension ref="A1"/>
  <sheetViews>
    <sheetView showGridLines="0" showRowColHeaders="0" topLeftCell="A3" zoomScaleNormal="100" workbookViewId="0">
      <selection activeCell="H25" sqref="H25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D5AB2-B919-4845-8810-53BC94484103}">
  <sheetPr>
    <tabColor rgb="FF0070C0"/>
  </sheetPr>
  <dimension ref="B1:I14"/>
  <sheetViews>
    <sheetView zoomScaleNormal="100" workbookViewId="0">
      <selection activeCell="I14" sqref="F7:I14"/>
    </sheetView>
  </sheetViews>
  <sheetFormatPr defaultRowHeight="15"/>
  <cols>
    <col min="1" max="1" width="3.28515625" customWidth="1"/>
    <col min="2" max="2" width="18.7109375" customWidth="1"/>
    <col min="3" max="3" width="18.140625" customWidth="1"/>
    <col min="4" max="5" width="3.85546875" customWidth="1"/>
    <col min="6" max="6" width="21" customWidth="1"/>
    <col min="7" max="7" width="18.140625" bestFit="1" customWidth="1"/>
    <col min="8" max="8" width="15.140625" bestFit="1" customWidth="1"/>
    <col min="9" max="9" width="25.5703125" customWidth="1"/>
  </cols>
  <sheetData>
    <row r="1" spans="2:9" ht="15.75" thickBot="1"/>
    <row r="2" spans="2:9" ht="22.5" customHeight="1">
      <c r="B2" s="801" t="s">
        <v>868</v>
      </c>
      <c r="C2" s="802"/>
    </row>
    <row r="3" spans="2:9" ht="22.5" customHeight="1">
      <c r="B3" s="381" t="s">
        <v>872</v>
      </c>
      <c r="C3" s="604">
        <f ca="1">TODAY()</f>
        <v>46060</v>
      </c>
    </row>
    <row r="4" spans="2:9" ht="22.5" customHeight="1">
      <c r="B4" s="381" t="s">
        <v>873</v>
      </c>
      <c r="C4" s="604">
        <f ca="1">TODAY()+90</f>
        <v>46150</v>
      </c>
    </row>
    <row r="5" spans="2:9" ht="22.5" customHeight="1">
      <c r="B5" s="381" t="s">
        <v>874</v>
      </c>
      <c r="C5" s="604">
        <f ca="1">TODAY()+80</f>
        <v>46140</v>
      </c>
    </row>
    <row r="6" spans="2:9" ht="22.5" customHeight="1" thickBot="1">
      <c r="B6" s="382" t="s">
        <v>875</v>
      </c>
      <c r="C6" s="604">
        <f t="shared" ref="C6" ca="1" si="0">TODAY()</f>
        <v>46060</v>
      </c>
      <c r="F6" s="379" t="s">
        <v>187</v>
      </c>
      <c r="G6" s="379" t="s">
        <v>161</v>
      </c>
      <c r="H6" s="379" t="s">
        <v>745</v>
      </c>
      <c r="I6" s="379" t="s">
        <v>746</v>
      </c>
    </row>
    <row r="7" spans="2:9" ht="22.5" customHeight="1">
      <c r="F7" s="274" t="s">
        <v>710</v>
      </c>
      <c r="G7" s="274" t="s">
        <v>869</v>
      </c>
      <c r="H7" s="380">
        <v>43316</v>
      </c>
      <c r="I7" s="605">
        <f ca="1">TODAY()-Tabela45[[#This Row],[Contratação]]</f>
        <v>2744</v>
      </c>
    </row>
    <row r="8" spans="2:9" ht="22.5" customHeight="1">
      <c r="F8" s="274" t="s">
        <v>468</v>
      </c>
      <c r="G8" s="274" t="s">
        <v>870</v>
      </c>
      <c r="H8" s="380">
        <v>43320</v>
      </c>
      <c r="I8" s="605">
        <f ca="1">TODAY()-Tabela45[[#This Row],[Contratação]]</f>
        <v>2740</v>
      </c>
    </row>
    <row r="9" spans="2:9" ht="22.5" customHeight="1">
      <c r="F9" s="274" t="s">
        <v>711</v>
      </c>
      <c r="G9" s="274" t="s">
        <v>869</v>
      </c>
      <c r="H9" s="380">
        <v>43321</v>
      </c>
      <c r="I9" s="605">
        <f ca="1">TODAY()-Tabela45[[#This Row],[Contratação]]</f>
        <v>2739</v>
      </c>
    </row>
    <row r="10" spans="2:9" ht="22.5" customHeight="1">
      <c r="F10" s="274" t="s">
        <v>586</v>
      </c>
      <c r="G10" s="274" t="s">
        <v>871</v>
      </c>
      <c r="H10" s="380">
        <v>43317</v>
      </c>
      <c r="I10" s="605">
        <f ca="1">TODAY()-Tabela45[[#This Row],[Contratação]]</f>
        <v>2743</v>
      </c>
    </row>
    <row r="11" spans="2:9" ht="15.75">
      <c r="F11" s="274" t="s">
        <v>583</v>
      </c>
      <c r="G11" s="274" t="s">
        <v>88</v>
      </c>
      <c r="H11" s="380">
        <v>43445</v>
      </c>
      <c r="I11" s="605">
        <f ca="1">TODAY()-Tabela45[[#This Row],[Contratação]]</f>
        <v>2615</v>
      </c>
    </row>
    <row r="12" spans="2:9" ht="15.75">
      <c r="F12" s="274" t="s">
        <v>747</v>
      </c>
      <c r="G12" s="274" t="s">
        <v>88</v>
      </c>
      <c r="H12" s="380">
        <v>43253</v>
      </c>
      <c r="I12" s="605">
        <f ca="1">TODAY()-Tabela45[[#This Row],[Contratação]]</f>
        <v>2807</v>
      </c>
    </row>
    <row r="13" spans="2:9" ht="15.75">
      <c r="F13" s="274" t="s">
        <v>748</v>
      </c>
      <c r="G13" s="274" t="s">
        <v>871</v>
      </c>
      <c r="H13" s="380">
        <v>43101</v>
      </c>
      <c r="I13" s="605">
        <f ca="1">TODAY()-Tabela45[[#This Row],[Contratação]]</f>
        <v>2959</v>
      </c>
    </row>
    <row r="14" spans="2:9" ht="15.75">
      <c r="F14" s="274" t="s">
        <v>718</v>
      </c>
      <c r="G14" s="274" t="s">
        <v>869</v>
      </c>
      <c r="H14" s="380">
        <v>43446</v>
      </c>
      <c r="I14" s="605">
        <f ca="1">TODAY()-Tabela45[[#This Row],[Contratação]]</f>
        <v>2614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0C0AB-575A-4BBA-B2CA-5CB0FE723624}">
  <sheetPr>
    <tabColor rgb="FF0070C0"/>
  </sheetPr>
  <dimension ref="C3:G21"/>
  <sheetViews>
    <sheetView showGridLines="0" workbookViewId="0">
      <selection activeCell="C13" sqref="C13"/>
    </sheetView>
  </sheetViews>
  <sheetFormatPr defaultRowHeight="20.25" customHeight="1"/>
  <cols>
    <col min="3" max="3" width="30.42578125" customWidth="1"/>
    <col min="4" max="4" width="28.42578125" customWidth="1"/>
    <col min="7" max="7" width="15.85546875" bestFit="1" customWidth="1"/>
  </cols>
  <sheetData>
    <row r="3" spans="3:4" ht="20.25" customHeight="1">
      <c r="C3" s="803" t="s">
        <v>749</v>
      </c>
      <c r="D3" s="803"/>
    </row>
    <row r="4" spans="3:4" ht="20.25" customHeight="1">
      <c r="C4" s="317">
        <f ca="1">NOW()+15</f>
        <v>46075.981357638891</v>
      </c>
      <c r="D4" s="316" t="s">
        <v>750</v>
      </c>
    </row>
    <row r="7" spans="3:4" ht="20.25" customHeight="1">
      <c r="C7" s="317">
        <f ca="1">NOW()+30</f>
        <v>46090.981357638891</v>
      </c>
      <c r="D7" s="316" t="s">
        <v>751</v>
      </c>
    </row>
    <row r="10" spans="3:4" ht="20.25" customHeight="1">
      <c r="C10" s="317">
        <f ca="1">NOW()+60</f>
        <v>46120.981357638891</v>
      </c>
      <c r="D10" s="316" t="s">
        <v>752</v>
      </c>
    </row>
    <row r="13" spans="3:4" ht="20.25" customHeight="1">
      <c r="C13" s="317">
        <f ca="1">NOW()+250</f>
        <v>46310.981357638891</v>
      </c>
      <c r="D13" s="316" t="s">
        <v>753</v>
      </c>
    </row>
    <row r="21" spans="7:7" ht="20.25" customHeight="1">
      <c r="G21" s="606">
        <f ca="1">NOW()</f>
        <v>46060.981357638891</v>
      </c>
    </row>
  </sheetData>
  <mergeCells count="1">
    <mergeCell ref="C3:D3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70C0"/>
  </sheetPr>
  <dimension ref="B2:F18"/>
  <sheetViews>
    <sheetView showGridLines="0" zoomScaleNormal="100" workbookViewId="0">
      <selection activeCell="C4" sqref="C4"/>
    </sheetView>
  </sheetViews>
  <sheetFormatPr defaultRowHeight="18" customHeight="1"/>
  <cols>
    <col min="2" max="2" width="13.42578125" customWidth="1"/>
    <col min="3" max="3" width="24.7109375" customWidth="1"/>
    <col min="5" max="6" width="10.28515625" customWidth="1"/>
    <col min="7" max="7" width="4.85546875" customWidth="1"/>
    <col min="8" max="8" width="4.28515625" customWidth="1"/>
  </cols>
  <sheetData>
    <row r="2" spans="2:6" ht="18" customHeight="1">
      <c r="B2" s="385" t="s">
        <v>885</v>
      </c>
      <c r="C2" s="385"/>
      <c r="D2" s="385"/>
      <c r="E2" s="385"/>
      <c r="F2" s="385"/>
    </row>
    <row r="3" spans="2:6" ht="18" customHeight="1">
      <c r="B3" s="1" t="s">
        <v>563</v>
      </c>
      <c r="C3" s="1" t="s">
        <v>258</v>
      </c>
      <c r="D3" s="1" t="s">
        <v>578</v>
      </c>
      <c r="E3" s="1" t="s">
        <v>579</v>
      </c>
      <c r="F3" s="1" t="s">
        <v>580</v>
      </c>
    </row>
    <row r="4" spans="2:6" ht="18" customHeight="1">
      <c r="B4" s="216" t="s">
        <v>430</v>
      </c>
      <c r="C4" s="217">
        <v>25335.390636574073</v>
      </c>
      <c r="D4">
        <f>HOUR(Tabela33[[#This Row],[Data de Nascimento]])</f>
        <v>9</v>
      </c>
      <c r="E4">
        <f>MINUTE(Tabela33[[#This Row],[Data de Nascimento]])</f>
        <v>22</v>
      </c>
      <c r="F4">
        <f>SECOND(Tabela33[[#This Row],[Data de Nascimento]])</f>
        <v>31</v>
      </c>
    </row>
    <row r="5" spans="2:6" ht="18" customHeight="1">
      <c r="B5" s="216" t="s">
        <v>565</v>
      </c>
      <c r="C5" s="217">
        <v>29340.900960648149</v>
      </c>
      <c r="D5">
        <f>HOUR(Tabela33[[#This Row],[Data de Nascimento]])</f>
        <v>21</v>
      </c>
      <c r="E5">
        <f>MINUTE(Tabela33[[#This Row],[Data de Nascimento]])</f>
        <v>37</v>
      </c>
      <c r="F5">
        <f>SECOND(Tabela33[[#This Row],[Data de Nascimento]])</f>
        <v>23</v>
      </c>
    </row>
    <row r="6" spans="2:6" ht="18" customHeight="1">
      <c r="B6" s="216" t="s">
        <v>539</v>
      </c>
      <c r="C6" s="217">
        <v>32423.573935185184</v>
      </c>
      <c r="D6">
        <f>HOUR(Tabela33[[#This Row],[Data de Nascimento]])</f>
        <v>13</v>
      </c>
      <c r="E6">
        <f>MINUTE(Tabela33[[#This Row],[Data de Nascimento]])</f>
        <v>46</v>
      </c>
      <c r="F6">
        <f>SECOND(Tabela33[[#This Row],[Data de Nascimento]])</f>
        <v>28</v>
      </c>
    </row>
    <row r="7" spans="2:6" ht="18" customHeight="1">
      <c r="B7" s="216" t="s">
        <v>566</v>
      </c>
      <c r="C7" s="217">
        <v>19001.477974537036</v>
      </c>
      <c r="D7">
        <f>HOUR(Tabela33[[#This Row],[Data de Nascimento]])</f>
        <v>11</v>
      </c>
      <c r="E7">
        <f>MINUTE(Tabela33[[#This Row],[Data de Nascimento]])</f>
        <v>28</v>
      </c>
      <c r="F7">
        <f>SECOND(Tabela33[[#This Row],[Data de Nascimento]])</f>
        <v>17</v>
      </c>
    </row>
    <row r="8" spans="2:6" ht="18" customHeight="1">
      <c r="B8" s="216" t="s">
        <v>567</v>
      </c>
      <c r="C8" s="217">
        <v>23131.866516203703</v>
      </c>
      <c r="D8">
        <f>HOUR(Tabela33[[#This Row],[Data de Nascimento]])</f>
        <v>20</v>
      </c>
      <c r="E8">
        <f>MINUTE(Tabela33[[#This Row],[Data de Nascimento]])</f>
        <v>47</v>
      </c>
      <c r="F8">
        <f>SECOND(Tabela33[[#This Row],[Data de Nascimento]])</f>
        <v>47</v>
      </c>
    </row>
    <row r="9" spans="2:6" ht="18" customHeight="1">
      <c r="B9" s="216" t="s">
        <v>568</v>
      </c>
      <c r="C9" s="217">
        <v>20321.661689814813</v>
      </c>
      <c r="D9">
        <f>HOUR(Tabela33[[#This Row],[Data de Nascimento]])</f>
        <v>15</v>
      </c>
      <c r="E9">
        <f>MINUTE(Tabela33[[#This Row],[Data de Nascimento]])</f>
        <v>52</v>
      </c>
      <c r="F9">
        <f>SECOND(Tabela33[[#This Row],[Data de Nascimento]])</f>
        <v>50</v>
      </c>
    </row>
    <row r="10" spans="2:6" ht="18" customHeight="1">
      <c r="B10" s="216" t="s">
        <v>569</v>
      </c>
      <c r="C10" s="217">
        <v>33999.367372685185</v>
      </c>
      <c r="D10">
        <f>HOUR(Tabela33[[#This Row],[Data de Nascimento]])</f>
        <v>8</v>
      </c>
      <c r="E10">
        <f>MINUTE(Tabela33[[#This Row],[Data de Nascimento]])</f>
        <v>49</v>
      </c>
      <c r="F10" s="218">
        <f>SECOND(Tabela33[[#This Row],[Data de Nascimento]])</f>
        <v>1</v>
      </c>
    </row>
    <row r="11" spans="2:6" ht="18" customHeight="1">
      <c r="B11" s="216" t="s">
        <v>570</v>
      </c>
      <c r="C11" s="217">
        <v>29792.137673611112</v>
      </c>
      <c r="D11">
        <f>HOUR(Tabela33[[#This Row],[Data de Nascimento]])</f>
        <v>3</v>
      </c>
      <c r="E11">
        <f>MINUTE(Tabela33[[#This Row],[Data de Nascimento]])</f>
        <v>18</v>
      </c>
      <c r="F11">
        <f>SECOND(Tabela33[[#This Row],[Data de Nascimento]])</f>
        <v>15</v>
      </c>
    </row>
    <row r="12" spans="2:6" ht="18" customHeight="1">
      <c r="B12" s="216" t="s">
        <v>571</v>
      </c>
      <c r="C12" s="217">
        <v>18390.641145833335</v>
      </c>
      <c r="D12">
        <f>HOUR(Tabela33[[#This Row],[Data de Nascimento]])</f>
        <v>15</v>
      </c>
      <c r="E12">
        <f>MINUTE(Tabela33[[#This Row],[Data de Nascimento]])</f>
        <v>23</v>
      </c>
      <c r="F12">
        <f>SECOND(Tabela33[[#This Row],[Data de Nascimento]])</f>
        <v>15</v>
      </c>
    </row>
    <row r="13" spans="2:6" ht="18" customHeight="1">
      <c r="B13" s="216" t="s">
        <v>572</v>
      </c>
      <c r="C13" s="217">
        <v>29037.920555555556</v>
      </c>
      <c r="D13">
        <f>HOUR(Tabela33[[#This Row],[Data de Nascimento]])</f>
        <v>22</v>
      </c>
      <c r="E13">
        <f>MINUTE(Tabela33[[#This Row],[Data de Nascimento]])</f>
        <v>5</v>
      </c>
      <c r="F13">
        <f>SECOND(Tabela33[[#This Row],[Data de Nascimento]])</f>
        <v>36</v>
      </c>
    </row>
    <row r="14" spans="2:6" ht="18" customHeight="1">
      <c r="B14" s="216" t="s">
        <v>573</v>
      </c>
      <c r="C14" s="217">
        <v>28014.10258101852</v>
      </c>
      <c r="D14">
        <f>HOUR(Tabela33[[#This Row],[Data de Nascimento]])</f>
        <v>2</v>
      </c>
      <c r="E14">
        <f>MINUTE(Tabela33[[#This Row],[Data de Nascimento]])</f>
        <v>27</v>
      </c>
      <c r="F14">
        <f>SECOND(Tabela33[[#This Row],[Data de Nascimento]])</f>
        <v>43</v>
      </c>
    </row>
    <row r="15" spans="2:6" ht="18" customHeight="1">
      <c r="B15" s="216" t="s">
        <v>574</v>
      </c>
      <c r="C15" s="217">
        <v>26503.226817129631</v>
      </c>
      <c r="D15">
        <f>HOUR(Tabela33[[#This Row],[Data de Nascimento]])</f>
        <v>5</v>
      </c>
      <c r="E15">
        <f>MINUTE(Tabela33[[#This Row],[Data de Nascimento]])</f>
        <v>26</v>
      </c>
      <c r="F15">
        <f>SECOND(Tabela33[[#This Row],[Data de Nascimento]])</f>
        <v>37</v>
      </c>
    </row>
    <row r="16" spans="2:6" ht="18" customHeight="1">
      <c r="B16" s="216" t="s">
        <v>575</v>
      </c>
      <c r="C16" s="217">
        <v>29222.499282407407</v>
      </c>
      <c r="D16">
        <f>HOUR(Tabela33[[#This Row],[Data de Nascimento]])</f>
        <v>11</v>
      </c>
      <c r="E16">
        <f>MINUTE(Tabela33[[#This Row],[Data de Nascimento]])</f>
        <v>58</v>
      </c>
      <c r="F16">
        <f>SECOND(Tabela33[[#This Row],[Data de Nascimento]])</f>
        <v>58</v>
      </c>
    </row>
    <row r="17" spans="2:6" ht="18" customHeight="1">
      <c r="B17" s="216" t="s">
        <v>576</v>
      </c>
      <c r="C17" s="217">
        <v>19471.79886574074</v>
      </c>
      <c r="D17">
        <f>HOUR(Tabela33[[#This Row],[Data de Nascimento]])</f>
        <v>19</v>
      </c>
      <c r="E17">
        <f>MINUTE(Tabela33[[#This Row],[Data de Nascimento]])</f>
        <v>10</v>
      </c>
      <c r="F17">
        <f>SECOND(Tabela33[[#This Row],[Data de Nascimento]])</f>
        <v>22</v>
      </c>
    </row>
    <row r="18" spans="2:6" ht="18" customHeight="1">
      <c r="B18" s="216" t="s">
        <v>577</v>
      </c>
      <c r="C18" s="217">
        <v>33779.173576388886</v>
      </c>
      <c r="D18">
        <f>HOUR(Tabela33[[#This Row],[Data de Nascimento]])</f>
        <v>4</v>
      </c>
      <c r="E18">
        <f>MINUTE(Tabela33[[#This Row],[Data de Nascimento]])</f>
        <v>9</v>
      </c>
      <c r="F18">
        <f>SECOND(Tabela33[[#This Row],[Data de Nascimento]])</f>
        <v>57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70C0"/>
  </sheetPr>
  <dimension ref="B3:G23"/>
  <sheetViews>
    <sheetView topLeftCell="A3" zoomScaleNormal="100" workbookViewId="0">
      <selection activeCell="G4" sqref="G4:G18"/>
    </sheetView>
  </sheetViews>
  <sheetFormatPr defaultRowHeight="18" customHeight="1"/>
  <cols>
    <col min="2" max="2" width="11.85546875" customWidth="1"/>
    <col min="3" max="3" width="23.140625" bestFit="1" customWidth="1"/>
    <col min="4" max="6" width="12" customWidth="1"/>
    <col min="7" max="7" width="9.5703125" bestFit="1" customWidth="1"/>
  </cols>
  <sheetData>
    <row r="3" spans="2:7" ht="18" customHeight="1">
      <c r="B3" s="1" t="s">
        <v>563</v>
      </c>
      <c r="C3" s="1" t="s">
        <v>258</v>
      </c>
      <c r="D3" s="1" t="s">
        <v>564</v>
      </c>
      <c r="E3" s="1" t="s">
        <v>442</v>
      </c>
      <c r="F3" s="1" t="s">
        <v>441</v>
      </c>
      <c r="G3" s="1" t="s">
        <v>1087</v>
      </c>
    </row>
    <row r="4" spans="2:7" ht="18" customHeight="1">
      <c r="B4" s="216" t="s">
        <v>430</v>
      </c>
      <c r="C4" s="217">
        <v>25335.390636574073</v>
      </c>
      <c r="D4">
        <f>DAY(Tabela3335[[#This Row],[Data de Nascimento]])</f>
        <v>12</v>
      </c>
      <c r="E4">
        <f>MONTH(Tabela3335[[#This Row],[Data de Nascimento]])</f>
        <v>5</v>
      </c>
      <c r="F4">
        <f>YEAR(Tabela3335[[#This Row],[Data de Nascimento]])</f>
        <v>1969</v>
      </c>
      <c r="G4" s="607">
        <f>Tabela3335[[#This Row],[Data de Nascimento]]</f>
        <v>25335.390636574073</v>
      </c>
    </row>
    <row r="5" spans="2:7" ht="18" customHeight="1">
      <c r="B5" s="216" t="s">
        <v>565</v>
      </c>
      <c r="C5" s="217">
        <v>29340.900960648149</v>
      </c>
      <c r="D5">
        <f>DAY(Tabela3335[[#This Row],[Data de Nascimento]])</f>
        <v>29</v>
      </c>
      <c r="E5">
        <f>MONTH(Tabela3335[[#This Row],[Data de Nascimento]])</f>
        <v>4</v>
      </c>
      <c r="F5">
        <f>YEAR(Tabela3335[[#This Row],[Data de Nascimento]])</f>
        <v>1980</v>
      </c>
      <c r="G5" s="607">
        <f>Tabela3335[[#This Row],[Data de Nascimento]]</f>
        <v>29340.900960648149</v>
      </c>
    </row>
    <row r="6" spans="2:7" ht="18" customHeight="1">
      <c r="B6" s="216" t="s">
        <v>539</v>
      </c>
      <c r="C6" s="217">
        <v>32423.573935185184</v>
      </c>
      <c r="D6">
        <f>DAY(Tabela3335[[#This Row],[Data de Nascimento]])</f>
        <v>7</v>
      </c>
      <c r="E6">
        <f>MONTH(Tabela3335[[#This Row],[Data de Nascimento]])</f>
        <v>10</v>
      </c>
      <c r="F6">
        <f>YEAR(Tabela3335[[#This Row],[Data de Nascimento]])</f>
        <v>1988</v>
      </c>
      <c r="G6" s="607">
        <f>Tabela3335[[#This Row],[Data de Nascimento]]</f>
        <v>32423.573935185184</v>
      </c>
    </row>
    <row r="7" spans="2:7" ht="18" customHeight="1">
      <c r="B7" s="216" t="s">
        <v>566</v>
      </c>
      <c r="C7" s="217">
        <v>19001.477974537036</v>
      </c>
      <c r="D7">
        <f>DAY(Tabela3335[[#This Row],[Data de Nascimento]])</f>
        <v>8</v>
      </c>
      <c r="E7">
        <f>MONTH(Tabela3335[[#This Row],[Data de Nascimento]])</f>
        <v>1</v>
      </c>
      <c r="F7">
        <f>YEAR(Tabela3335[[#This Row],[Data de Nascimento]])</f>
        <v>1952</v>
      </c>
      <c r="G7" s="607">
        <f>Tabela3335[[#This Row],[Data de Nascimento]]</f>
        <v>19001.477974537036</v>
      </c>
    </row>
    <row r="8" spans="2:7" ht="18" customHeight="1">
      <c r="B8" s="216" t="s">
        <v>567</v>
      </c>
      <c r="C8" s="217">
        <v>23131.866516203703</v>
      </c>
      <c r="D8">
        <f>DAY(Tabela3335[[#This Row],[Data de Nascimento]])</f>
        <v>30</v>
      </c>
      <c r="E8">
        <f>MONTH(Tabela3335[[#This Row],[Data de Nascimento]])</f>
        <v>4</v>
      </c>
      <c r="F8">
        <f>YEAR(Tabela3335[[#This Row],[Data de Nascimento]])</f>
        <v>1963</v>
      </c>
      <c r="G8" s="607">
        <f>Tabela3335[[#This Row],[Data de Nascimento]]</f>
        <v>23131.866516203703</v>
      </c>
    </row>
    <row r="9" spans="2:7" ht="18" customHeight="1">
      <c r="B9" s="216" t="s">
        <v>568</v>
      </c>
      <c r="C9" s="217">
        <v>20321.661689814813</v>
      </c>
      <c r="D9">
        <f>DAY(Tabela3335[[#This Row],[Data de Nascimento]])</f>
        <v>20</v>
      </c>
      <c r="E9">
        <f>MONTH(Tabela3335[[#This Row],[Data de Nascimento]])</f>
        <v>8</v>
      </c>
      <c r="F9">
        <f>YEAR(Tabela3335[[#This Row],[Data de Nascimento]])</f>
        <v>1955</v>
      </c>
      <c r="G9" s="607">
        <f>Tabela3335[[#This Row],[Data de Nascimento]]</f>
        <v>20321.661689814813</v>
      </c>
    </row>
    <row r="10" spans="2:7" ht="18" customHeight="1">
      <c r="B10" s="216" t="s">
        <v>569</v>
      </c>
      <c r="C10" s="217">
        <v>33999.367372685185</v>
      </c>
      <c r="D10">
        <f>DAY(Tabela3335[[#This Row],[Data de Nascimento]])</f>
        <v>30</v>
      </c>
      <c r="E10">
        <f>MONTH(Tabela3335[[#This Row],[Data de Nascimento]])</f>
        <v>1</v>
      </c>
      <c r="F10" s="218">
        <f>YEAR(Tabela3335[[#This Row],[Data de Nascimento]])</f>
        <v>1993</v>
      </c>
      <c r="G10" s="607">
        <f>Tabela3335[[#This Row],[Data de Nascimento]]</f>
        <v>33999.367372685185</v>
      </c>
    </row>
    <row r="11" spans="2:7" ht="18" customHeight="1">
      <c r="B11" s="216" t="s">
        <v>570</v>
      </c>
      <c r="C11" s="217">
        <v>29792.137673611112</v>
      </c>
      <c r="D11">
        <f>DAY(Tabela3335[[#This Row],[Data de Nascimento]])</f>
        <v>25</v>
      </c>
      <c r="E11">
        <f>MONTH(Tabela3335[[#This Row],[Data de Nascimento]])</f>
        <v>7</v>
      </c>
      <c r="F11">
        <f>YEAR(Tabela3335[[#This Row],[Data de Nascimento]])</f>
        <v>1981</v>
      </c>
      <c r="G11" s="607">
        <f>Tabela3335[[#This Row],[Data de Nascimento]]</f>
        <v>29792.137673611112</v>
      </c>
    </row>
    <row r="12" spans="2:7" ht="18" customHeight="1">
      <c r="B12" s="216" t="s">
        <v>571</v>
      </c>
      <c r="C12" s="217">
        <v>18390.641145833335</v>
      </c>
      <c r="D12">
        <f>DAY(Tabela3335[[#This Row],[Data de Nascimento]])</f>
        <v>7</v>
      </c>
      <c r="E12">
        <f>MONTH(Tabela3335[[#This Row],[Data de Nascimento]])</f>
        <v>5</v>
      </c>
      <c r="F12">
        <f>YEAR(Tabela3335[[#This Row],[Data de Nascimento]])</f>
        <v>1950</v>
      </c>
      <c r="G12" s="607">
        <f>Tabela3335[[#This Row],[Data de Nascimento]]</f>
        <v>18390.641145833335</v>
      </c>
    </row>
    <row r="13" spans="2:7" ht="18" customHeight="1">
      <c r="B13" s="216" t="s">
        <v>572</v>
      </c>
      <c r="C13" s="217">
        <v>29037.920555555556</v>
      </c>
      <c r="D13">
        <f>DAY(Tabela3335[[#This Row],[Data de Nascimento]])</f>
        <v>1</v>
      </c>
      <c r="E13">
        <f>MONTH(Tabela3335[[#This Row],[Data de Nascimento]])</f>
        <v>7</v>
      </c>
      <c r="F13">
        <f>YEAR(Tabela3335[[#This Row],[Data de Nascimento]])</f>
        <v>1979</v>
      </c>
      <c r="G13" s="607">
        <f>Tabela3335[[#This Row],[Data de Nascimento]]</f>
        <v>29037.920555555556</v>
      </c>
    </row>
    <row r="14" spans="2:7" ht="18" customHeight="1">
      <c r="B14" s="216" t="s">
        <v>573</v>
      </c>
      <c r="C14" s="217">
        <v>28014.10258101852</v>
      </c>
      <c r="D14">
        <f>DAY(Tabela3335[[#This Row],[Data de Nascimento]])</f>
        <v>11</v>
      </c>
      <c r="E14">
        <f>MONTH(Tabela3335[[#This Row],[Data de Nascimento]])</f>
        <v>9</v>
      </c>
      <c r="F14">
        <f>YEAR(Tabela3335[[#This Row],[Data de Nascimento]])</f>
        <v>1976</v>
      </c>
      <c r="G14" s="607">
        <f>Tabela3335[[#This Row],[Data de Nascimento]]</f>
        <v>28014.10258101852</v>
      </c>
    </row>
    <row r="15" spans="2:7" ht="18" customHeight="1">
      <c r="B15" s="216" t="s">
        <v>574</v>
      </c>
      <c r="C15" s="217">
        <v>26503.226817129631</v>
      </c>
      <c r="D15">
        <f>DAY(Tabela3335[[#This Row],[Data de Nascimento]])</f>
        <v>23</v>
      </c>
      <c r="E15">
        <f>MONTH(Tabela3335[[#This Row],[Data de Nascimento]])</f>
        <v>7</v>
      </c>
      <c r="F15">
        <f>YEAR(Tabela3335[[#This Row],[Data de Nascimento]])</f>
        <v>1972</v>
      </c>
      <c r="G15" s="607">
        <f>Tabela3335[[#This Row],[Data de Nascimento]]</f>
        <v>26503.226817129631</v>
      </c>
    </row>
    <row r="16" spans="2:7" ht="18" customHeight="1">
      <c r="B16" s="216" t="s">
        <v>575</v>
      </c>
      <c r="C16" s="217">
        <v>29222.499282407407</v>
      </c>
      <c r="D16">
        <f>DAY(Tabela3335[[#This Row],[Data de Nascimento]])</f>
        <v>2</v>
      </c>
      <c r="E16">
        <f>MONTH(Tabela3335[[#This Row],[Data de Nascimento]])</f>
        <v>1</v>
      </c>
      <c r="F16">
        <f>YEAR(Tabela3335[[#This Row],[Data de Nascimento]])</f>
        <v>1980</v>
      </c>
      <c r="G16" s="607">
        <f>Tabela3335[[#This Row],[Data de Nascimento]]</f>
        <v>29222.499282407407</v>
      </c>
    </row>
    <row r="17" spans="2:7" ht="18" customHeight="1">
      <c r="B17" s="216" t="s">
        <v>576</v>
      </c>
      <c r="C17" s="217">
        <v>19471.79886574074</v>
      </c>
      <c r="D17">
        <f>DAY(Tabela3335[[#This Row],[Data de Nascimento]])</f>
        <v>22</v>
      </c>
      <c r="E17">
        <f>MONTH(Tabela3335[[#This Row],[Data de Nascimento]])</f>
        <v>4</v>
      </c>
      <c r="F17">
        <f>YEAR(Tabela3335[[#This Row],[Data de Nascimento]])</f>
        <v>1953</v>
      </c>
      <c r="G17" s="607">
        <f>Tabela3335[[#This Row],[Data de Nascimento]]</f>
        <v>19471.79886574074</v>
      </c>
    </row>
    <row r="18" spans="2:7" ht="18" customHeight="1">
      <c r="B18" s="216" t="s">
        <v>577</v>
      </c>
      <c r="C18" s="217">
        <v>33779.173576388886</v>
      </c>
      <c r="D18">
        <f>DAY(Tabela3335[[#This Row],[Data de Nascimento]])</f>
        <v>24</v>
      </c>
      <c r="E18">
        <f>MONTH(Tabela3335[[#This Row],[Data de Nascimento]])</f>
        <v>6</v>
      </c>
      <c r="F18">
        <f>YEAR(Tabela3335[[#This Row],[Data de Nascimento]])</f>
        <v>1992</v>
      </c>
      <c r="G18" s="607">
        <f>Tabela3335[[#This Row],[Data de Nascimento]]</f>
        <v>33779.173576388886</v>
      </c>
    </row>
    <row r="21" spans="2:7" ht="18" customHeight="1">
      <c r="C21" s="53"/>
    </row>
    <row r="22" spans="2:7" ht="18" customHeight="1">
      <c r="C22" s="53"/>
    </row>
    <row r="23" spans="2:7" ht="18" customHeight="1">
      <c r="E23">
        <f>YEAR(C22)-YEAR(C21)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70C0"/>
  </sheetPr>
  <dimension ref="B1:F18"/>
  <sheetViews>
    <sheetView zoomScaleNormal="100" workbookViewId="0">
      <selection activeCell="Q21" sqref="Q21"/>
    </sheetView>
  </sheetViews>
  <sheetFormatPr defaultRowHeight="18" customHeight="1"/>
  <cols>
    <col min="2" max="2" width="13" customWidth="1"/>
    <col min="3" max="5" width="7.85546875" customWidth="1"/>
    <col min="6" max="6" width="17.140625" customWidth="1"/>
  </cols>
  <sheetData>
    <row r="1" spans="2:6" ht="18" customHeight="1" thickBot="1"/>
    <row r="2" spans="2:6" ht="27" customHeight="1" thickBot="1">
      <c r="B2" s="804" t="s">
        <v>966</v>
      </c>
      <c r="C2" s="805"/>
      <c r="D2" s="805"/>
      <c r="E2" s="805"/>
      <c r="F2" s="806"/>
    </row>
    <row r="3" spans="2:6" ht="18" customHeight="1" thickBot="1">
      <c r="B3" s="178" t="s">
        <v>563</v>
      </c>
      <c r="C3" s="146" t="s">
        <v>564</v>
      </c>
      <c r="D3" s="146" t="s">
        <v>442</v>
      </c>
      <c r="E3" s="146" t="s">
        <v>441</v>
      </c>
      <c r="F3" s="146" t="s">
        <v>581</v>
      </c>
    </row>
    <row r="4" spans="2:6" ht="18" customHeight="1" thickTop="1">
      <c r="B4" s="321" t="s">
        <v>565</v>
      </c>
      <c r="C4" s="319">
        <v>29</v>
      </c>
      <c r="D4" s="319">
        <v>4</v>
      </c>
      <c r="E4" s="319">
        <v>1980</v>
      </c>
      <c r="F4" s="336">
        <f>DATE(E4,D4,C4)</f>
        <v>29340</v>
      </c>
    </row>
    <row r="5" spans="2:6" ht="18" customHeight="1">
      <c r="B5" s="322" t="s">
        <v>567</v>
      </c>
      <c r="C5" s="320">
        <v>30</v>
      </c>
      <c r="D5" s="320">
        <v>4</v>
      </c>
      <c r="E5" s="320">
        <v>1963</v>
      </c>
      <c r="F5" s="462">
        <f t="shared" ref="F5:F18" si="0">DATE(E5,D5,C5)</f>
        <v>23131</v>
      </c>
    </row>
    <row r="6" spans="2:6" ht="18" customHeight="1">
      <c r="B6" s="323" t="s">
        <v>568</v>
      </c>
      <c r="C6" s="318">
        <v>20</v>
      </c>
      <c r="D6" s="318">
        <v>8</v>
      </c>
      <c r="E6" s="318">
        <v>1955</v>
      </c>
      <c r="F6" s="336">
        <f t="shared" si="0"/>
        <v>20321</v>
      </c>
    </row>
    <row r="7" spans="2:6" ht="18" customHeight="1">
      <c r="B7" s="322" t="s">
        <v>566</v>
      </c>
      <c r="C7" s="320">
        <v>8</v>
      </c>
      <c r="D7" s="320">
        <v>1</v>
      </c>
      <c r="E7" s="320">
        <v>1952</v>
      </c>
      <c r="F7" s="462">
        <f t="shared" si="0"/>
        <v>19001</v>
      </c>
    </row>
    <row r="8" spans="2:6" ht="18" customHeight="1">
      <c r="B8" s="323" t="s">
        <v>570</v>
      </c>
      <c r="C8" s="318">
        <v>25</v>
      </c>
      <c r="D8" s="318">
        <v>7</v>
      </c>
      <c r="E8" s="318">
        <v>1981</v>
      </c>
      <c r="F8" s="336">
        <f t="shared" si="0"/>
        <v>29792</v>
      </c>
    </row>
    <row r="9" spans="2:6" ht="18" customHeight="1">
      <c r="B9" s="322" t="s">
        <v>430</v>
      </c>
      <c r="C9" s="320">
        <v>12</v>
      </c>
      <c r="D9" s="320">
        <v>5</v>
      </c>
      <c r="E9" s="320">
        <v>1969</v>
      </c>
      <c r="F9" s="462">
        <f t="shared" si="0"/>
        <v>25335</v>
      </c>
    </row>
    <row r="10" spans="2:6" ht="18" customHeight="1">
      <c r="B10" s="323" t="s">
        <v>571</v>
      </c>
      <c r="C10" s="318">
        <v>7</v>
      </c>
      <c r="D10" s="318">
        <v>5</v>
      </c>
      <c r="E10" s="318">
        <v>1950</v>
      </c>
      <c r="F10" s="336">
        <f t="shared" si="0"/>
        <v>18390</v>
      </c>
    </row>
    <row r="11" spans="2:6" ht="18" customHeight="1">
      <c r="B11" s="322" t="s">
        <v>572</v>
      </c>
      <c r="C11" s="320">
        <v>1</v>
      </c>
      <c r="D11" s="320">
        <v>7</v>
      </c>
      <c r="E11" s="320">
        <v>1979</v>
      </c>
      <c r="F11" s="462">
        <f t="shared" si="0"/>
        <v>29037</v>
      </c>
    </row>
    <row r="12" spans="2:6" ht="18" customHeight="1">
      <c r="B12" s="323" t="s">
        <v>575</v>
      </c>
      <c r="C12" s="318">
        <v>2</v>
      </c>
      <c r="D12" s="318">
        <v>1</v>
      </c>
      <c r="E12" s="318">
        <v>1980</v>
      </c>
      <c r="F12" s="336">
        <f t="shared" si="0"/>
        <v>29222</v>
      </c>
    </row>
    <row r="13" spans="2:6" ht="18" customHeight="1">
      <c r="B13" s="322" t="s">
        <v>576</v>
      </c>
      <c r="C13" s="320">
        <v>22</v>
      </c>
      <c r="D13" s="320">
        <v>4</v>
      </c>
      <c r="E13" s="320">
        <v>1953</v>
      </c>
      <c r="F13" s="462">
        <f t="shared" si="0"/>
        <v>19471</v>
      </c>
    </row>
    <row r="14" spans="2:6" ht="18" customHeight="1">
      <c r="B14" s="323" t="s">
        <v>577</v>
      </c>
      <c r="C14" s="318">
        <v>24</v>
      </c>
      <c r="D14" s="318">
        <v>6</v>
      </c>
      <c r="E14" s="318">
        <v>1992</v>
      </c>
      <c r="F14" s="336">
        <f t="shared" si="0"/>
        <v>33779</v>
      </c>
    </row>
    <row r="15" spans="2:6" ht="18" customHeight="1">
      <c r="B15" s="322" t="s">
        <v>573</v>
      </c>
      <c r="C15" s="320">
        <v>11</v>
      </c>
      <c r="D15" s="320">
        <v>9</v>
      </c>
      <c r="E15" s="320">
        <v>1976</v>
      </c>
      <c r="F15" s="462">
        <f t="shared" si="0"/>
        <v>28014</v>
      </c>
    </row>
    <row r="16" spans="2:6" ht="18" customHeight="1">
      <c r="B16" s="323" t="s">
        <v>574</v>
      </c>
      <c r="C16" s="318">
        <v>23</v>
      </c>
      <c r="D16" s="318">
        <v>7</v>
      </c>
      <c r="E16" s="318">
        <v>1972</v>
      </c>
      <c r="F16" s="336">
        <f t="shared" si="0"/>
        <v>26503</v>
      </c>
    </row>
    <row r="17" spans="2:6" ht="18" customHeight="1">
      <c r="B17" s="322" t="s">
        <v>539</v>
      </c>
      <c r="C17" s="320">
        <v>7</v>
      </c>
      <c r="D17" s="320">
        <v>10</v>
      </c>
      <c r="E17" s="320">
        <v>1988</v>
      </c>
      <c r="F17" s="462">
        <f t="shared" si="0"/>
        <v>32423</v>
      </c>
    </row>
    <row r="18" spans="2:6" ht="18" customHeight="1">
      <c r="B18" s="323" t="s">
        <v>569</v>
      </c>
      <c r="C18" s="318">
        <v>30</v>
      </c>
      <c r="D18" s="318">
        <v>1</v>
      </c>
      <c r="E18" s="324">
        <v>1993</v>
      </c>
      <c r="F18" s="463">
        <f t="shared" si="0"/>
        <v>33999</v>
      </c>
    </row>
  </sheetData>
  <mergeCells count="1">
    <mergeCell ref="B2:F2"/>
  </mergeCells>
  <pageMargins left="0.511811024" right="0.511811024" top="0.78740157499999996" bottom="0.78740157499999996" header="0.31496062000000002" footer="0.3149606200000000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B3B2-B3F7-48C2-9A88-B6E77FC86457}">
  <sheetPr>
    <tabColor rgb="FF0B7406"/>
  </sheetPr>
  <dimension ref="A1:X18"/>
  <sheetViews>
    <sheetView showGridLines="0" zoomScale="70" zoomScaleNormal="70" workbookViewId="0">
      <selection activeCell="X7" sqref="X7"/>
    </sheetView>
  </sheetViews>
  <sheetFormatPr defaultRowHeight="15"/>
  <cols>
    <col min="1" max="1" width="3.140625" customWidth="1"/>
    <col min="2" max="2" width="16.42578125" customWidth="1"/>
    <col min="3" max="3" width="18.7109375" bestFit="1" customWidth="1"/>
    <col min="4" max="4" width="15" customWidth="1"/>
    <col min="5" max="5" width="7" bestFit="1" customWidth="1"/>
    <col min="6" max="6" width="22.7109375" bestFit="1" customWidth="1"/>
    <col min="7" max="7" width="24.7109375" bestFit="1" customWidth="1"/>
    <col min="8" max="8" width="16.7109375" bestFit="1" customWidth="1"/>
    <col min="9" max="9" width="18.7109375" bestFit="1" customWidth="1"/>
    <col min="10" max="10" width="17.42578125" bestFit="1" customWidth="1"/>
    <col min="11" max="11" width="16.140625" bestFit="1" customWidth="1"/>
    <col min="12" max="12" width="19.140625" bestFit="1" customWidth="1"/>
    <col min="13" max="13" width="28.140625" bestFit="1" customWidth="1"/>
    <col min="14" max="14" width="10.5703125" bestFit="1" customWidth="1"/>
    <col min="15" max="15" width="16.7109375" bestFit="1" customWidth="1"/>
    <col min="16" max="16" width="24.7109375" bestFit="1" customWidth="1"/>
    <col min="17" max="17" width="10" customWidth="1"/>
    <col min="18" max="18" width="16.5703125" customWidth="1"/>
    <col min="19" max="19" width="12.7109375" customWidth="1"/>
    <col min="20" max="20" width="21.42578125" customWidth="1"/>
    <col min="21" max="21" width="17.7109375" bestFit="1" customWidth="1"/>
  </cols>
  <sheetData>
    <row r="1" spans="1:24" s="640" customFormat="1" ht="57.75" customHeight="1">
      <c r="A1" s="642"/>
      <c r="B1" s="642"/>
      <c r="C1" s="642"/>
      <c r="D1" s="807" t="s">
        <v>1094</v>
      </c>
      <c r="E1" s="807"/>
      <c r="F1" s="807"/>
      <c r="G1" s="807"/>
      <c r="H1" s="807"/>
      <c r="I1" s="807"/>
      <c r="J1" s="807"/>
      <c r="K1" s="807"/>
      <c r="L1" s="807"/>
      <c r="M1" s="807"/>
      <c r="N1" s="807"/>
      <c r="O1" s="807"/>
      <c r="P1" s="807"/>
      <c r="Q1" s="807"/>
      <c r="R1" s="807"/>
      <c r="S1" s="807"/>
      <c r="T1" s="807"/>
      <c r="U1" s="807"/>
      <c r="V1" s="807"/>
      <c r="W1" s="642"/>
      <c r="X1" s="641"/>
    </row>
    <row r="3" spans="1:24" ht="18" customHeight="1"/>
    <row r="5" spans="1:24" ht="19.5" customHeight="1">
      <c r="C5" s="808" t="s">
        <v>1090</v>
      </c>
      <c r="D5" s="808"/>
      <c r="E5" s="808"/>
      <c r="F5" s="808"/>
      <c r="I5" s="808" t="s">
        <v>1091</v>
      </c>
      <c r="J5" s="808"/>
      <c r="K5" s="808"/>
      <c r="L5" s="808"/>
      <c r="M5" s="808"/>
      <c r="P5" s="808" t="s">
        <v>1092</v>
      </c>
      <c r="Q5" s="808"/>
      <c r="R5" s="808"/>
      <c r="S5" s="808"/>
      <c r="T5" s="808"/>
      <c r="U5" s="808"/>
    </row>
    <row r="6" spans="1:24" ht="15.75" thickBot="1">
      <c r="B6" s="386"/>
      <c r="C6" s="386" t="s">
        <v>187</v>
      </c>
      <c r="D6" s="387" t="s">
        <v>762</v>
      </c>
      <c r="E6" s="387" t="s">
        <v>442</v>
      </c>
      <c r="F6" s="386" t="s">
        <v>876</v>
      </c>
      <c r="I6" s="639" t="s">
        <v>755</v>
      </c>
      <c r="J6" s="614" t="s">
        <v>754</v>
      </c>
      <c r="K6" s="614" t="s">
        <v>330</v>
      </c>
      <c r="L6" s="614" t="s">
        <v>564</v>
      </c>
      <c r="M6" s="639" t="s">
        <v>877</v>
      </c>
      <c r="P6" s="623" t="s">
        <v>109</v>
      </c>
      <c r="Q6" s="624" t="s">
        <v>111</v>
      </c>
      <c r="R6" s="624" t="s">
        <v>763</v>
      </c>
      <c r="S6" s="624" t="s">
        <v>441</v>
      </c>
      <c r="T6" s="625" t="s">
        <v>1088</v>
      </c>
      <c r="U6" s="624" t="s">
        <v>1093</v>
      </c>
    </row>
    <row r="7" spans="1:24" ht="15.75" thickTop="1">
      <c r="B7" s="388"/>
      <c r="C7" s="388" t="s">
        <v>710</v>
      </c>
      <c r="D7" s="389">
        <v>41645</v>
      </c>
      <c r="E7" s="390">
        <f>MONTH(Tabela35[[#This Row],[Aniversário]])</f>
        <v>1</v>
      </c>
      <c r="F7" s="608">
        <f>Tabela35[[#This Row],[Aniversário]]</f>
        <v>41645</v>
      </c>
      <c r="I7" s="615" t="s">
        <v>74</v>
      </c>
      <c r="J7" s="616">
        <v>45601</v>
      </c>
      <c r="K7" s="617">
        <v>78.430000000000007</v>
      </c>
      <c r="L7" s="398">
        <f>DAY(Tabela3659[[#This Row],[Vencimento]])</f>
        <v>5</v>
      </c>
      <c r="M7" s="618">
        <f>Tabela3659[[#This Row],[Vencimento]]</f>
        <v>45601</v>
      </c>
      <c r="P7" s="630">
        <v>997</v>
      </c>
      <c r="Q7" s="631" t="s">
        <v>770</v>
      </c>
      <c r="R7" s="632">
        <v>45292</v>
      </c>
      <c r="S7" s="627">
        <v>2024</v>
      </c>
      <c r="T7" s="633">
        <v>45292</v>
      </c>
      <c r="U7" s="113">
        <v>588</v>
      </c>
    </row>
    <row r="8" spans="1:24">
      <c r="B8" s="391"/>
      <c r="C8" s="391" t="s">
        <v>468</v>
      </c>
      <c r="D8" s="392">
        <v>22017</v>
      </c>
      <c r="E8" s="393">
        <f>MONTH(Tabela35[[#This Row],[Aniversário]])</f>
        <v>4</v>
      </c>
      <c r="F8" s="609">
        <f>Tabela35[[#This Row],[Aniversário]]</f>
        <v>22017</v>
      </c>
      <c r="I8" s="619" t="s">
        <v>758</v>
      </c>
      <c r="J8" s="620">
        <v>45606</v>
      </c>
      <c r="K8" s="621">
        <v>800</v>
      </c>
      <c r="L8" s="402">
        <f>DAY(Tabela3659[[#This Row],[Vencimento]])</f>
        <v>10</v>
      </c>
      <c r="M8" s="622">
        <f>Tabela3659[[#This Row],[Vencimento]]</f>
        <v>45606</v>
      </c>
      <c r="P8" s="630">
        <v>88</v>
      </c>
      <c r="Q8" s="631" t="s">
        <v>770</v>
      </c>
      <c r="R8" s="632">
        <v>45295</v>
      </c>
      <c r="S8" s="627">
        <v>2024</v>
      </c>
      <c r="T8" s="633">
        <v>45295</v>
      </c>
      <c r="U8" s="113">
        <v>700</v>
      </c>
    </row>
    <row r="9" spans="1:24" hidden="1">
      <c r="B9" s="391"/>
      <c r="C9" s="391" t="s">
        <v>711</v>
      </c>
      <c r="D9" s="392">
        <v>43208</v>
      </c>
      <c r="E9" s="393">
        <f>MONTH(Tabela35[[#This Row],[Aniversário]])</f>
        <v>4</v>
      </c>
      <c r="F9" s="609">
        <f>Tabela35[[#This Row],[Aniversário]]</f>
        <v>43208</v>
      </c>
      <c r="I9" s="619" t="s">
        <v>757</v>
      </c>
      <c r="J9" s="620">
        <v>45626</v>
      </c>
      <c r="K9" s="621">
        <v>980</v>
      </c>
      <c r="L9" s="402">
        <f>DAY(Tabela3659[[#This Row],[Vencimento]])</f>
        <v>30</v>
      </c>
      <c r="M9" s="622">
        <f>Tabela3659[[#This Row],[Vencimento]]</f>
        <v>45626</v>
      </c>
      <c r="P9" s="626">
        <v>45</v>
      </c>
      <c r="Q9" s="627" t="s">
        <v>769</v>
      </c>
      <c r="R9" s="628">
        <v>45310</v>
      </c>
      <c r="S9" s="627">
        <v>2024</v>
      </c>
      <c r="T9" s="629">
        <v>45310</v>
      </c>
      <c r="U9" s="113">
        <v>1000</v>
      </c>
    </row>
    <row r="10" spans="1:24" hidden="1">
      <c r="B10" s="391"/>
      <c r="C10" s="391" t="s">
        <v>586</v>
      </c>
      <c r="D10" s="392">
        <v>31320</v>
      </c>
      <c r="E10" s="393">
        <f>MONTH(Tabela35[[#This Row],[Aniversário]])</f>
        <v>9</v>
      </c>
      <c r="F10" s="609">
        <f>Tabela35[[#This Row],[Aniversário]]</f>
        <v>31320</v>
      </c>
      <c r="I10" s="619" t="s">
        <v>759</v>
      </c>
      <c r="J10" s="620">
        <v>45616</v>
      </c>
      <c r="K10" s="621">
        <v>748.85</v>
      </c>
      <c r="L10" s="402">
        <f>DAY(Tabela3659[[#This Row],[Vencimento]])</f>
        <v>20</v>
      </c>
      <c r="M10" s="622">
        <f>Tabela3659[[#This Row],[Vencimento]]</f>
        <v>45616</v>
      </c>
      <c r="P10" s="626">
        <v>13</v>
      </c>
      <c r="Q10" s="627" t="s">
        <v>767</v>
      </c>
      <c r="R10" s="628">
        <v>45350</v>
      </c>
      <c r="S10" s="627">
        <v>2024</v>
      </c>
      <c r="T10" s="629">
        <v>45350</v>
      </c>
      <c r="U10" s="113">
        <v>258</v>
      </c>
    </row>
    <row r="11" spans="1:24" ht="15.75" hidden="1" thickTop="1">
      <c r="B11" s="391"/>
      <c r="C11" s="391" t="s">
        <v>583</v>
      </c>
      <c r="D11" s="392">
        <v>24916</v>
      </c>
      <c r="E11" s="393">
        <f>MONTH(Tabela35[[#This Row],[Aniversário]])</f>
        <v>3</v>
      </c>
      <c r="F11" s="609">
        <f>Tabela35[[#This Row],[Aniversário]]</f>
        <v>24916</v>
      </c>
      <c r="I11" s="619" t="s">
        <v>756</v>
      </c>
      <c r="J11" s="620">
        <v>45601</v>
      </c>
      <c r="K11" s="621">
        <v>345.5</v>
      </c>
      <c r="L11" s="402">
        <f>DAY(Tabela3659[[#This Row],[Vencimento]])</f>
        <v>5</v>
      </c>
      <c r="M11" s="622">
        <f>Tabela3659[[#This Row],[Vencimento]]</f>
        <v>45601</v>
      </c>
      <c r="P11" s="626">
        <v>55</v>
      </c>
      <c r="Q11" s="634" t="s">
        <v>766</v>
      </c>
      <c r="R11" s="628">
        <v>45383</v>
      </c>
      <c r="S11" s="627">
        <v>2024</v>
      </c>
      <c r="T11" s="629">
        <v>45383</v>
      </c>
      <c r="U11" s="113">
        <v>900</v>
      </c>
    </row>
    <row r="12" spans="1:24" hidden="1">
      <c r="B12" s="391"/>
      <c r="C12" s="391" t="s">
        <v>760</v>
      </c>
      <c r="D12" s="392">
        <v>34446</v>
      </c>
      <c r="E12" s="393">
        <f>MONTH(Tabela35[[#This Row],[Aniversário]])</f>
        <v>4</v>
      </c>
      <c r="F12" s="609">
        <f>Tabela35[[#This Row],[Aniversário]]</f>
        <v>34446</v>
      </c>
      <c r="I12" s="619" t="s">
        <v>75</v>
      </c>
      <c r="J12" s="620">
        <v>45602</v>
      </c>
      <c r="K12" s="621">
        <v>158.84</v>
      </c>
      <c r="L12" s="402">
        <f>DAY(Tabela3659[[#This Row],[Vencimento]])</f>
        <v>6</v>
      </c>
      <c r="M12" s="622">
        <f>Tabela3659[[#This Row],[Vencimento]]</f>
        <v>45602</v>
      </c>
      <c r="P12" s="630">
        <v>77</v>
      </c>
      <c r="Q12" s="631" t="s">
        <v>766</v>
      </c>
      <c r="R12" s="632">
        <v>45383</v>
      </c>
      <c r="S12" s="627">
        <v>2024</v>
      </c>
      <c r="T12" s="633">
        <v>45383</v>
      </c>
      <c r="U12" s="113">
        <v>200</v>
      </c>
    </row>
    <row r="13" spans="1:24">
      <c r="B13" s="391"/>
      <c r="C13" s="391" t="s">
        <v>761</v>
      </c>
      <c r="D13" s="392">
        <v>39226</v>
      </c>
      <c r="E13" s="393">
        <f>MONTH(Tabela35[[#This Row],[Aniversário]])</f>
        <v>5</v>
      </c>
      <c r="F13" s="609">
        <f>Tabela35[[#This Row],[Aniversário]]</f>
        <v>39226</v>
      </c>
      <c r="I13" s="619" t="s">
        <v>245</v>
      </c>
      <c r="J13" s="620">
        <v>45601</v>
      </c>
      <c r="K13" s="621">
        <v>128.47999999999999</v>
      </c>
      <c r="L13" s="402">
        <f>DAY(Tabela3659[[#This Row],[Vencimento]])</f>
        <v>5</v>
      </c>
      <c r="M13" s="622">
        <f>Tabela3659[[#This Row],[Vencimento]]</f>
        <v>45601</v>
      </c>
      <c r="P13" s="630">
        <v>123</v>
      </c>
      <c r="Q13" s="631" t="s">
        <v>768</v>
      </c>
      <c r="R13" s="632">
        <v>45413</v>
      </c>
      <c r="S13" s="627">
        <v>2024</v>
      </c>
      <c r="T13" s="633">
        <v>45413</v>
      </c>
      <c r="U13" s="113">
        <v>2000</v>
      </c>
    </row>
    <row r="14" spans="1:24" hidden="1">
      <c r="B14" s="391"/>
      <c r="C14" s="391" t="s">
        <v>984</v>
      </c>
      <c r="D14" s="392">
        <v>31724</v>
      </c>
      <c r="E14" s="393">
        <f>MONTH(Tabela35[[#This Row],[Aniversário]])</f>
        <v>11</v>
      </c>
      <c r="F14" s="609">
        <f>Tabela35[[#This Row],[Aniversário]]</f>
        <v>31724</v>
      </c>
      <c r="P14" s="626">
        <v>18</v>
      </c>
      <c r="Q14" s="627" t="s">
        <v>766</v>
      </c>
      <c r="R14" s="628">
        <v>45449</v>
      </c>
      <c r="S14" s="627">
        <v>2024</v>
      </c>
      <c r="T14" s="629">
        <v>45449</v>
      </c>
      <c r="U14" s="113">
        <v>500</v>
      </c>
    </row>
    <row r="15" spans="1:24" hidden="1">
      <c r="P15" s="630">
        <v>22</v>
      </c>
      <c r="Q15" s="631" t="s">
        <v>767</v>
      </c>
      <c r="R15" s="632">
        <v>45518</v>
      </c>
      <c r="S15" s="627">
        <v>2024</v>
      </c>
      <c r="T15" s="633">
        <v>45518</v>
      </c>
      <c r="U15" s="113">
        <v>800</v>
      </c>
    </row>
    <row r="16" spans="1:24">
      <c r="P16" s="626">
        <v>13</v>
      </c>
      <c r="Q16" s="627" t="s">
        <v>764</v>
      </c>
      <c r="R16" s="628">
        <v>45565</v>
      </c>
      <c r="S16" s="627">
        <v>2024</v>
      </c>
      <c r="T16" s="629">
        <v>45565</v>
      </c>
      <c r="U16" s="113">
        <v>1000</v>
      </c>
    </row>
    <row r="17" spans="16:21" hidden="1">
      <c r="P17" s="626">
        <v>485</v>
      </c>
      <c r="Q17" s="627" t="s">
        <v>769</v>
      </c>
      <c r="R17" s="628">
        <v>45640</v>
      </c>
      <c r="S17" s="627">
        <v>2024</v>
      </c>
      <c r="T17" s="629">
        <v>45640</v>
      </c>
      <c r="U17" s="113">
        <v>1500</v>
      </c>
    </row>
    <row r="18" spans="16:21" hidden="1">
      <c r="P18" s="635">
        <v>44</v>
      </c>
      <c r="Q18" s="636" t="s">
        <v>765</v>
      </c>
      <c r="R18" s="637">
        <v>45641</v>
      </c>
      <c r="S18" s="627">
        <v>2024</v>
      </c>
      <c r="T18" s="638">
        <v>45641</v>
      </c>
      <c r="U18" s="113">
        <v>550</v>
      </c>
    </row>
  </sheetData>
  <sheetProtection selectLockedCells="1" selectUnlockedCells="1"/>
  <mergeCells count="4">
    <mergeCell ref="D1:V1"/>
    <mergeCell ref="C5:F5"/>
    <mergeCell ref="I5:M5"/>
    <mergeCell ref="P5:U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B4BA4-35AF-4802-A2C1-21EFB0736A15}">
  <sheetPr>
    <tabColor rgb="FF0B7406"/>
  </sheetPr>
  <dimension ref="B3:F10"/>
  <sheetViews>
    <sheetView zoomScaleNormal="100" workbookViewId="0">
      <selection activeCell="B3" sqref="B3:F10"/>
    </sheetView>
  </sheetViews>
  <sheetFormatPr defaultRowHeight="15"/>
  <cols>
    <col min="2" max="2" width="16.7109375" bestFit="1" customWidth="1"/>
    <col min="3" max="3" width="14.140625" customWidth="1"/>
    <col min="4" max="4" width="12" customWidth="1"/>
    <col min="5" max="5" width="13.42578125" customWidth="1"/>
    <col min="6" max="6" width="22.42578125" bestFit="1" customWidth="1"/>
  </cols>
  <sheetData>
    <row r="3" spans="2:6" ht="15.75" thickBot="1">
      <c r="B3" s="375" t="s">
        <v>755</v>
      </c>
      <c r="C3" s="394" t="s">
        <v>754</v>
      </c>
      <c r="D3" s="394" t="s">
        <v>330</v>
      </c>
      <c r="E3" s="394" t="s">
        <v>564</v>
      </c>
      <c r="F3" s="375" t="s">
        <v>877</v>
      </c>
    </row>
    <row r="4" spans="2:6" ht="15.75" thickTop="1">
      <c r="B4" s="395" t="s">
        <v>74</v>
      </c>
      <c r="C4" s="396">
        <v>45601</v>
      </c>
      <c r="D4" s="397">
        <v>78.430000000000007</v>
      </c>
      <c r="E4" s="398">
        <f>DAY(Tabela36[[#This Row],[Vencimento]])</f>
        <v>5</v>
      </c>
      <c r="F4" s="610">
        <f>Tabela36[[#This Row],[Vencimento]]</f>
        <v>45601</v>
      </c>
    </row>
    <row r="5" spans="2:6">
      <c r="B5" s="399" t="s">
        <v>758</v>
      </c>
      <c r="C5" s="400">
        <v>45606</v>
      </c>
      <c r="D5" s="401">
        <v>800</v>
      </c>
      <c r="E5" s="402">
        <f>DAY(Tabela36[[#This Row],[Vencimento]])</f>
        <v>10</v>
      </c>
      <c r="F5" s="611">
        <f>Tabela36[[#This Row],[Vencimento]]</f>
        <v>45606</v>
      </c>
    </row>
    <row r="6" spans="2:6">
      <c r="B6" s="399" t="s">
        <v>757</v>
      </c>
      <c r="C6" s="400">
        <v>45626</v>
      </c>
      <c r="D6" s="401">
        <v>980</v>
      </c>
      <c r="E6" s="402">
        <f>DAY(Tabela36[[#This Row],[Vencimento]])</f>
        <v>30</v>
      </c>
      <c r="F6" s="611">
        <f>Tabela36[[#This Row],[Vencimento]]</f>
        <v>45626</v>
      </c>
    </row>
    <row r="7" spans="2:6">
      <c r="B7" s="399" t="s">
        <v>759</v>
      </c>
      <c r="C7" s="400">
        <v>45616</v>
      </c>
      <c r="D7" s="401">
        <v>748.85</v>
      </c>
      <c r="E7" s="402">
        <f>DAY(Tabela36[[#This Row],[Vencimento]])</f>
        <v>20</v>
      </c>
      <c r="F7" s="611">
        <f>Tabela36[[#This Row],[Vencimento]]</f>
        <v>45616</v>
      </c>
    </row>
    <row r="8" spans="2:6">
      <c r="B8" s="399" t="s">
        <v>756</v>
      </c>
      <c r="C8" s="400">
        <v>45601</v>
      </c>
      <c r="D8" s="401">
        <v>345.5</v>
      </c>
      <c r="E8" s="402">
        <f>DAY(Tabela36[[#This Row],[Vencimento]])</f>
        <v>5</v>
      </c>
      <c r="F8" s="611">
        <f>Tabela36[[#This Row],[Vencimento]]</f>
        <v>45601</v>
      </c>
    </row>
    <row r="9" spans="2:6">
      <c r="B9" s="399" t="s">
        <v>75</v>
      </c>
      <c r="C9" s="400">
        <v>45602</v>
      </c>
      <c r="D9" s="401">
        <v>158.84</v>
      </c>
      <c r="E9" s="402">
        <f>DAY(Tabela36[[#This Row],[Vencimento]])</f>
        <v>6</v>
      </c>
      <c r="F9" s="611">
        <f>Tabela36[[#This Row],[Vencimento]]</f>
        <v>45602</v>
      </c>
    </row>
    <row r="10" spans="2:6">
      <c r="B10" s="399" t="s">
        <v>245</v>
      </c>
      <c r="C10" s="400">
        <v>45601</v>
      </c>
      <c r="D10" s="401">
        <v>128.47999999999999</v>
      </c>
      <c r="E10" s="402">
        <f>DAY(Tabela36[[#This Row],[Vencimento]])</f>
        <v>5</v>
      </c>
      <c r="F10" s="611">
        <f>Tabela36[[#This Row],[Vencimento]]</f>
        <v>45601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2A016-AE77-4170-A7D3-4C2F4AAB0D93}">
  <sheetPr>
    <tabColor rgb="FF0B7406"/>
  </sheetPr>
  <dimension ref="B3:F18"/>
  <sheetViews>
    <sheetView zoomScaleNormal="100" workbookViewId="0">
      <selection activeCell="B3" sqref="B3:F18"/>
    </sheetView>
  </sheetViews>
  <sheetFormatPr defaultRowHeight="15"/>
  <cols>
    <col min="1" max="1" width="3.140625" customWidth="1"/>
    <col min="2" max="2" width="12" customWidth="1"/>
    <col min="3" max="3" width="10.28515625" customWidth="1"/>
    <col min="4" max="4" width="16.5703125" customWidth="1"/>
    <col min="5" max="5" width="10.28515625" customWidth="1"/>
    <col min="6" max="6" width="23.7109375" bestFit="1" customWidth="1"/>
  </cols>
  <sheetData>
    <row r="3" spans="2:6">
      <c r="B3" s="386" t="s">
        <v>109</v>
      </c>
      <c r="C3" s="386" t="s">
        <v>111</v>
      </c>
      <c r="D3" s="387" t="s">
        <v>763</v>
      </c>
      <c r="E3" s="387" t="s">
        <v>441</v>
      </c>
      <c r="F3" s="386" t="s">
        <v>1088</v>
      </c>
    </row>
    <row r="4" spans="2:6" ht="15.75" hidden="1" thickTop="1">
      <c r="B4" s="403">
        <v>12</v>
      </c>
      <c r="C4" s="388" t="s">
        <v>764</v>
      </c>
      <c r="D4" s="389">
        <v>45641</v>
      </c>
      <c r="E4" s="390">
        <f>YEAR(Tabela40[[#This Row],[Data do Pedido]])</f>
        <v>2024</v>
      </c>
      <c r="F4" s="53">
        <f t="shared" ref="F4:F18" si="0">DATE(2024, MONTH(D4), DAY(D4))</f>
        <v>45641</v>
      </c>
    </row>
    <row r="5" spans="2:6" hidden="1">
      <c r="B5" s="404">
        <v>15</v>
      </c>
      <c r="C5" s="391" t="s">
        <v>765</v>
      </c>
      <c r="D5" s="392">
        <v>45336</v>
      </c>
      <c r="E5" s="393">
        <f>YEAR(Tabela40[[#This Row],[Data do Pedido]])</f>
        <v>2024</v>
      </c>
      <c r="F5" s="53">
        <f t="shared" si="0"/>
        <v>45336</v>
      </c>
    </row>
    <row r="6" spans="2:6">
      <c r="B6" s="404">
        <v>18</v>
      </c>
      <c r="C6" s="391" t="s">
        <v>766</v>
      </c>
      <c r="D6" s="392">
        <v>43257</v>
      </c>
      <c r="E6" s="393">
        <f>YEAR(Tabela40[[#This Row],[Data do Pedido]])</f>
        <v>2018</v>
      </c>
      <c r="F6" s="53">
        <f t="shared" si="0"/>
        <v>45449</v>
      </c>
    </row>
    <row r="7" spans="2:6">
      <c r="B7" s="404">
        <v>22</v>
      </c>
      <c r="C7" s="391" t="s">
        <v>767</v>
      </c>
      <c r="D7" s="392">
        <v>42230</v>
      </c>
      <c r="E7" s="393">
        <f>YEAR(Tabela40[[#This Row],[Data do Pedido]])</f>
        <v>2015</v>
      </c>
      <c r="F7" s="53">
        <f t="shared" si="0"/>
        <v>45518</v>
      </c>
    </row>
    <row r="8" spans="2:6" hidden="1">
      <c r="B8" s="404">
        <v>32</v>
      </c>
      <c r="C8" s="391" t="s">
        <v>768</v>
      </c>
      <c r="D8" s="392">
        <v>45516</v>
      </c>
      <c r="E8" s="393">
        <f>YEAR(Tabela40[[#This Row],[Data do Pedido]])</f>
        <v>2024</v>
      </c>
      <c r="F8" s="53">
        <f t="shared" si="0"/>
        <v>45516</v>
      </c>
    </row>
    <row r="9" spans="2:6">
      <c r="B9" s="404">
        <v>45</v>
      </c>
      <c r="C9" s="391" t="s">
        <v>769</v>
      </c>
      <c r="D9" s="392">
        <v>36910</v>
      </c>
      <c r="E9" s="393">
        <f>YEAR(Tabela40[[#This Row],[Data do Pedido]])</f>
        <v>2001</v>
      </c>
      <c r="F9" s="53">
        <f t="shared" si="0"/>
        <v>45310</v>
      </c>
    </row>
    <row r="10" spans="2:6" ht="15.75" thickBot="1">
      <c r="B10" s="404">
        <v>88</v>
      </c>
      <c r="C10" s="391" t="s">
        <v>770</v>
      </c>
      <c r="D10" s="392">
        <v>39817</v>
      </c>
      <c r="E10" s="393">
        <f>YEAR(Tabela40[[#This Row],[Data do Pedido]])</f>
        <v>2009</v>
      </c>
      <c r="F10" s="53">
        <f t="shared" si="0"/>
        <v>45295</v>
      </c>
    </row>
    <row r="11" spans="2:6" ht="15.75" thickTop="1">
      <c r="B11" s="404">
        <v>13</v>
      </c>
      <c r="C11" s="388" t="s">
        <v>764</v>
      </c>
      <c r="D11" s="392">
        <v>31320</v>
      </c>
      <c r="E11" s="393">
        <f>YEAR(Tabela40[[#This Row],[Data do Pedido]])</f>
        <v>1985</v>
      </c>
      <c r="F11" s="53">
        <f t="shared" si="0"/>
        <v>45565</v>
      </c>
    </row>
    <row r="12" spans="2:6">
      <c r="B12" s="404">
        <v>44</v>
      </c>
      <c r="C12" s="391" t="s">
        <v>765</v>
      </c>
      <c r="D12" s="392">
        <v>43449</v>
      </c>
      <c r="E12" s="393">
        <f>YEAR(Tabela40[[#This Row],[Data do Pedido]])</f>
        <v>2018</v>
      </c>
      <c r="F12" s="53">
        <f t="shared" si="0"/>
        <v>45641</v>
      </c>
    </row>
    <row r="13" spans="2:6">
      <c r="B13" s="404">
        <v>55</v>
      </c>
      <c r="C13" s="391" t="s">
        <v>766</v>
      </c>
      <c r="D13" s="392">
        <v>43191</v>
      </c>
      <c r="E13" s="393">
        <f>YEAR(Tabela40[[#This Row],[Data do Pedido]])</f>
        <v>2018</v>
      </c>
      <c r="F13" s="53">
        <f t="shared" si="0"/>
        <v>45383</v>
      </c>
    </row>
    <row r="14" spans="2:6">
      <c r="B14" s="404">
        <v>77</v>
      </c>
      <c r="C14" s="391" t="s">
        <v>766</v>
      </c>
      <c r="D14" s="392">
        <v>43556</v>
      </c>
      <c r="E14" s="393">
        <f>YEAR(Tabela40[[#This Row],[Data do Pedido]])</f>
        <v>2019</v>
      </c>
      <c r="F14" s="53">
        <f t="shared" si="0"/>
        <v>45383</v>
      </c>
    </row>
    <row r="15" spans="2:6">
      <c r="B15" s="404">
        <v>13</v>
      </c>
      <c r="C15" s="391" t="s">
        <v>767</v>
      </c>
      <c r="D15" s="392">
        <v>43524</v>
      </c>
      <c r="E15" s="393">
        <f>YEAR(Tabela40[[#This Row],[Data do Pedido]])</f>
        <v>2019</v>
      </c>
      <c r="F15" s="53">
        <f t="shared" si="0"/>
        <v>45350</v>
      </c>
    </row>
    <row r="16" spans="2:6">
      <c r="B16" s="404">
        <v>123</v>
      </c>
      <c r="C16" s="391" t="s">
        <v>768</v>
      </c>
      <c r="D16" s="392">
        <v>43586</v>
      </c>
      <c r="E16" s="393">
        <f>YEAR(Tabela40[[#This Row],[Data do Pedido]])</f>
        <v>2019</v>
      </c>
      <c r="F16" s="53">
        <f t="shared" si="0"/>
        <v>45413</v>
      </c>
    </row>
    <row r="17" spans="2:6">
      <c r="B17" s="404">
        <v>485</v>
      </c>
      <c r="C17" s="391" t="s">
        <v>769</v>
      </c>
      <c r="D17" s="392">
        <v>43448</v>
      </c>
      <c r="E17" s="393">
        <f>YEAR(Tabela40[[#This Row],[Data do Pedido]])</f>
        <v>2018</v>
      </c>
      <c r="F17" s="53">
        <f t="shared" si="0"/>
        <v>45640</v>
      </c>
    </row>
    <row r="18" spans="2:6">
      <c r="B18" s="404">
        <v>997</v>
      </c>
      <c r="C18" s="391" t="s">
        <v>770</v>
      </c>
      <c r="D18" s="392">
        <v>36892</v>
      </c>
      <c r="E18" s="393">
        <f>YEAR(Tabela40[[#This Row],[Data do Pedido]])</f>
        <v>2001</v>
      </c>
      <c r="F18" s="53">
        <f t="shared" si="0"/>
        <v>45292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B7406"/>
  </sheetPr>
  <dimension ref="A1"/>
  <sheetViews>
    <sheetView workbookViewId="0">
      <selection activeCell="F15" sqref="F15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7"/>
  </sheetPr>
  <dimension ref="A1"/>
  <sheetViews>
    <sheetView showGridLines="0" showRowColHeaders="0" zoomScaleNormal="100" workbookViewId="0">
      <selection activeCell="D15" sqref="D15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70C0"/>
  </sheetPr>
  <dimension ref="A2:K19"/>
  <sheetViews>
    <sheetView showGridLines="0" zoomScaleNormal="100" workbookViewId="0">
      <selection activeCell="K4" sqref="K4"/>
    </sheetView>
  </sheetViews>
  <sheetFormatPr defaultRowHeight="15"/>
  <cols>
    <col min="6" max="6" width="30.7109375" customWidth="1"/>
    <col min="7" max="7" width="19.140625" customWidth="1"/>
    <col min="8" max="8" width="16.7109375" customWidth="1"/>
    <col min="9" max="9" width="18.7109375" bestFit="1" customWidth="1"/>
    <col min="10" max="10" width="16.42578125" bestFit="1" customWidth="1"/>
    <col min="11" max="11" width="27.140625" bestFit="1" customWidth="1"/>
  </cols>
  <sheetData>
    <row r="2" spans="6:11">
      <c r="F2" s="1" t="s">
        <v>228</v>
      </c>
      <c r="G2" s="1" t="s">
        <v>493</v>
      </c>
      <c r="H2" s="1" t="s">
        <v>490</v>
      </c>
      <c r="I2" s="1" t="s">
        <v>491</v>
      </c>
      <c r="J2" s="1" t="s">
        <v>492</v>
      </c>
      <c r="K2" s="1" t="s">
        <v>495</v>
      </c>
    </row>
    <row r="3" spans="6:11">
      <c r="F3" s="1" t="s">
        <v>477</v>
      </c>
      <c r="G3" s="1" t="str">
        <f>TRIM(Tabela16[[#This Row],[Nome Completo]])</f>
        <v>eduardo yto</v>
      </c>
      <c r="H3" s="1" t="str">
        <f>PROPER(Tabela16[[#This Row],[Arrumar]])</f>
        <v>Eduardo Yto</v>
      </c>
      <c r="I3" s="1" t="str">
        <f>UPPER(Tabela16[[#This Row],[Pri.Maiúscula]])</f>
        <v>EDUARDO YTO</v>
      </c>
      <c r="J3" s="1" t="str">
        <f>LOWER(Tabela16[[#This Row],[Pri.Maiúscula]])</f>
        <v>eduardo yto</v>
      </c>
      <c r="K3" s="1" t="str">
        <f>PROPER(TRIM(Tabela16[[#This Row],[Nome Completo]]))</f>
        <v>Eduardo Yto</v>
      </c>
    </row>
    <row r="4" spans="6:11">
      <c r="F4" s="1" t="s">
        <v>478</v>
      </c>
      <c r="G4" s="1" t="str">
        <f>TRIM(Tabela16[[#This Row],[Nome Completo]])</f>
        <v>tallia maria</v>
      </c>
      <c r="H4" s="1" t="str">
        <f>PROPER(Tabela16[[#This Row],[Arrumar]])</f>
        <v>Tallia Maria</v>
      </c>
      <c r="I4" s="1" t="str">
        <f>UPPER(Tabela16[[#This Row],[Pri.Maiúscula]])</f>
        <v>TALLIA MARIA</v>
      </c>
      <c r="J4" s="1" t="str">
        <f>LOWER(Tabela16[[#This Row],[Pri.Maiúscula]])</f>
        <v>tallia maria</v>
      </c>
      <c r="K4" s="1" t="str">
        <f>PROPER(TRIM(Tabela16[[#This Row],[Nome Completo]]))</f>
        <v>Tallia Maria</v>
      </c>
    </row>
    <row r="5" spans="6:11">
      <c r="F5" s="1" t="s">
        <v>479</v>
      </c>
      <c r="G5" s="1" t="str">
        <f>TRIM(Tabela16[[#This Row],[Nome Completo]])</f>
        <v>victor souza</v>
      </c>
      <c r="H5" s="1" t="str">
        <f>PROPER(Tabela16[[#This Row],[Arrumar]])</f>
        <v>Victor Souza</v>
      </c>
      <c r="I5" s="1" t="str">
        <f>UPPER(Tabela16[[#This Row],[Pri.Maiúscula]])</f>
        <v>VICTOR SOUZA</v>
      </c>
      <c r="J5" s="1" t="str">
        <f>LOWER(Tabela16[[#This Row],[Pri.Maiúscula]])</f>
        <v>victor souza</v>
      </c>
      <c r="K5" s="1" t="str">
        <f>PROPER(TRIM(Tabela16[[#This Row],[Nome Completo]]))</f>
        <v>Victor Souza</v>
      </c>
    </row>
    <row r="6" spans="6:11">
      <c r="F6" s="1" t="s">
        <v>480</v>
      </c>
      <c r="G6" s="1" t="str">
        <f>TRIM(Tabela16[[#This Row],[Nome Completo]])</f>
        <v>guilherme moura</v>
      </c>
      <c r="H6" s="1" t="str">
        <f>PROPER(Tabela16[[#This Row],[Arrumar]])</f>
        <v>Guilherme Moura</v>
      </c>
      <c r="I6" s="1" t="str">
        <f>UPPER(Tabela16[[#This Row],[Pri.Maiúscula]])</f>
        <v>GUILHERME MOURA</v>
      </c>
      <c r="J6" s="1" t="str">
        <f>LOWER(Tabela16[[#This Row],[Pri.Maiúscula]])</f>
        <v>guilherme moura</v>
      </c>
      <c r="K6" s="1" t="str">
        <f>PROPER(TRIM(Tabela16[[#This Row],[Nome Completo]]))</f>
        <v>Guilherme Moura</v>
      </c>
    </row>
    <row r="7" spans="6:11">
      <c r="F7" s="1" t="s">
        <v>481</v>
      </c>
      <c r="G7" s="1" t="str">
        <f>TRIM(Tabela16[[#This Row],[Nome Completo]])</f>
        <v>marcos miranda</v>
      </c>
      <c r="H7" s="1" t="str">
        <f>PROPER(Tabela16[[#This Row],[Arrumar]])</f>
        <v>Marcos Miranda</v>
      </c>
      <c r="I7" s="1" t="str">
        <f>UPPER(Tabela16[[#This Row],[Pri.Maiúscula]])</f>
        <v>MARCOS MIRANDA</v>
      </c>
      <c r="J7" s="1" t="str">
        <f>LOWER(Tabela16[[#This Row],[Pri.Maiúscula]])</f>
        <v>marcos miranda</v>
      </c>
      <c r="K7" s="1" t="str">
        <f>PROPER(TRIM(Tabela16[[#This Row],[Nome Completo]]))</f>
        <v>Marcos Miranda</v>
      </c>
    </row>
    <row r="8" spans="6:11">
      <c r="F8" s="1" t="s">
        <v>482</v>
      </c>
      <c r="G8" s="1" t="str">
        <f>TRIM(Tabela16[[#This Row],[Nome Completo]])</f>
        <v>mariana martins</v>
      </c>
      <c r="H8" s="1" t="str">
        <f>PROPER(Tabela16[[#This Row],[Arrumar]])</f>
        <v>Mariana Martins</v>
      </c>
      <c r="I8" s="1" t="str">
        <f>UPPER(Tabela16[[#This Row],[Pri.Maiúscula]])</f>
        <v>MARIANA MARTINS</v>
      </c>
      <c r="J8" s="1" t="str">
        <f>LOWER(Tabela16[[#This Row],[Pri.Maiúscula]])</f>
        <v>mariana martins</v>
      </c>
      <c r="K8" s="1" t="str">
        <f>PROPER(TRIM(Tabela16[[#This Row],[Nome Completo]]))</f>
        <v>Mariana Martins</v>
      </c>
    </row>
    <row r="9" spans="6:11">
      <c r="F9" s="1" t="s">
        <v>483</v>
      </c>
      <c r="G9" s="1" t="str">
        <f>TRIM(Tabela16[[#This Row],[Nome Completo]])</f>
        <v>judith matos</v>
      </c>
      <c r="H9" s="1" t="str">
        <f>PROPER(Tabela16[[#This Row],[Arrumar]])</f>
        <v>Judith Matos</v>
      </c>
      <c r="I9" s="1" t="str">
        <f>UPPER(Tabela16[[#This Row],[Pri.Maiúscula]])</f>
        <v>JUDITH MATOS</v>
      </c>
      <c r="J9" s="1" t="str">
        <f>LOWER(Tabela16[[#This Row],[Pri.Maiúscula]])</f>
        <v>judith matos</v>
      </c>
      <c r="K9" s="1" t="str">
        <f>PROPER(TRIM(Tabela16[[#This Row],[Nome Completo]]))</f>
        <v>Judith Matos</v>
      </c>
    </row>
    <row r="10" spans="6:11">
      <c r="F10" s="1" t="s">
        <v>484</v>
      </c>
      <c r="G10" s="1" t="str">
        <f>TRIM(Tabela16[[#This Row],[Nome Completo]])</f>
        <v>edicréia xavier</v>
      </c>
      <c r="H10" s="1" t="str">
        <f>PROPER(Tabela16[[#This Row],[Arrumar]])</f>
        <v>Edicréia Xavier</v>
      </c>
      <c r="I10" s="1" t="str">
        <f>UPPER(Tabela16[[#This Row],[Pri.Maiúscula]])</f>
        <v>EDICRÉIA XAVIER</v>
      </c>
      <c r="J10" s="1" t="str">
        <f>LOWER(Tabela16[[#This Row],[Pri.Maiúscula]])</f>
        <v>edicréia xavier</v>
      </c>
      <c r="K10" s="1" t="str">
        <f>PROPER(TRIM(Tabela16[[#This Row],[Nome Completo]]))</f>
        <v>Edicréia Xavier</v>
      </c>
    </row>
    <row r="11" spans="6:11">
      <c r="F11" s="1" t="s">
        <v>496</v>
      </c>
      <c r="G11" s="1" t="str">
        <f>TRIM(Tabela16[[#This Row],[Nome Completo]])</f>
        <v>luzinete zonta</v>
      </c>
      <c r="H11" s="1" t="str">
        <f>PROPER(Tabela16[[#This Row],[Arrumar]])</f>
        <v>Luzinete Zonta</v>
      </c>
      <c r="I11" s="1" t="str">
        <f>UPPER(Tabela16[[#This Row],[Pri.Maiúscula]])</f>
        <v>LUZINETE ZONTA</v>
      </c>
      <c r="J11" s="1" t="str">
        <f>LOWER(Tabela16[[#This Row],[Pri.Maiúscula]])</f>
        <v>luzinete zonta</v>
      </c>
      <c r="K11" s="1" t="str">
        <f>PROPER(TRIM(Tabela16[[#This Row],[Nome Completo]]))</f>
        <v>Luzinete Zonta</v>
      </c>
    </row>
    <row r="12" spans="6:11">
      <c r="F12" s="1" t="s">
        <v>485</v>
      </c>
      <c r="G12" s="1" t="str">
        <f>TRIM(Tabela16[[#This Row],[Nome Completo]])</f>
        <v>quincas gaspar</v>
      </c>
      <c r="H12" s="1" t="str">
        <f>PROPER(Tabela16[[#This Row],[Arrumar]])</f>
        <v>Quincas Gaspar</v>
      </c>
      <c r="I12" s="1" t="str">
        <f>UPPER(Tabela16[[#This Row],[Pri.Maiúscula]])</f>
        <v>QUINCAS GASPAR</v>
      </c>
      <c r="J12" s="1" t="str">
        <f>LOWER(Tabela16[[#This Row],[Pri.Maiúscula]])</f>
        <v>quincas gaspar</v>
      </c>
      <c r="K12" s="1" t="str">
        <f>PROPER(TRIM(Tabela16[[#This Row],[Nome Completo]]))</f>
        <v>Quincas Gaspar</v>
      </c>
    </row>
    <row r="13" spans="6:11">
      <c r="F13" s="1" t="s">
        <v>486</v>
      </c>
      <c r="G13" s="1" t="str">
        <f>TRIM(Tabela16[[#This Row],[Nome Completo]])</f>
        <v>josé hugo</v>
      </c>
      <c r="H13" s="1" t="str">
        <f>PROPER(Tabela16[[#This Row],[Arrumar]])</f>
        <v>José Hugo</v>
      </c>
      <c r="I13" s="1" t="str">
        <f>UPPER(Tabela16[[#This Row],[Pri.Maiúscula]])</f>
        <v>JOSÉ HUGO</v>
      </c>
      <c r="J13" s="1" t="str">
        <f>LOWER(Tabela16[[#This Row],[Pri.Maiúscula]])</f>
        <v>josé hugo</v>
      </c>
      <c r="K13" s="1" t="str">
        <f>PROPER(TRIM(Tabela16[[#This Row],[Nome Completo]]))</f>
        <v>José Hugo</v>
      </c>
    </row>
    <row r="14" spans="6:11">
      <c r="F14" s="1" t="s">
        <v>487</v>
      </c>
      <c r="G14" s="1" t="str">
        <f>TRIM(Tabela16[[#This Row],[Nome Completo]])</f>
        <v>keiti santana</v>
      </c>
      <c r="H14" s="1" t="str">
        <f>PROPER(Tabela16[[#This Row],[Arrumar]])</f>
        <v>Keiti Santana</v>
      </c>
      <c r="I14" s="1" t="str">
        <f>UPPER(Tabela16[[#This Row],[Pri.Maiúscula]])</f>
        <v>KEITI SANTANA</v>
      </c>
      <c r="J14" s="1" t="str">
        <f>LOWER(Tabela16[[#This Row],[Pri.Maiúscula]])</f>
        <v>keiti santana</v>
      </c>
      <c r="K14" s="1" t="str">
        <f>PROPER(TRIM(Tabela16[[#This Row],[Nome Completo]]))</f>
        <v>Keiti Santana</v>
      </c>
    </row>
    <row r="15" spans="6:11">
      <c r="F15" s="1" t="s">
        <v>488</v>
      </c>
      <c r="G15" s="1" t="str">
        <f>TRIM(Tabela16[[#This Row],[Nome Completo]])</f>
        <v>carla mota</v>
      </c>
      <c r="H15" s="1" t="str">
        <f>PROPER(Tabela16[[#This Row],[Arrumar]])</f>
        <v>Carla Mota</v>
      </c>
      <c r="I15" s="1" t="str">
        <f>UPPER(Tabela16[[#This Row],[Pri.Maiúscula]])</f>
        <v>CARLA MOTA</v>
      </c>
      <c r="J15" s="1" t="str">
        <f>LOWER(Tabela16[[#This Row],[Pri.Maiúscula]])</f>
        <v>carla mota</v>
      </c>
      <c r="K15" s="1" t="str">
        <f>PROPER(TRIM(Tabela16[[#This Row],[Nome Completo]]))</f>
        <v>Carla Mota</v>
      </c>
    </row>
    <row r="16" spans="6:11">
      <c r="F16" s="1" t="s">
        <v>489</v>
      </c>
      <c r="G16" s="1" t="str">
        <f>TRIM(Tabela16[[#This Row],[Nome Completo]])</f>
        <v>amélia silva</v>
      </c>
      <c r="H16" s="1" t="str">
        <f>PROPER(Tabela16[[#This Row],[Arrumar]])</f>
        <v>Amélia Silva</v>
      </c>
      <c r="I16" s="1" t="str">
        <f>UPPER(Tabela16[[#This Row],[Pri.Maiúscula]])</f>
        <v>AMÉLIA SILVA</v>
      </c>
      <c r="J16" s="1" t="str">
        <f>LOWER(Tabela16[[#This Row],[Pri.Maiúscula]])</f>
        <v>amélia silva</v>
      </c>
      <c r="K16" s="1" t="str">
        <f>PROPER(TRIM(Tabela16[[#This Row],[Nome Completo]]))</f>
        <v>Amélia Silva</v>
      </c>
    </row>
    <row r="17" spans="1:5" ht="15" customHeight="1">
      <c r="A17" s="809" t="s">
        <v>494</v>
      </c>
      <c r="B17" s="809"/>
      <c r="C17" s="809"/>
      <c r="D17" s="809"/>
      <c r="E17" s="809"/>
    </row>
    <row r="18" spans="1:5">
      <c r="A18" s="809"/>
      <c r="B18" s="809"/>
      <c r="C18" s="809"/>
      <c r="D18" s="809"/>
      <c r="E18" s="809"/>
    </row>
    <row r="19" spans="1:5">
      <c r="A19" s="809"/>
      <c r="B19" s="809"/>
      <c r="C19" s="809"/>
      <c r="D19" s="809"/>
      <c r="E19" s="809"/>
    </row>
  </sheetData>
  <mergeCells count="1">
    <mergeCell ref="A17:E19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2D36-48C0-4DCC-818D-18BA2CFC0ED8}">
  <sheetPr>
    <tabColor rgb="FF0070C0"/>
  </sheetPr>
  <dimension ref="B2:O12"/>
  <sheetViews>
    <sheetView showGridLines="0" zoomScaleNormal="100" workbookViewId="0">
      <selection activeCell="K8" sqref="K8:O8"/>
    </sheetView>
  </sheetViews>
  <sheetFormatPr defaultRowHeight="19.5" customHeight="1"/>
  <cols>
    <col min="1" max="1" width="2.42578125" style="1" customWidth="1"/>
    <col min="2" max="2" width="12.85546875" style="1" customWidth="1"/>
    <col min="3" max="3" width="13.5703125" style="1" customWidth="1"/>
    <col min="4" max="4" width="13.42578125" style="1" customWidth="1"/>
    <col min="5" max="5" width="7.85546875" style="1" customWidth="1"/>
    <col min="6" max="6" width="7.42578125" style="1" customWidth="1"/>
    <col min="7" max="7" width="7.85546875" style="1" customWidth="1"/>
    <col min="8" max="8" width="18.42578125" style="1" customWidth="1"/>
    <col min="9" max="10" width="5.42578125" style="1" customWidth="1"/>
    <col min="11" max="12" width="9.140625" style="1"/>
    <col min="13" max="13" width="9.140625" style="1" customWidth="1"/>
    <col min="14" max="14" width="3.7109375" style="1" customWidth="1"/>
    <col min="15" max="15" width="13.42578125" style="1" customWidth="1"/>
    <col min="16" max="16384" width="9.140625" style="1"/>
  </cols>
  <sheetData>
    <row r="2" spans="2:15" ht="27.75" customHeight="1" thickBot="1">
      <c r="B2" s="817" t="s">
        <v>771</v>
      </c>
      <c r="C2" s="817"/>
      <c r="D2" s="817"/>
      <c r="E2" s="817"/>
      <c r="F2" s="817"/>
      <c r="G2" s="817"/>
      <c r="H2" s="817"/>
      <c r="I2" s="817"/>
    </row>
    <row r="3" spans="2:15" ht="19.5" customHeight="1">
      <c r="B3" s="304" t="s">
        <v>0</v>
      </c>
      <c r="C3" s="304" t="s">
        <v>772</v>
      </c>
      <c r="D3" s="304" t="s">
        <v>189</v>
      </c>
      <c r="E3" s="816" t="s">
        <v>258</v>
      </c>
      <c r="F3" s="816"/>
      <c r="G3" s="816"/>
      <c r="H3" s="304" t="s">
        <v>1</v>
      </c>
      <c r="I3" s="304" t="s">
        <v>239</v>
      </c>
      <c r="K3" s="818" t="s">
        <v>786</v>
      </c>
      <c r="L3" s="819"/>
      <c r="M3" s="819"/>
      <c r="N3" s="819"/>
      <c r="O3" s="820"/>
    </row>
    <row r="4" spans="2:15" ht="19.5" customHeight="1">
      <c r="B4" s="305" t="s">
        <v>430</v>
      </c>
      <c r="C4" s="305" t="s">
        <v>773</v>
      </c>
      <c r="D4" s="305" t="s">
        <v>538</v>
      </c>
      <c r="E4" s="305">
        <v>30</v>
      </c>
      <c r="F4" s="305">
        <v>9</v>
      </c>
      <c r="G4" s="305">
        <v>1985</v>
      </c>
      <c r="H4" s="305" t="s">
        <v>774</v>
      </c>
      <c r="I4" s="305" t="s">
        <v>775</v>
      </c>
      <c r="K4" s="810" t="str">
        <f>B4&amp;" "&amp;D5</f>
        <v>Eduardo Melo</v>
      </c>
      <c r="L4" s="811"/>
      <c r="M4" s="811"/>
      <c r="N4" s="811"/>
      <c r="O4" s="812"/>
    </row>
    <row r="5" spans="2:15" ht="19.5" customHeight="1">
      <c r="B5" s="306" t="s">
        <v>539</v>
      </c>
      <c r="C5" s="306" t="s">
        <v>780</v>
      </c>
      <c r="D5" s="306" t="s">
        <v>967</v>
      </c>
      <c r="E5" s="306">
        <v>22</v>
      </c>
      <c r="F5" s="306">
        <v>4</v>
      </c>
      <c r="G5" s="306">
        <v>1964</v>
      </c>
      <c r="H5" s="306" t="s">
        <v>20</v>
      </c>
      <c r="I5" s="306" t="s">
        <v>26</v>
      </c>
      <c r="K5" s="810" t="str">
        <f>B6&amp;" "&amp;D6</f>
        <v>Camila Dias</v>
      </c>
      <c r="L5" s="811"/>
      <c r="M5" s="811"/>
      <c r="N5" s="811"/>
      <c r="O5" s="812"/>
    </row>
    <row r="6" spans="2:15" ht="19.5" customHeight="1">
      <c r="B6" s="305" t="s">
        <v>776</v>
      </c>
      <c r="C6" s="305" t="s">
        <v>778</v>
      </c>
      <c r="D6" s="305" t="s">
        <v>777</v>
      </c>
      <c r="E6" s="305">
        <v>11</v>
      </c>
      <c r="F6" s="305">
        <v>4</v>
      </c>
      <c r="G6" s="305">
        <v>1960</v>
      </c>
      <c r="H6" s="305" t="s">
        <v>517</v>
      </c>
      <c r="I6" s="305" t="s">
        <v>26</v>
      </c>
      <c r="K6" s="810" t="str">
        <f>B7&amp;" "&amp;D8</f>
        <v>Cláudio Sousa</v>
      </c>
      <c r="L6" s="811"/>
      <c r="M6" s="811"/>
      <c r="N6" s="811"/>
      <c r="O6" s="812"/>
    </row>
    <row r="7" spans="2:15" ht="19.5" customHeight="1">
      <c r="B7" s="306" t="s">
        <v>779</v>
      </c>
      <c r="C7" s="306" t="s">
        <v>684</v>
      </c>
      <c r="D7" s="306" t="s">
        <v>780</v>
      </c>
      <c r="E7" s="306">
        <v>14</v>
      </c>
      <c r="F7" s="306">
        <v>5</v>
      </c>
      <c r="G7" s="306">
        <v>1988</v>
      </c>
      <c r="H7" s="306" t="s">
        <v>21</v>
      </c>
      <c r="I7" s="306" t="s">
        <v>26</v>
      </c>
      <c r="K7" s="810" t="str">
        <f>_xlfn.CONCAT(B8," ",C8," ",D8)</f>
        <v>Maria Amélia Sousa</v>
      </c>
      <c r="L7" s="811"/>
      <c r="M7" s="811"/>
      <c r="N7" s="811"/>
      <c r="O7" s="812"/>
    </row>
    <row r="8" spans="2:15" ht="19.5" customHeight="1">
      <c r="B8" s="305" t="s">
        <v>539</v>
      </c>
      <c r="C8" s="305" t="s">
        <v>547</v>
      </c>
      <c r="D8" s="305" t="s">
        <v>781</v>
      </c>
      <c r="E8" s="305">
        <v>4</v>
      </c>
      <c r="F8" s="305">
        <v>5</v>
      </c>
      <c r="G8" s="305">
        <v>2010</v>
      </c>
      <c r="H8" s="305" t="s">
        <v>531</v>
      </c>
      <c r="I8" s="305" t="s">
        <v>782</v>
      </c>
      <c r="K8" s="810" t="str">
        <f>_xlfn.CONCAT(B8," ",C8," ",D8," - ",E8/F8/G8)</f>
        <v>Maria Amélia Sousa - 0,000398009950248756</v>
      </c>
      <c r="L8" s="811"/>
      <c r="M8" s="811"/>
      <c r="N8" s="811"/>
      <c r="O8" s="812"/>
    </row>
    <row r="9" spans="2:15" ht="19.5" customHeight="1" thickBot="1">
      <c r="B9" s="306" t="s">
        <v>432</v>
      </c>
      <c r="C9" s="306" t="s">
        <v>783</v>
      </c>
      <c r="D9" s="306" t="s">
        <v>784</v>
      </c>
      <c r="E9" s="306">
        <v>28</v>
      </c>
      <c r="F9" s="306">
        <v>7</v>
      </c>
      <c r="G9" s="306">
        <v>1987</v>
      </c>
      <c r="H9" s="306" t="s">
        <v>785</v>
      </c>
      <c r="I9" s="306" t="s">
        <v>26</v>
      </c>
      <c r="K9" s="813"/>
      <c r="L9" s="814"/>
      <c r="M9" s="814"/>
      <c r="N9" s="814"/>
      <c r="O9" s="815"/>
    </row>
    <row r="12" spans="2:15" ht="19.5" customHeight="1">
      <c r="G12" s="195"/>
    </row>
  </sheetData>
  <mergeCells count="9">
    <mergeCell ref="K7:O7"/>
    <mergeCell ref="K8:O8"/>
    <mergeCell ref="K9:O9"/>
    <mergeCell ref="E3:G3"/>
    <mergeCell ref="B2:I2"/>
    <mergeCell ref="K3:O3"/>
    <mergeCell ref="K4:O4"/>
    <mergeCell ref="K5:O5"/>
    <mergeCell ref="K6:O6"/>
  </mergeCells>
  <pageMargins left="0.511811024" right="0.511811024" top="0.78740157499999996" bottom="0.78740157499999996" header="0.31496062000000002" footer="0.3149606200000000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683D-E425-49D2-8A55-C27CB2397124}">
  <sheetPr>
    <tabColor rgb="FF0070C0"/>
  </sheetPr>
  <dimension ref="B2:F20"/>
  <sheetViews>
    <sheetView showGridLines="0" zoomScaleNormal="100" workbookViewId="0">
      <selection activeCell="F6" sqref="F6"/>
    </sheetView>
  </sheetViews>
  <sheetFormatPr defaultRowHeight="15" customHeight="1"/>
  <cols>
    <col min="1" max="1" width="4.42578125" style="1" customWidth="1"/>
    <col min="2" max="4" width="9.140625" style="1"/>
    <col min="5" max="5" width="12" style="1" customWidth="1"/>
    <col min="6" max="6" width="19.85546875" style="1" bestFit="1" customWidth="1"/>
    <col min="7" max="16384" width="9.140625" style="1"/>
  </cols>
  <sheetData>
    <row r="2" spans="2:6" s="405" customFormat="1" ht="33.75">
      <c r="C2" s="406" t="s">
        <v>896</v>
      </c>
    </row>
    <row r="3" spans="2:6" s="407" customFormat="1" ht="15" customHeight="1">
      <c r="C3" s="407" t="s">
        <v>985</v>
      </c>
    </row>
    <row r="5" spans="2:6" ht="15" customHeight="1">
      <c r="B5" s="1" t="s">
        <v>887</v>
      </c>
      <c r="C5" s="1" t="s">
        <v>888</v>
      </c>
      <c r="D5" s="1" t="s">
        <v>886</v>
      </c>
      <c r="E5" s="1" t="s">
        <v>986</v>
      </c>
      <c r="F5" s="1" t="s">
        <v>1095</v>
      </c>
    </row>
    <row r="6" spans="2:6" ht="15" customHeight="1">
      <c r="B6" s="1" t="s">
        <v>688</v>
      </c>
      <c r="C6" s="1" t="s">
        <v>889</v>
      </c>
      <c r="D6" s="1">
        <v>15</v>
      </c>
      <c r="E6" s="1" t="str">
        <f>_xlfn.CONCAT(Tabela15[[#This Row],[SETOR]],Tabela15[[#This Row],[FILIAL]],Tabela15[[#This Row],[CÓD]])</f>
        <v>ADMMG15</v>
      </c>
      <c r="F6" s="1" t="str">
        <f>_xlfn.CONCAT(Tabela15[[#This Row],[SETOR]:[Concatenar]])</f>
        <v>ADMMG15ADMMG15</v>
      </c>
    </row>
    <row r="7" spans="2:6" ht="15" customHeight="1">
      <c r="B7" s="1" t="s">
        <v>689</v>
      </c>
      <c r="C7" s="1" t="s">
        <v>26</v>
      </c>
      <c r="D7" s="1">
        <v>16</v>
      </c>
      <c r="E7" s="1" t="str">
        <f>_xlfn.CONCAT(Tabela15[[#This Row],[SETOR]],Tabela15[[#This Row],[FILIAL]],Tabela15[[#This Row],[CÓD]])</f>
        <v>FINSP16</v>
      </c>
      <c r="F7" s="1" t="str">
        <f>_xlfn.CONCAT(Tabela15[[#This Row],[SETOR]:[Concatenar]])</f>
        <v>FINSP16FINSP16</v>
      </c>
    </row>
    <row r="8" spans="2:6" ht="15" customHeight="1">
      <c r="B8" s="1" t="s">
        <v>691</v>
      </c>
      <c r="C8" s="1" t="s">
        <v>890</v>
      </c>
      <c r="D8" s="1">
        <v>17</v>
      </c>
      <c r="E8" s="1" t="str">
        <f>_xlfn.CONCAT(Tabela15[[#This Row],[SETOR]],Tabela15[[#This Row],[FILIAL]],Tabela15[[#This Row],[CÓD]])</f>
        <v>COMRJ17</v>
      </c>
      <c r="F8" s="1" t="str">
        <f>_xlfn.CONCAT(Tabela15[[#This Row],[SETOR]:[Concatenar]])</f>
        <v>COMRJ17COMRJ17</v>
      </c>
    </row>
    <row r="9" spans="2:6" ht="15" customHeight="1">
      <c r="B9" s="1" t="s">
        <v>690</v>
      </c>
      <c r="C9" s="1" t="s">
        <v>891</v>
      </c>
      <c r="D9" s="1">
        <v>18</v>
      </c>
      <c r="E9" s="1" t="str">
        <f>_xlfn.CONCAT(Tabela15[[#This Row],[SETOR]],Tabela15[[#This Row],[FILIAL]],Tabela15[[#This Row],[CÓD]])</f>
        <v>LOGBH18</v>
      </c>
      <c r="F9" s="1" t="str">
        <f>_xlfn.CONCAT(Tabela15[[#This Row],[SETOR]:[Concatenar]])</f>
        <v>LOGBH18LOGBH18</v>
      </c>
    </row>
    <row r="10" spans="2:6" ht="15" customHeight="1">
      <c r="B10" s="1" t="s">
        <v>893</v>
      </c>
      <c r="C10" s="1" t="s">
        <v>26</v>
      </c>
      <c r="D10" s="1">
        <v>19</v>
      </c>
      <c r="E10" s="1" t="str">
        <f>_xlfn.CONCAT(Tabela15[[#This Row],[SETOR]],Tabela15[[#This Row],[FILIAL]],Tabela15[[#This Row],[CÓD]])</f>
        <v>ENSSP19</v>
      </c>
      <c r="F10" s="1" t="str">
        <f>_xlfn.CONCAT(Tabela15[[#This Row],[SETOR]:[Concatenar]])</f>
        <v>ENSSP19ENSSP19</v>
      </c>
    </row>
    <row r="11" spans="2:6" ht="15" customHeight="1">
      <c r="B11" s="1" t="s">
        <v>894</v>
      </c>
      <c r="C11" s="1" t="s">
        <v>26</v>
      </c>
      <c r="D11" s="1">
        <v>20</v>
      </c>
      <c r="E11" s="1" t="str">
        <f>_xlfn.CONCAT(Tabela15[[#This Row],[SETOR]],Tabela15[[#This Row],[FILIAL]],Tabela15[[#This Row],[CÓD]])</f>
        <v>SUPSP20</v>
      </c>
      <c r="F11" s="1" t="str">
        <f>_xlfn.CONCAT(Tabela15[[#This Row],[SETOR]:[Concatenar]])</f>
        <v>SUPSP20SUPSP20</v>
      </c>
    </row>
    <row r="12" spans="2:6" ht="15" customHeight="1">
      <c r="B12" s="1" t="s">
        <v>895</v>
      </c>
      <c r="C12" s="1" t="s">
        <v>26</v>
      </c>
      <c r="D12" s="1">
        <v>21</v>
      </c>
      <c r="E12" s="1" t="str">
        <f>_xlfn.CONCAT(Tabela15[[#This Row],[SETOR]],Tabela15[[#This Row],[FILIAL]],Tabela15[[#This Row],[CÓD]])</f>
        <v>VENSP21</v>
      </c>
      <c r="F12" s="1" t="str">
        <f>_xlfn.CONCAT(Tabela15[[#This Row],[SETOR]:[Concatenar]])</f>
        <v>VENSP21VENSP21</v>
      </c>
    </row>
    <row r="13" spans="2:6" ht="15" customHeight="1">
      <c r="B13" s="1" t="s">
        <v>688</v>
      </c>
      <c r="C13" s="1" t="s">
        <v>891</v>
      </c>
      <c r="D13" s="1">
        <v>22</v>
      </c>
      <c r="E13" s="1" t="str">
        <f>_xlfn.CONCAT(Tabela15[[#This Row],[SETOR]],Tabela15[[#This Row],[FILIAL]],Tabela15[[#This Row],[CÓD]])</f>
        <v>ADMBH22</v>
      </c>
      <c r="F13" s="1" t="str">
        <f>_xlfn.CONCAT(Tabela15[[#This Row],[SETOR]:[Concatenar]])</f>
        <v>ADMBH22ADMBH22</v>
      </c>
    </row>
    <row r="14" spans="2:6" ht="15" customHeight="1">
      <c r="B14" s="1" t="s">
        <v>688</v>
      </c>
      <c r="C14" s="1" t="s">
        <v>890</v>
      </c>
      <c r="D14" s="1">
        <v>23</v>
      </c>
      <c r="E14" s="1" t="str">
        <f>_xlfn.CONCAT(Tabela15[[#This Row],[SETOR]],Tabela15[[#This Row],[FILIAL]],Tabela15[[#This Row],[CÓD]])</f>
        <v>ADMRJ23</v>
      </c>
      <c r="F14" s="1" t="str">
        <f>_xlfn.CONCAT(Tabela15[[#This Row],[SETOR]:[Concatenar]])</f>
        <v>ADMRJ23ADMRJ23</v>
      </c>
    </row>
    <row r="15" spans="2:6" ht="15" customHeight="1">
      <c r="B15" s="1" t="s">
        <v>689</v>
      </c>
      <c r="C15" s="1" t="s">
        <v>892</v>
      </c>
      <c r="D15" s="1">
        <v>24</v>
      </c>
      <c r="E15" s="1" t="str">
        <f>_xlfn.CONCAT(Tabela15[[#This Row],[SETOR]],Tabela15[[#This Row],[FILIAL]],Tabela15[[#This Row],[CÓD]])</f>
        <v>FINGO24</v>
      </c>
      <c r="F15" s="1" t="str">
        <f>_xlfn.CONCAT(Tabela15[[#This Row],[SETOR]:[Concatenar]])</f>
        <v>FINGO24FINGO24</v>
      </c>
    </row>
    <row r="16" spans="2:6" ht="15" customHeight="1">
      <c r="B16" s="1" t="s">
        <v>689</v>
      </c>
      <c r="C16" s="1" t="s">
        <v>889</v>
      </c>
      <c r="D16" s="1">
        <v>25</v>
      </c>
      <c r="E16" s="1" t="str">
        <f>_xlfn.CONCAT(Tabela15[[#This Row],[SETOR]],Tabela15[[#This Row],[FILIAL]],Tabela15[[#This Row],[CÓD]])</f>
        <v>FINMG25</v>
      </c>
      <c r="F16" s="1" t="str">
        <f>_xlfn.CONCAT(Tabela15[[#This Row],[SETOR]:[Concatenar]])</f>
        <v>FINMG25FINMG25</v>
      </c>
    </row>
    <row r="17" spans="2:6" ht="15" customHeight="1">
      <c r="B17" s="1" t="s">
        <v>893</v>
      </c>
      <c r="C17" s="1" t="s">
        <v>890</v>
      </c>
      <c r="D17" s="1">
        <v>26</v>
      </c>
      <c r="E17" s="1" t="str">
        <f>_xlfn.CONCAT(Tabela15[[#This Row],[SETOR]],Tabela15[[#This Row],[FILIAL]],Tabela15[[#This Row],[CÓD]])</f>
        <v>ENSRJ26</v>
      </c>
      <c r="F17" s="1" t="str">
        <f>_xlfn.CONCAT(Tabela15[[#This Row],[SETOR]:[Concatenar]])</f>
        <v>ENSRJ26ENSRJ26</v>
      </c>
    </row>
    <row r="18" spans="2:6" ht="15" customHeight="1">
      <c r="B18" s="1" t="s">
        <v>689</v>
      </c>
      <c r="C18" s="1" t="s">
        <v>892</v>
      </c>
      <c r="D18" s="1">
        <v>27</v>
      </c>
      <c r="E18" s="1" t="str">
        <f>_xlfn.CONCAT(Tabela15[[#This Row],[SETOR]],Tabela15[[#This Row],[FILIAL]],Tabela15[[#This Row],[CÓD]])</f>
        <v>FINGO27</v>
      </c>
      <c r="F18" s="1" t="str">
        <f>_xlfn.CONCAT(Tabela15[[#This Row],[SETOR]:[Concatenar]])</f>
        <v>FINGO27FINGO27</v>
      </c>
    </row>
    <row r="19" spans="2:6" ht="15" customHeight="1">
      <c r="B19" s="1" t="s">
        <v>894</v>
      </c>
      <c r="C19" s="1" t="s">
        <v>892</v>
      </c>
      <c r="D19" s="1">
        <v>28</v>
      </c>
      <c r="E19" s="1" t="str">
        <f>_xlfn.CONCAT(Tabela15[[#This Row],[SETOR]],Tabela15[[#This Row],[FILIAL]],Tabela15[[#This Row],[CÓD]])</f>
        <v>SUPGO28</v>
      </c>
      <c r="F19" s="1" t="str">
        <f>_xlfn.CONCAT(Tabela15[[#This Row],[SETOR]:[Concatenar]])</f>
        <v>SUPGO28SUPGO28</v>
      </c>
    </row>
    <row r="20" spans="2:6" ht="15" customHeight="1">
      <c r="B20" s="1" t="s">
        <v>690</v>
      </c>
      <c r="C20" s="1" t="s">
        <v>26</v>
      </c>
      <c r="D20" s="1">
        <v>29</v>
      </c>
      <c r="E20" s="1" t="str">
        <f>_xlfn.CONCAT(Tabela15[[#This Row],[SETOR]],Tabela15[[#This Row],[FILIAL]],Tabela15[[#This Row],[CÓD]])</f>
        <v>LOGSP29</v>
      </c>
      <c r="F20" s="1" t="str">
        <f>_xlfn.CONCAT(Tabela15[[#This Row],[SETOR]:[Concatenar]])</f>
        <v>LOGSP29LOGSP29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3E12-097F-4EAB-8A3E-522E7B66C71D}">
  <sheetPr>
    <tabColor rgb="FF0070C0"/>
  </sheetPr>
  <dimension ref="B2:G15"/>
  <sheetViews>
    <sheetView zoomScaleNormal="100" workbookViewId="0">
      <selection activeCell="E9" sqref="E9:G10"/>
    </sheetView>
  </sheetViews>
  <sheetFormatPr defaultRowHeight="15"/>
  <cols>
    <col min="2" max="2" width="57.7109375" bestFit="1" customWidth="1"/>
  </cols>
  <sheetData>
    <row r="2" spans="2:7">
      <c r="E2" s="823" t="s">
        <v>802</v>
      </c>
      <c r="F2" s="824"/>
      <c r="G2" s="825"/>
    </row>
    <row r="3" spans="2:7">
      <c r="B3" s="326" t="s">
        <v>793</v>
      </c>
      <c r="E3" s="330" t="s">
        <v>794</v>
      </c>
      <c r="F3" s="330" t="s">
        <v>795</v>
      </c>
      <c r="G3" s="330" t="s">
        <v>796</v>
      </c>
    </row>
    <row r="4" spans="2:7">
      <c r="B4" s="327" t="s">
        <v>788</v>
      </c>
      <c r="E4" s="330" t="s">
        <v>797</v>
      </c>
      <c r="F4" s="330" t="s">
        <v>540</v>
      </c>
      <c r="G4" s="330" t="s">
        <v>798</v>
      </c>
    </row>
    <row r="5" spans="2:7">
      <c r="B5" s="328" t="s">
        <v>789</v>
      </c>
      <c r="E5" s="330" t="s">
        <v>799</v>
      </c>
      <c r="F5" s="330" t="s">
        <v>800</v>
      </c>
      <c r="G5" s="330" t="s">
        <v>801</v>
      </c>
    </row>
    <row r="6" spans="2:7">
      <c r="B6" s="327"/>
    </row>
    <row r="7" spans="2:7">
      <c r="B7" s="328" t="s">
        <v>790</v>
      </c>
    </row>
    <row r="8" spans="2:7" ht="15.75" thickBot="1">
      <c r="B8" s="327"/>
      <c r="E8" s="821" t="s">
        <v>581</v>
      </c>
      <c r="F8" s="822"/>
      <c r="G8" s="822"/>
    </row>
    <row r="9" spans="2:7">
      <c r="B9" s="328" t="s">
        <v>791</v>
      </c>
      <c r="E9" s="826"/>
      <c r="F9" s="827"/>
      <c r="G9" s="828"/>
    </row>
    <row r="10" spans="2:7" ht="15.75" thickBot="1">
      <c r="B10" s="327" t="s">
        <v>792</v>
      </c>
      <c r="E10" s="829"/>
      <c r="F10" s="830"/>
      <c r="G10" s="831"/>
    </row>
    <row r="11" spans="2:7">
      <c r="B11" s="328"/>
    </row>
    <row r="12" spans="2:7">
      <c r="B12" s="327"/>
    </row>
    <row r="13" spans="2:7" ht="15.75" thickBot="1">
      <c r="B13" s="464" t="s">
        <v>581</v>
      </c>
    </row>
    <row r="14" spans="2:7" ht="24.75" customHeight="1" thickBot="1">
      <c r="B14" s="329" t="str">
        <f>_xlfn.TEXTJOIN(" ",TRUE,B4:B12)</f>
        <v>Estamos juntando todas estas células com o método desta aula</v>
      </c>
    </row>
    <row r="15" spans="2:7">
      <c r="B15" s="1"/>
    </row>
  </sheetData>
  <mergeCells count="3">
    <mergeCell ref="E8:G8"/>
    <mergeCell ref="E2:G2"/>
    <mergeCell ref="E9:G10"/>
  </mergeCells>
  <pageMargins left="0.511811024" right="0.511811024" top="0.78740157499999996" bottom="0.78740157499999996" header="0.31496062000000002" footer="0.3149606200000000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70C0"/>
  </sheetPr>
  <dimension ref="B1:F14"/>
  <sheetViews>
    <sheetView showGridLines="0" zoomScaleNormal="100" workbookViewId="0">
      <selection activeCell="F9" sqref="F9"/>
    </sheetView>
  </sheetViews>
  <sheetFormatPr defaultRowHeight="19.5" customHeight="1"/>
  <cols>
    <col min="1" max="1" width="2.42578125" customWidth="1"/>
    <col min="2" max="2" width="19.5703125" customWidth="1"/>
    <col min="3" max="3" width="25.7109375" customWidth="1"/>
    <col min="4" max="4" width="13.140625" customWidth="1"/>
    <col min="6" max="6" width="69.5703125" bestFit="1" customWidth="1"/>
    <col min="7" max="7" width="2.5703125" customWidth="1"/>
    <col min="13" max="13" width="9.140625" customWidth="1"/>
    <col min="14" max="14" width="3.7109375" customWidth="1"/>
  </cols>
  <sheetData>
    <row r="1" spans="2:6" ht="19.5" customHeight="1" thickBot="1">
      <c r="B1" s="4" t="s">
        <v>28</v>
      </c>
      <c r="C1" s="2"/>
      <c r="D1" s="2"/>
      <c r="E1" s="2"/>
      <c r="F1" s="3"/>
    </row>
    <row r="2" spans="2:6" s="1" customFormat="1" ht="19.5" customHeight="1">
      <c r="B2" s="325" t="s">
        <v>0</v>
      </c>
      <c r="C2" s="325" t="s">
        <v>27</v>
      </c>
      <c r="D2" s="325" t="s">
        <v>1</v>
      </c>
      <c r="E2" s="325" t="s">
        <v>2</v>
      </c>
      <c r="F2" s="325" t="s">
        <v>582</v>
      </c>
    </row>
    <row r="3" spans="2:6" ht="19.5" customHeight="1">
      <c r="B3" s="643" t="s">
        <v>3</v>
      </c>
      <c r="C3" s="643" t="s">
        <v>11</v>
      </c>
      <c r="D3" s="643" t="s">
        <v>19</v>
      </c>
      <c r="E3" s="643" t="s">
        <v>26</v>
      </c>
      <c r="F3" s="643" t="str">
        <f>_xlfn.TEXTJOIN(",",TRUE,B3:E3)&amp;"."</f>
        <v>Ana Gates,Rua Amaral Neto 234,Barueri,SP.</v>
      </c>
    </row>
    <row r="4" spans="2:6" ht="19.5" customHeight="1">
      <c r="B4" s="644" t="s">
        <v>4</v>
      </c>
      <c r="C4" s="644" t="s">
        <v>12</v>
      </c>
      <c r="D4" s="644" t="s">
        <v>20</v>
      </c>
      <c r="E4" s="644" t="s">
        <v>26</v>
      </c>
      <c r="F4" s="644" t="str">
        <f>_xlfn.TEXTJOIN(",",TRUE,B4:C4:B4:E4)&amp;"."</f>
        <v>Marcos Emílio,Rua dos Andrades 1000,Osasco,SP.</v>
      </c>
    </row>
    <row r="5" spans="2:6" ht="19.5" customHeight="1">
      <c r="B5" s="643" t="s">
        <v>5</v>
      </c>
      <c r="C5" s="643" t="s">
        <v>13</v>
      </c>
      <c r="D5" s="643" t="s">
        <v>21</v>
      </c>
      <c r="E5" s="643" t="s">
        <v>26</v>
      </c>
      <c r="F5" s="644" t="str">
        <f>_xlfn.TEXTJOIN(",",TRUE,B5:C5:B5:E5)&amp;"."</f>
        <v>Gildete Maria,Via Cunha Matos 23,Cotia,SP.</v>
      </c>
    </row>
    <row r="6" spans="2:6" ht="19.5" customHeight="1">
      <c r="B6" s="644" t="s">
        <v>6</v>
      </c>
      <c r="C6" s="644" t="s">
        <v>14</v>
      </c>
      <c r="D6" s="644" t="s">
        <v>22</v>
      </c>
      <c r="E6" s="644" t="s">
        <v>26</v>
      </c>
      <c r="F6" s="644" t="str">
        <f>_xlfn.TEXTJOIN(",",TRUE,B6:C6:B6:E6)&amp;"."</f>
        <v>Ruth Gomes,Alameda Araguaiana 100,Guarulhos,SP.</v>
      </c>
    </row>
    <row r="7" spans="2:6" ht="19.5" customHeight="1">
      <c r="B7" s="643" t="s">
        <v>7</v>
      </c>
      <c r="C7" s="643" t="s">
        <v>15</v>
      </c>
      <c r="D7" s="643" t="s">
        <v>23</v>
      </c>
      <c r="E7" s="643" t="s">
        <v>26</v>
      </c>
      <c r="F7" s="644" t="str">
        <f>_xlfn.TEXTJOIN(",",TRUE,B7:C7:B7:E7)&amp;"."</f>
        <v>Euzébio Matos,Avenida Policarpo Sá 129,Campinas,SP.</v>
      </c>
    </row>
    <row r="8" spans="2:6" ht="19.5" customHeight="1">
      <c r="B8" s="644" t="s">
        <v>8</v>
      </c>
      <c r="C8" s="644" t="s">
        <v>16</v>
      </c>
      <c r="D8" s="644" t="s">
        <v>24</v>
      </c>
      <c r="E8" s="644" t="s">
        <v>26</v>
      </c>
      <c r="F8" s="644" t="str">
        <f>_xlfn.TEXTJOIN(",",TRUE,B8:C8:B8:E8)&amp;"."</f>
        <v>Anderson Costa,Travessa Guido Sergio 12,Sorocaba,SP.</v>
      </c>
    </row>
    <row r="9" spans="2:6" ht="19.5" customHeight="1">
      <c r="B9" s="643" t="s">
        <v>9</v>
      </c>
      <c r="C9" s="643" t="s">
        <v>17</v>
      </c>
      <c r="D9" s="643" t="s">
        <v>25</v>
      </c>
      <c r="E9" s="643" t="s">
        <v>26</v>
      </c>
      <c r="F9" s="644" t="str">
        <f>_xlfn.TEXTJOIN(",",TRUE,B9:C9:B9:E9)&amp;"."</f>
        <v>William Martins,Rua Batatais 100,Indaiatuba,SP.</v>
      </c>
    </row>
    <row r="10" spans="2:6" ht="19.5" customHeight="1">
      <c r="B10" s="644" t="s">
        <v>10</v>
      </c>
      <c r="C10" s="644" t="s">
        <v>18</v>
      </c>
      <c r="D10" s="644" t="s">
        <v>23</v>
      </c>
      <c r="E10" s="644" t="s">
        <v>26</v>
      </c>
      <c r="F10" s="644" t="str">
        <f>_xlfn.TEXTJOIN(",",TRUE,B10:C10:B10:E10)&amp;"."</f>
        <v>Sheila Carlos,Rua Floriano Peixoto 200,Campinas,SP.</v>
      </c>
    </row>
    <row r="12" spans="2:6" ht="19.5" customHeight="1" thickBot="1"/>
    <row r="13" spans="2:6" ht="19.5" customHeight="1">
      <c r="F13" s="409" t="s">
        <v>897</v>
      </c>
    </row>
    <row r="14" spans="2:6" ht="19.5" customHeight="1" thickBot="1">
      <c r="F14" s="408" t="s">
        <v>787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3870-A963-409B-9B0E-0BB13406CF08}">
  <sheetPr>
    <tabColor rgb="FF0070C0"/>
  </sheetPr>
  <dimension ref="B2:C12"/>
  <sheetViews>
    <sheetView zoomScale="110" zoomScaleNormal="110" workbookViewId="0">
      <selection activeCell="C12" sqref="B2:C12"/>
    </sheetView>
  </sheetViews>
  <sheetFormatPr defaultRowHeight="15"/>
  <cols>
    <col min="1" max="1" width="2.7109375" customWidth="1"/>
    <col min="2" max="2" width="16.140625" customWidth="1"/>
    <col min="3" max="3" width="14.140625" bestFit="1" customWidth="1"/>
  </cols>
  <sheetData>
    <row r="2" spans="2:3" ht="18.75">
      <c r="B2" s="832" t="s">
        <v>964</v>
      </c>
      <c r="C2" s="832"/>
    </row>
    <row r="3" spans="2:3">
      <c r="B3" t="s">
        <v>959</v>
      </c>
      <c r="C3" t="s">
        <v>581</v>
      </c>
    </row>
    <row r="4" spans="2:3">
      <c r="B4" t="s">
        <v>806</v>
      </c>
      <c r="C4" t="str">
        <f>CHAR(149)&amp;" "&amp;Tabela18[[#This Row],[Item]]</f>
        <v>• Notebook</v>
      </c>
    </row>
    <row r="5" spans="2:3">
      <c r="B5" t="s">
        <v>960</v>
      </c>
      <c r="C5" t="str">
        <f>CHAR(149)&amp;" "&amp;Tabela18[[#This Row],[Item]]</f>
        <v>• Mouse</v>
      </c>
    </row>
    <row r="6" spans="2:3">
      <c r="B6" t="s">
        <v>961</v>
      </c>
      <c r="C6" t="str">
        <f>CHAR(149)&amp;" "&amp;Tabela18[[#This Row],[Item]]</f>
        <v>• Teclado</v>
      </c>
    </row>
    <row r="7" spans="2:3">
      <c r="B7" t="s">
        <v>962</v>
      </c>
      <c r="C7" t="str">
        <f>CHAR(149)&amp;" "&amp;Tabela18[[#This Row],[Item]]</f>
        <v>• Mousepad</v>
      </c>
    </row>
    <row r="8" spans="2:3">
      <c r="B8" t="s">
        <v>428</v>
      </c>
      <c r="C8" t="str">
        <f>CHAR(149)&amp;" "&amp;Tabela18[[#This Row],[Item]]</f>
        <v>• Webcam</v>
      </c>
    </row>
    <row r="9" spans="2:3">
      <c r="B9" t="s">
        <v>963</v>
      </c>
      <c r="C9" t="str">
        <f>CHAR(149)&amp;" "&amp;Tabela18[[#This Row],[Item]]</f>
        <v>• Office 365</v>
      </c>
    </row>
    <row r="10" spans="2:3">
      <c r="B10" t="s">
        <v>1096</v>
      </c>
      <c r="C10" t="str">
        <f>CHAR(149)&amp;" "&amp;Tabela18[[#This Row],[Item]]</f>
        <v>• Power BI</v>
      </c>
    </row>
    <row r="11" spans="2:3">
      <c r="B11" t="s">
        <v>1097</v>
      </c>
      <c r="C11" t="str">
        <f>CHAR(149)&amp;" "&amp;Tabela18[[#This Row],[Item]]</f>
        <v>• Office 2010</v>
      </c>
    </row>
    <row r="12" spans="2:3">
      <c r="B12" t="s">
        <v>1098</v>
      </c>
      <c r="C12" t="str">
        <f>CHAR(149)&amp;" "&amp;Tabela18[[#This Row],[Item]]</f>
        <v>• Power Point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B7406"/>
  </sheetPr>
  <dimension ref="B2:H20"/>
  <sheetViews>
    <sheetView showGridLines="0" zoomScale="90" zoomScaleNormal="90" workbookViewId="0">
      <selection activeCell="F10" sqref="F10"/>
    </sheetView>
  </sheetViews>
  <sheetFormatPr defaultRowHeight="15"/>
  <cols>
    <col min="2" max="2" width="14.5703125" customWidth="1"/>
    <col min="3" max="3" width="19.7109375" bestFit="1" customWidth="1"/>
    <col min="4" max="4" width="11" bestFit="1" customWidth="1"/>
    <col min="5" max="5" width="19" bestFit="1" customWidth="1"/>
    <col min="6" max="6" width="29.28515625" bestFit="1" customWidth="1"/>
    <col min="7" max="7" width="31.85546875" bestFit="1" customWidth="1"/>
  </cols>
  <sheetData>
    <row r="2" spans="2:8" ht="27" customHeight="1">
      <c r="B2" s="833" t="s">
        <v>1099</v>
      </c>
      <c r="C2" s="833"/>
      <c r="D2" s="833"/>
      <c r="E2" s="833"/>
      <c r="F2" s="833"/>
      <c r="G2" s="833"/>
    </row>
    <row r="3" spans="2:8" s="267" customFormat="1" ht="27.75" customHeight="1">
      <c r="B3" s="645" t="s">
        <v>0</v>
      </c>
      <c r="C3" s="645" t="s">
        <v>189</v>
      </c>
      <c r="D3" s="645" t="s">
        <v>590</v>
      </c>
      <c r="E3" s="645" t="s">
        <v>161</v>
      </c>
      <c r="F3" s="645" t="s">
        <v>686</v>
      </c>
      <c r="G3" s="645" t="s">
        <v>692</v>
      </c>
    </row>
    <row r="4" spans="2:8">
      <c r="B4" s="646" t="s">
        <v>678</v>
      </c>
      <c r="C4" s="646" t="s">
        <v>780</v>
      </c>
      <c r="D4" s="646">
        <v>27</v>
      </c>
      <c r="E4" s="646" t="s">
        <v>687</v>
      </c>
      <c r="F4" s="646" t="s">
        <v>1127</v>
      </c>
      <c r="G4" s="646" t="str">
        <f>LOWER(CONCATENATE(EMAIL_COLABORADOS[[#This Row],[Nome]], ".",EMAIL_COLABORADOS[[#This Row],[Sobrenome]],"@",EMAIL_COLABORADOS[[#This Row],[Extensão para novo e-mail]]))</f>
        <v>ana.nunes@tjsp.jus.br</v>
      </c>
    </row>
    <row r="5" spans="2:8">
      <c r="B5" s="646" t="s">
        <v>539</v>
      </c>
      <c r="C5" s="646" t="s">
        <v>1113</v>
      </c>
      <c r="D5" s="646">
        <v>40</v>
      </c>
      <c r="E5" s="646" t="s">
        <v>688</v>
      </c>
      <c r="F5" s="646" t="s">
        <v>1127</v>
      </c>
      <c r="G5" s="646" t="str">
        <f>LOWER(CONCATENATE(EMAIL_COLABORADOS[[#This Row],[Nome]], ".",EMAIL_COLABORADOS[[#This Row],[Sobrenome]],"@",EMAIL_COLABORADOS[[#This Row],[Extensão para novo e-mail]]))</f>
        <v>maria.aguiar@tjsp.jus.br</v>
      </c>
    </row>
    <row r="6" spans="2:8">
      <c r="B6" s="646" t="s">
        <v>1100</v>
      </c>
      <c r="C6" s="646" t="s">
        <v>1114</v>
      </c>
      <c r="D6" s="646">
        <v>46</v>
      </c>
      <c r="E6" s="646" t="s">
        <v>689</v>
      </c>
      <c r="F6" s="646" t="s">
        <v>1127</v>
      </c>
      <c r="G6" s="646" t="str">
        <f>LOWER(CONCATENATE(EMAIL_COLABORADOS[[#This Row],[Nome]], ".",EMAIL_COLABORADOS[[#This Row],[Sobrenome]],"@",EMAIL_COLABORADOS[[#This Row],[Extensão para novo e-mail]]))</f>
        <v>ceres.estevez@tjsp.jus.br</v>
      </c>
    </row>
    <row r="7" spans="2:8">
      <c r="B7" s="646" t="s">
        <v>1101</v>
      </c>
      <c r="C7" s="646" t="s">
        <v>777</v>
      </c>
      <c r="D7" s="646">
        <v>65</v>
      </c>
      <c r="E7" s="646" t="s">
        <v>690</v>
      </c>
      <c r="F7" s="646" t="s">
        <v>1127</v>
      </c>
      <c r="G7" s="646" t="str">
        <f>LOWER(CONCATENATE(EMAIL_COLABORADOS[[#This Row],[Nome]], ".",EMAIL_COLABORADOS[[#This Row],[Sobrenome]],"@",EMAIL_COLABORADOS[[#This Row],[Extensão para novo e-mail]]))</f>
        <v>marcia.dias@tjsp.jus.br</v>
      </c>
    </row>
    <row r="8" spans="2:8">
      <c r="B8" s="646" t="s">
        <v>1102</v>
      </c>
      <c r="C8" s="646" t="s">
        <v>1115</v>
      </c>
      <c r="D8" s="646">
        <v>51</v>
      </c>
      <c r="E8" s="646" t="s">
        <v>691</v>
      </c>
      <c r="F8" s="646" t="s">
        <v>1127</v>
      </c>
      <c r="G8" s="646" t="str">
        <f>LOWER(CONCATENATE(EMAIL_COLABORADOS[[#This Row],[Nome]], ".",EMAIL_COLABORADOS[[#This Row],[Sobrenome]],"@",EMAIL_COLABORADOS[[#This Row],[Extensão para novo e-mail]]))</f>
        <v>tamara.danubio@tjsp.jus.br</v>
      </c>
    </row>
    <row r="9" spans="2:8">
      <c r="B9" s="646" t="s">
        <v>1103</v>
      </c>
      <c r="C9" s="646" t="s">
        <v>1116</v>
      </c>
      <c r="D9" s="646">
        <v>34</v>
      </c>
      <c r="E9" s="646" t="s">
        <v>689</v>
      </c>
      <c r="F9" s="646" t="s">
        <v>1127</v>
      </c>
      <c r="G9" s="646" t="str">
        <f>LOWER(CONCATENATE(EMAIL_COLABORADOS[[#This Row],[Nome]], ".",EMAIL_COLABORADOS[[#This Row],[Sobrenome]],"@",EMAIL_COLABORADOS[[#This Row],[Extensão para novo e-mail]]))</f>
        <v>valter.fortes@tjsp.jus.br</v>
      </c>
    </row>
    <row r="10" spans="2:8">
      <c r="B10" s="646" t="s">
        <v>432</v>
      </c>
      <c r="C10" s="646" t="s">
        <v>1117</v>
      </c>
      <c r="D10" s="646">
        <v>52</v>
      </c>
      <c r="E10" s="646" t="s">
        <v>689</v>
      </c>
      <c r="F10" s="646" t="s">
        <v>1127</v>
      </c>
      <c r="G10" s="646" t="str">
        <f>LOWER(CONCATENATE(EMAIL_COLABORADOS[[#This Row],[Nome]], ".",EMAIL_COLABORADOS[[#This Row],[Sobrenome]],"@",EMAIL_COLABORADOS[[#This Row],[Extensão para novo e-mail]]))</f>
        <v>victor.silva@tjsp.jus.br</v>
      </c>
    </row>
    <row r="11" spans="2:8">
      <c r="B11" s="646" t="s">
        <v>776</v>
      </c>
      <c r="C11" s="646" t="s">
        <v>1118</v>
      </c>
      <c r="D11" s="646">
        <v>43</v>
      </c>
      <c r="E11" s="646" t="s">
        <v>688</v>
      </c>
      <c r="F11" s="646" t="s">
        <v>1127</v>
      </c>
      <c r="G11" s="646" t="str">
        <f>LOWER(CONCATENATE(EMAIL_COLABORADOS[[#This Row],[Nome]], ".",EMAIL_COLABORADOS[[#This Row],[Sobrenome]],"@",EMAIL_COLABORADOS[[#This Row],[Extensão para novo e-mail]]))</f>
        <v>camila.souza@tjsp.jus.br</v>
      </c>
    </row>
    <row r="12" spans="2:8">
      <c r="B12" s="646" t="s">
        <v>1104</v>
      </c>
      <c r="C12" s="646" t="s">
        <v>1119</v>
      </c>
      <c r="D12" s="646">
        <v>21</v>
      </c>
      <c r="E12" s="646" t="s">
        <v>691</v>
      </c>
      <c r="F12" s="646" t="s">
        <v>1127</v>
      </c>
      <c r="G12" s="646" t="str">
        <f>LOWER(CONCATENATE(EMAIL_COLABORADOS[[#This Row],[Nome]], ".",EMAIL_COLABORADOS[[#This Row],[Sobrenome]],"@",EMAIL_COLABORADOS[[#This Row],[Extensão para novo e-mail]]))</f>
        <v>denise.alencar@tjsp.jus.br</v>
      </c>
    </row>
    <row r="13" spans="2:8">
      <c r="B13" s="646" t="s">
        <v>1105</v>
      </c>
      <c r="C13" s="646" t="s">
        <v>1120</v>
      </c>
      <c r="D13" s="646">
        <v>62</v>
      </c>
      <c r="E13" s="646" t="s">
        <v>690</v>
      </c>
      <c r="F13" s="646" t="s">
        <v>1127</v>
      </c>
      <c r="G13" s="646" t="str">
        <f>LOWER(CONCATENATE(EMAIL_COLABORADOS[[#This Row],[Nome]], ".",EMAIL_COLABORADOS[[#This Row],[Sobrenome]],"@",EMAIL_COLABORADOS[[#This Row],[Extensão para novo e-mail]]))</f>
        <v>dilza.sotero@tjsp.jus.br</v>
      </c>
    </row>
    <row r="14" spans="2:8">
      <c r="B14" s="646" t="s">
        <v>1106</v>
      </c>
      <c r="C14" s="646" t="s">
        <v>1121</v>
      </c>
      <c r="D14" s="646">
        <v>64</v>
      </c>
      <c r="E14" s="646" t="s">
        <v>691</v>
      </c>
      <c r="F14" s="646" t="s">
        <v>1127</v>
      </c>
      <c r="G14" s="646" t="str">
        <f>LOWER(CONCATENATE(EMAIL_COLABORADOS[[#This Row],[Nome]], ".",EMAIL_COLABORADOS[[#This Row],[Sobrenome]],"@",EMAIL_COLABORADOS[[#This Row],[Extensão para novo e-mail]]))</f>
        <v>elenice.mathias@tjsp.jus.br</v>
      </c>
    </row>
    <row r="15" spans="2:8">
      <c r="B15" s="646" t="s">
        <v>1107</v>
      </c>
      <c r="C15" s="646" t="s">
        <v>1122</v>
      </c>
      <c r="D15" s="646">
        <v>18</v>
      </c>
      <c r="E15" s="646" t="s">
        <v>691</v>
      </c>
      <c r="F15" s="646" t="s">
        <v>1127</v>
      </c>
      <c r="G15" s="646" t="str">
        <f>LOWER(CONCATENATE(EMAIL_COLABORADOS[[#This Row],[Nome]], ".",EMAIL_COLABORADOS[[#This Row],[Sobrenome]],"@",EMAIL_COLABORADOS[[#This Row],[Extensão para novo e-mail]]))</f>
        <v>marcos.novaes@tjsp.jus.br</v>
      </c>
      <c r="H15" s="266"/>
    </row>
    <row r="16" spans="2:8">
      <c r="B16" s="646" t="s">
        <v>1108</v>
      </c>
      <c r="C16" s="646" t="s">
        <v>1123</v>
      </c>
      <c r="D16" s="646">
        <v>36</v>
      </c>
      <c r="E16" s="646" t="s">
        <v>690</v>
      </c>
      <c r="F16" s="646" t="s">
        <v>1127</v>
      </c>
      <c r="G16" s="646" t="str">
        <f>LOWER(CONCATENATE(EMAIL_COLABORADOS[[#This Row],[Nome]], ".",EMAIL_COLABORADOS[[#This Row],[Sobrenome]],"@",EMAIL_COLABORADOS[[#This Row],[Extensão para novo e-mail]]))</f>
        <v>bruno.quincas@tjsp.jus.br</v>
      </c>
    </row>
    <row r="17" spans="2:7">
      <c r="B17" s="646" t="s">
        <v>1109</v>
      </c>
      <c r="C17" s="646" t="s">
        <v>676</v>
      </c>
      <c r="D17" s="646">
        <v>36</v>
      </c>
      <c r="E17" s="646" t="s">
        <v>688</v>
      </c>
      <c r="F17" s="646" t="s">
        <v>1127</v>
      </c>
      <c r="G17" s="646" t="str">
        <f>LOWER(CONCATENATE(EMAIL_COLABORADOS[[#This Row],[Nome]], ".",EMAIL_COLABORADOS[[#This Row],[Sobrenome]],"@",EMAIL_COLABORADOS[[#This Row],[Extensão para novo e-mail]]))</f>
        <v>bruna.carlos@tjsp.jus.br</v>
      </c>
    </row>
    <row r="18" spans="2:7">
      <c r="B18" s="646" t="s">
        <v>1110</v>
      </c>
      <c r="C18" s="646" t="s">
        <v>1124</v>
      </c>
      <c r="D18" s="646">
        <v>58</v>
      </c>
      <c r="E18" s="646" t="s">
        <v>688</v>
      </c>
      <c r="F18" s="646" t="s">
        <v>1127</v>
      </c>
      <c r="G18" s="646" t="str">
        <f>LOWER(CONCATENATE(EMAIL_COLABORADOS[[#This Row],[Nome]], ".",EMAIL_COLABORADOS[[#This Row],[Sobrenome]],"@",EMAIL_COLABORADOS[[#This Row],[Extensão para novo e-mail]]))</f>
        <v>cilene.vaz@tjsp.jus.br</v>
      </c>
    </row>
    <row r="19" spans="2:7">
      <c r="B19" s="646" t="s">
        <v>1111</v>
      </c>
      <c r="C19" s="646" t="s">
        <v>1125</v>
      </c>
      <c r="D19" s="646">
        <v>41</v>
      </c>
      <c r="E19" s="646" t="s">
        <v>690</v>
      </c>
      <c r="F19" s="646" t="s">
        <v>1127</v>
      </c>
      <c r="G19" s="646" t="str">
        <f>LOWER(CONCATENATE(EMAIL_COLABORADOS[[#This Row],[Nome]], ".",EMAIL_COLABORADOS[[#This Row],[Sobrenome]],"@",EMAIL_COLABORADOS[[#This Row],[Extensão para novo e-mail]]))</f>
        <v>jessica.godoi@tjsp.jus.br</v>
      </c>
    </row>
    <row r="20" spans="2:7">
      <c r="B20" s="646" t="s">
        <v>1112</v>
      </c>
      <c r="C20" s="646" t="s">
        <v>1126</v>
      </c>
      <c r="D20" s="646">
        <v>40</v>
      </c>
      <c r="E20" s="646" t="s">
        <v>688</v>
      </c>
      <c r="F20" s="646" t="s">
        <v>1127</v>
      </c>
      <c r="G20" s="646" t="str">
        <f>LOWER(CONCATENATE(EMAIL_COLABORADOS[[#This Row],[Nome]], ".",EMAIL_COLABORADOS[[#This Row],[Sobrenome]],"@",EMAIL_COLABORADOS[[#This Row],[Extensão para novo e-mail]]))</f>
        <v>gildete.saturnino@tjsp.jus.br</v>
      </c>
    </row>
  </sheetData>
  <mergeCells count="1"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36B1-4CA0-4732-9B71-DFA86F7D1371}">
  <sheetPr>
    <tabColor theme="7"/>
  </sheetPr>
  <dimension ref="A1"/>
  <sheetViews>
    <sheetView showGridLines="0" showRowColHeaders="0" zoomScaleNormal="100" workbookViewId="0">
      <selection activeCell="D15" sqref="D15"/>
    </sheetView>
  </sheetViews>
  <sheetFormatPr defaultRowHeight="15"/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0070C0"/>
  </sheetPr>
  <dimension ref="B2:M19"/>
  <sheetViews>
    <sheetView showGridLines="0" zoomScaleNormal="100" workbookViewId="0">
      <selection activeCell="H4" sqref="H4"/>
    </sheetView>
  </sheetViews>
  <sheetFormatPr defaultRowHeight="16.5" customHeight="1"/>
  <cols>
    <col min="1" max="1" width="4.28515625" customWidth="1"/>
    <col min="2" max="2" width="12.5703125" customWidth="1"/>
    <col min="3" max="3" width="10.28515625" customWidth="1"/>
    <col min="4" max="4" width="9.7109375" customWidth="1"/>
    <col min="5" max="9" width="14" bestFit="1" customWidth="1"/>
    <col min="10" max="10" width="4.140625" customWidth="1"/>
    <col min="11" max="12" width="16.85546875" bestFit="1" customWidth="1"/>
    <col min="13" max="13" width="21.5703125" customWidth="1"/>
    <col min="14" max="14" width="16.85546875" bestFit="1" customWidth="1"/>
    <col min="16" max="16" width="11.85546875" bestFit="1" customWidth="1"/>
    <col min="17" max="17" width="7" bestFit="1" customWidth="1"/>
    <col min="18" max="18" width="22.85546875" bestFit="1" customWidth="1"/>
  </cols>
  <sheetData>
    <row r="2" spans="2:13" ht="23.25">
      <c r="B2" s="465" t="s">
        <v>987</v>
      </c>
      <c r="C2" s="465"/>
      <c r="D2" s="465"/>
      <c r="E2" s="465"/>
      <c r="F2" s="465"/>
      <c r="G2" s="465"/>
      <c r="H2" s="465"/>
      <c r="I2" s="465"/>
      <c r="K2" s="195" t="s">
        <v>187</v>
      </c>
      <c r="L2" s="195" t="s">
        <v>695</v>
      </c>
      <c r="M2" s="195" t="s">
        <v>988</v>
      </c>
    </row>
    <row r="3" spans="2:13" ht="15">
      <c r="B3" s="270" t="s">
        <v>113</v>
      </c>
      <c r="C3" s="270" t="s">
        <v>451</v>
      </c>
      <c r="D3" s="270" t="s">
        <v>305</v>
      </c>
      <c r="E3" s="270" t="s">
        <v>989</v>
      </c>
      <c r="F3" s="270" t="s">
        <v>990</v>
      </c>
      <c r="G3" s="270" t="s">
        <v>991</v>
      </c>
      <c r="H3" s="270" t="s">
        <v>992</v>
      </c>
      <c r="I3" s="270" t="s">
        <v>993</v>
      </c>
      <c r="K3" t="s">
        <v>430</v>
      </c>
      <c r="L3" t="s">
        <v>696</v>
      </c>
      <c r="M3" t="b">
        <f>Tabela37[[#This Row],[Adulto]]="sim"</f>
        <v>1</v>
      </c>
    </row>
    <row r="4" spans="2:13" ht="16.5" customHeight="1">
      <c r="B4" s="268" t="s">
        <v>460</v>
      </c>
      <c r="C4" s="271">
        <v>4098641</v>
      </c>
      <c r="D4" s="271">
        <v>1953733</v>
      </c>
      <c r="E4" s="466" t="b">
        <f>Tabela17[[#This Row],[1º Trim.]]&gt;Tabela17[[#This Row],[Meta]]</f>
        <v>0</v>
      </c>
      <c r="F4" s="466" t="b">
        <f>Tabela17[[#This Row],[1º Trim.]]&gt;=Tabela17[[#This Row],[Meta]]</f>
        <v>0</v>
      </c>
      <c r="G4" s="466" t="b">
        <f>Tabela17[[#This Row],[1º Trim.]]&lt;Tabela17[[#This Row],[Meta]]</f>
        <v>1</v>
      </c>
      <c r="H4" s="466" t="b">
        <f>Tabela17[[#This Row],[1º Trim.]]=Tabela17[[#This Row],[Meta]]</f>
        <v>0</v>
      </c>
      <c r="I4" s="466" t="b">
        <f>Tabela17[[#This Row],[1º Trim.]]&lt;&gt;Tabela17[[#This Row],[Meta]]</f>
        <v>1</v>
      </c>
      <c r="K4" t="s">
        <v>433</v>
      </c>
      <c r="L4" t="s">
        <v>696</v>
      </c>
      <c r="M4" t="b">
        <f>Tabela37[[#This Row],[Adulto]]="sim"</f>
        <v>1</v>
      </c>
    </row>
    <row r="5" spans="2:13" ht="16.5" customHeight="1">
      <c r="B5" s="268" t="s">
        <v>19</v>
      </c>
      <c r="C5" s="271">
        <v>1953550</v>
      </c>
      <c r="D5" s="271">
        <v>7145278</v>
      </c>
      <c r="E5" s="466" t="b">
        <f>Tabela17[[#This Row],[1º Trim.]]&gt;Tabela17[[#This Row],[Meta]]</f>
        <v>1</v>
      </c>
      <c r="F5" s="466" t="b">
        <f>Tabela17[[#This Row],[1º Trim.]]&gt;=Tabela17[[#This Row],[Meta]]</f>
        <v>1</v>
      </c>
      <c r="G5" s="466" t="b">
        <f>Tabela17[[#This Row],[1º Trim.]]&lt;Tabela17[[#This Row],[Meta]]</f>
        <v>0</v>
      </c>
      <c r="H5" s="466" t="b">
        <f>Tabela17[[#This Row],[1º Trim.]]=Tabela17[[#This Row],[Meta]]</f>
        <v>0</v>
      </c>
      <c r="I5" s="466" t="b">
        <f>Tabela17[[#This Row],[1º Trim.]]&lt;&gt;Tabela17[[#This Row],[Meta]]</f>
        <v>1</v>
      </c>
      <c r="K5" t="s">
        <v>432</v>
      </c>
      <c r="L5" t="s">
        <v>696</v>
      </c>
      <c r="M5" t="b">
        <f>Tabela37[[#This Row],[Adulto]]="sim"</f>
        <v>1</v>
      </c>
    </row>
    <row r="6" spans="2:13" ht="16.5" customHeight="1">
      <c r="B6" s="268" t="s">
        <v>452</v>
      </c>
      <c r="C6" s="271">
        <v>3486507</v>
      </c>
      <c r="D6" s="271">
        <v>3486507</v>
      </c>
      <c r="E6" s="466" t="b">
        <f>Tabela17[[#This Row],[1º Trim.]]&gt;Tabela17[[#This Row],[Meta]]</f>
        <v>0</v>
      </c>
      <c r="F6" s="466" t="b">
        <f>Tabela17[[#This Row],[1º Trim.]]&gt;=Tabela17[[#This Row],[Meta]]</f>
        <v>1</v>
      </c>
      <c r="G6" s="466" t="b">
        <f>Tabela17[[#This Row],[1º Trim.]]&lt;Tabela17[[#This Row],[Meta]]</f>
        <v>0</v>
      </c>
      <c r="H6" s="466" t="b">
        <f>Tabela17[[#This Row],[1º Trim.]]=Tabela17[[#This Row],[Meta]]</f>
        <v>1</v>
      </c>
      <c r="I6" s="466" t="b">
        <f>Tabela17[[#This Row],[1º Trim.]]&lt;&gt;Tabela17[[#This Row],[Meta]]</f>
        <v>0</v>
      </c>
      <c r="K6" t="s">
        <v>434</v>
      </c>
      <c r="L6" t="s">
        <v>696</v>
      </c>
      <c r="M6" t="b">
        <f>Tabela37[[#This Row],[Adulto]]="sim"</f>
        <v>1</v>
      </c>
    </row>
    <row r="7" spans="2:13" ht="16.5" customHeight="1">
      <c r="B7" s="268" t="s">
        <v>453</v>
      </c>
      <c r="C7" s="271">
        <v>1666184</v>
      </c>
      <c r="D7" s="271">
        <v>4351917</v>
      </c>
      <c r="E7" s="466" t="b">
        <f>Tabela17[[#This Row],[1º Trim.]]&gt;Tabela17[[#This Row],[Meta]]</f>
        <v>1</v>
      </c>
      <c r="F7" s="466" t="b">
        <f>Tabela17[[#This Row],[1º Trim.]]&gt;=Tabela17[[#This Row],[Meta]]</f>
        <v>1</v>
      </c>
      <c r="G7" s="466" t="b">
        <f>Tabela17[[#This Row],[1º Trim.]]&lt;Tabela17[[#This Row],[Meta]]</f>
        <v>0</v>
      </c>
      <c r="H7" s="466" t="b">
        <f>Tabela17[[#This Row],[1º Trim.]]=Tabela17[[#This Row],[Meta]]</f>
        <v>0</v>
      </c>
      <c r="I7" s="466" t="b">
        <f>Tabela17[[#This Row],[1º Trim.]]&lt;&gt;Tabela17[[#This Row],[Meta]]</f>
        <v>1</v>
      </c>
      <c r="K7" t="s">
        <v>435</v>
      </c>
      <c r="L7" t="s">
        <v>697</v>
      </c>
      <c r="M7" t="b">
        <f>Tabela37[[#This Row],[Adulto]]="sim"</f>
        <v>0</v>
      </c>
    </row>
    <row r="8" spans="2:13" ht="16.5" customHeight="1">
      <c r="B8" s="268" t="s">
        <v>458</v>
      </c>
      <c r="C8" s="271">
        <v>9014512</v>
      </c>
      <c r="D8" s="271">
        <v>9861365</v>
      </c>
      <c r="E8" s="466" t="b">
        <f>Tabela17[[#This Row],[1º Trim.]]&gt;Tabela17[[#This Row],[Meta]]</f>
        <v>1</v>
      </c>
      <c r="F8" s="466" t="b">
        <f>Tabela17[[#This Row],[1º Trim.]]&gt;=Tabela17[[#This Row],[Meta]]</f>
        <v>1</v>
      </c>
      <c r="G8" s="466" t="b">
        <f>Tabela17[[#This Row],[1º Trim.]]&lt;Tabela17[[#This Row],[Meta]]</f>
        <v>0</v>
      </c>
      <c r="H8" s="466" t="b">
        <f>Tabela17[[#This Row],[1º Trim.]]=Tabela17[[#This Row],[Meta]]</f>
        <v>0</v>
      </c>
      <c r="I8" s="466" t="b">
        <f>Tabela17[[#This Row],[1º Trim.]]&lt;&gt;Tabela17[[#This Row],[Meta]]</f>
        <v>1</v>
      </c>
    </row>
    <row r="9" spans="2:13" ht="16.5" customHeight="1">
      <c r="B9" s="268" t="s">
        <v>456</v>
      </c>
      <c r="C9" s="271">
        <v>9392702</v>
      </c>
      <c r="D9" s="271">
        <v>9392702</v>
      </c>
      <c r="E9" s="466" t="b">
        <f>Tabela17[[#This Row],[1º Trim.]]&gt;Tabela17[[#This Row],[Meta]]</f>
        <v>0</v>
      </c>
      <c r="F9" s="466" t="b">
        <f>Tabela17[[#This Row],[1º Trim.]]&gt;=Tabela17[[#This Row],[Meta]]</f>
        <v>1</v>
      </c>
      <c r="G9" s="466" t="b">
        <f>Tabela17[[#This Row],[1º Trim.]]&lt;Tabela17[[#This Row],[Meta]]</f>
        <v>0</v>
      </c>
      <c r="H9" s="466" t="b">
        <f>Tabela17[[#This Row],[1º Trim.]]=Tabela17[[#This Row],[Meta]]</f>
        <v>1</v>
      </c>
      <c r="I9" s="466" t="b">
        <f>Tabela17[[#This Row],[1º Trim.]]&lt;&gt;Tabela17[[#This Row],[Meta]]</f>
        <v>0</v>
      </c>
      <c r="J9" s="467"/>
      <c r="K9" s="195" t="s">
        <v>187</v>
      </c>
      <c r="L9" s="195" t="s">
        <v>590</v>
      </c>
      <c r="M9" s="195" t="s">
        <v>994</v>
      </c>
    </row>
    <row r="10" spans="2:13" ht="16.5" customHeight="1">
      <c r="B10" s="268" t="s">
        <v>454</v>
      </c>
      <c r="C10" s="271">
        <v>6743232</v>
      </c>
      <c r="D10" s="271">
        <v>3547813</v>
      </c>
      <c r="E10" s="466" t="b">
        <f>Tabela17[[#This Row],[1º Trim.]]&gt;Tabela17[[#This Row],[Meta]]</f>
        <v>0</v>
      </c>
      <c r="F10" s="466" t="b">
        <f>Tabela17[[#This Row],[1º Trim.]]&gt;=Tabela17[[#This Row],[Meta]]</f>
        <v>0</v>
      </c>
      <c r="G10" s="466" t="b">
        <f>Tabela17[[#This Row],[1º Trim.]]&lt;Tabela17[[#This Row],[Meta]]</f>
        <v>1</v>
      </c>
      <c r="H10" s="466" t="b">
        <f>Tabela17[[#This Row],[1º Trim.]]=Tabela17[[#This Row],[Meta]]</f>
        <v>0</v>
      </c>
      <c r="I10" s="466" t="b">
        <f>Tabela17[[#This Row],[1º Trim.]]&lt;&gt;Tabela17[[#This Row],[Meta]]</f>
        <v>1</v>
      </c>
      <c r="K10" t="s">
        <v>430</v>
      </c>
      <c r="L10">
        <v>36</v>
      </c>
      <c r="M10" t="b">
        <f>Tabela3747[[#This Row],[Idade]]&gt;Tabela3747[[#This Row],[Colaborador]]</f>
        <v>0</v>
      </c>
    </row>
    <row r="11" spans="2:13" ht="16.5" customHeight="1">
      <c r="B11" s="268" t="s">
        <v>457</v>
      </c>
      <c r="C11" s="271">
        <v>9257488</v>
      </c>
      <c r="D11" s="271">
        <v>1953733</v>
      </c>
      <c r="E11" s="466" t="b">
        <f>Tabela17[[#This Row],[1º Trim.]]&gt;Tabela17[[#This Row],[Meta]]</f>
        <v>0</v>
      </c>
      <c r="F11" s="466" t="b">
        <f>Tabela17[[#This Row],[1º Trim.]]&gt;=Tabela17[[#This Row],[Meta]]</f>
        <v>0</v>
      </c>
      <c r="G11" s="466" t="b">
        <f>Tabela17[[#This Row],[1º Trim.]]&lt;Tabela17[[#This Row],[Meta]]</f>
        <v>1</v>
      </c>
      <c r="H11" s="466" t="b">
        <f>Tabela17[[#This Row],[1º Trim.]]=Tabela17[[#This Row],[Meta]]</f>
        <v>0</v>
      </c>
      <c r="I11" s="466" t="b">
        <f>Tabela17[[#This Row],[1º Trim.]]&lt;&gt;Tabela17[[#This Row],[Meta]]</f>
        <v>1</v>
      </c>
      <c r="K11" t="s">
        <v>433</v>
      </c>
      <c r="L11">
        <v>27</v>
      </c>
      <c r="M11" t="b">
        <f>Tabela3747[[#This Row],[Idade]]&gt;Tabela3747[[#This Row],[Colaborador]]</f>
        <v>0</v>
      </c>
    </row>
    <row r="12" spans="2:13" ht="16.5" customHeight="1">
      <c r="B12" s="268" t="s">
        <v>461</v>
      </c>
      <c r="C12" s="271">
        <v>6458199</v>
      </c>
      <c r="D12" s="271">
        <v>9075066</v>
      </c>
      <c r="E12" s="466" t="b">
        <f>Tabela17[[#This Row],[1º Trim.]]&gt;Tabela17[[#This Row],[Meta]]</f>
        <v>1</v>
      </c>
      <c r="F12" s="466" t="b">
        <f>Tabela17[[#This Row],[1º Trim.]]&gt;=Tabela17[[#This Row],[Meta]]</f>
        <v>1</v>
      </c>
      <c r="G12" s="466" t="b">
        <f>Tabela17[[#This Row],[1º Trim.]]&lt;Tabela17[[#This Row],[Meta]]</f>
        <v>0</v>
      </c>
      <c r="H12" s="466" t="b">
        <f>Tabela17[[#This Row],[1º Trim.]]=Tabela17[[#This Row],[Meta]]</f>
        <v>0</v>
      </c>
      <c r="I12" s="466" t="b">
        <f>Tabela17[[#This Row],[1º Trim.]]&lt;&gt;Tabela17[[#This Row],[Meta]]</f>
        <v>1</v>
      </c>
      <c r="K12" t="s">
        <v>432</v>
      </c>
      <c r="L12">
        <v>14</v>
      </c>
      <c r="M12" t="b">
        <f>Tabela3747[[#This Row],[Idade]]&gt;Tabela3747[[#This Row],[Colaborador]]</f>
        <v>0</v>
      </c>
    </row>
    <row r="13" spans="2:13" ht="16.5" customHeight="1">
      <c r="B13" s="268" t="s">
        <v>455</v>
      </c>
      <c r="C13" s="271">
        <v>5399138</v>
      </c>
      <c r="D13" s="271">
        <v>8849771</v>
      </c>
      <c r="E13" s="466" t="b">
        <f>Tabela17[[#This Row],[1º Trim.]]&gt;Tabela17[[#This Row],[Meta]]</f>
        <v>1</v>
      </c>
      <c r="F13" s="466" t="b">
        <f>Tabela17[[#This Row],[1º Trim.]]&gt;=Tabela17[[#This Row],[Meta]]</f>
        <v>1</v>
      </c>
      <c r="G13" s="466" t="b">
        <f>Tabela17[[#This Row],[1º Trim.]]&lt;Tabela17[[#This Row],[Meta]]</f>
        <v>0</v>
      </c>
      <c r="H13" s="466" t="b">
        <f>Tabela17[[#This Row],[1º Trim.]]=Tabela17[[#This Row],[Meta]]</f>
        <v>0</v>
      </c>
      <c r="I13" s="466" t="b">
        <f>Tabela17[[#This Row],[1º Trim.]]&lt;&gt;Tabela17[[#This Row],[Meta]]</f>
        <v>1</v>
      </c>
      <c r="K13" t="s">
        <v>434</v>
      </c>
      <c r="L13">
        <v>7</v>
      </c>
      <c r="M13" t="b">
        <f>Tabela3747[[#This Row],[Idade]]&gt;Tabela3747[[#This Row],[Colaborador]]</f>
        <v>0</v>
      </c>
    </row>
    <row r="14" spans="2:13" ht="16.5" customHeight="1">
      <c r="B14" s="268" t="s">
        <v>24</v>
      </c>
      <c r="C14" s="271">
        <v>8422219</v>
      </c>
      <c r="D14" s="271">
        <v>9257488</v>
      </c>
      <c r="E14" s="466" t="b">
        <f>Tabela17[[#This Row],[1º Trim.]]&gt;Tabela17[[#This Row],[Meta]]</f>
        <v>1</v>
      </c>
      <c r="F14" s="466" t="b">
        <f>Tabela17[[#This Row],[1º Trim.]]&gt;=Tabela17[[#This Row],[Meta]]</f>
        <v>1</v>
      </c>
      <c r="G14" s="466" t="b">
        <f>Tabela17[[#This Row],[1º Trim.]]&lt;Tabela17[[#This Row],[Meta]]</f>
        <v>0</v>
      </c>
      <c r="H14" s="466" t="b">
        <f>Tabela17[[#This Row],[1º Trim.]]=Tabela17[[#This Row],[Meta]]</f>
        <v>0</v>
      </c>
      <c r="I14" s="466" t="b">
        <f>Tabela17[[#This Row],[1º Trim.]]&lt;&gt;Tabela17[[#This Row],[Meta]]</f>
        <v>1</v>
      </c>
      <c r="K14" t="s">
        <v>435</v>
      </c>
      <c r="L14">
        <v>3</v>
      </c>
      <c r="M14" t="b">
        <f>Tabela3747[[#This Row],[Idade]]&gt;Tabela3747[[#This Row],[Colaborador]]</f>
        <v>0</v>
      </c>
    </row>
    <row r="15" spans="2:13" ht="16.5" customHeight="1">
      <c r="B15" s="268" t="s">
        <v>459</v>
      </c>
      <c r="C15" s="271">
        <v>3486507</v>
      </c>
      <c r="D15" s="271">
        <v>3486507</v>
      </c>
      <c r="E15" s="466" t="b">
        <f>Tabela17[[#This Row],[1º Trim.]]&gt;Tabela17[[#This Row],[Meta]]</f>
        <v>0</v>
      </c>
      <c r="F15" s="466" t="b">
        <f>Tabela17[[#This Row],[1º Trim.]]&gt;=Tabela17[[#This Row],[Meta]]</f>
        <v>1</v>
      </c>
      <c r="G15" s="466" t="b">
        <f>Tabela17[[#This Row],[1º Trim.]]&lt;Tabela17[[#This Row],[Meta]]</f>
        <v>0</v>
      </c>
      <c r="H15" s="466" t="b">
        <f>Tabela17[[#This Row],[1º Trim.]]=Tabela17[[#This Row],[Meta]]</f>
        <v>1</v>
      </c>
      <c r="I15" s="466" t="b">
        <f>Tabela17[[#This Row],[1º Trim.]]&lt;&gt;Tabela17[[#This Row],[Meta]]</f>
        <v>0</v>
      </c>
    </row>
    <row r="19" ht="15"/>
  </sheetData>
  <phoneticPr fontId="76" type="noConversion"/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E3380-58F9-4250-B69F-718EF8D80811}">
  <sheetPr>
    <tabColor rgb="FF0070C0"/>
  </sheetPr>
  <dimension ref="B15:H25"/>
  <sheetViews>
    <sheetView showGridLines="0" zoomScaleNormal="100" workbookViewId="0">
      <selection activeCell="H16" sqref="H16"/>
    </sheetView>
  </sheetViews>
  <sheetFormatPr defaultRowHeight="15"/>
  <cols>
    <col min="1" max="1" width="2.85546875" customWidth="1"/>
    <col min="2" max="2" width="5.28515625" customWidth="1"/>
    <col min="3" max="3" width="16.85546875" bestFit="1" customWidth="1"/>
    <col min="4" max="4" width="13.7109375" bestFit="1" customWidth="1"/>
    <col min="5" max="5" width="13.7109375" customWidth="1"/>
    <col min="6" max="6" width="12.42578125" customWidth="1"/>
    <col min="7" max="7" width="12.85546875" customWidth="1"/>
    <col min="8" max="8" width="12.42578125" customWidth="1"/>
  </cols>
  <sheetData>
    <row r="15" spans="2:8">
      <c r="B15" s="178" t="s">
        <v>437</v>
      </c>
      <c r="C15" s="178" t="s">
        <v>445</v>
      </c>
      <c r="D15" s="146" t="s">
        <v>111</v>
      </c>
      <c r="E15" s="146" t="s">
        <v>330</v>
      </c>
      <c r="F15" s="146" t="s">
        <v>754</v>
      </c>
      <c r="G15" s="146" t="s">
        <v>803</v>
      </c>
      <c r="H15" s="146" t="s">
        <v>804</v>
      </c>
    </row>
    <row r="16" spans="2:8">
      <c r="B16" s="1">
        <v>1248</v>
      </c>
      <c r="C16" s="1" t="s">
        <v>710</v>
      </c>
      <c r="D16" s="1" t="s">
        <v>810</v>
      </c>
      <c r="E16" s="468">
        <v>4800</v>
      </c>
      <c r="F16" s="214">
        <v>45560</v>
      </c>
      <c r="G16" s="214">
        <v>45560</v>
      </c>
      <c r="H16" s="1" t="str">
        <f>IF(Tabela47[[#This Row],[Data de Pgto]]&gt;Tabela47[[#This Row],[Vencimento]],"Cobrar Multa","Ok")</f>
        <v>Ok</v>
      </c>
    </row>
    <row r="17" spans="2:8">
      <c r="B17" s="1">
        <v>1249</v>
      </c>
      <c r="C17" s="1" t="s">
        <v>468</v>
      </c>
      <c r="D17" s="1" t="s">
        <v>402</v>
      </c>
      <c r="E17" s="468">
        <v>215</v>
      </c>
      <c r="F17" s="214">
        <v>45561</v>
      </c>
      <c r="G17" s="214">
        <v>45561</v>
      </c>
      <c r="H17" s="1" t="str">
        <f>IF(Tabela47[[#This Row],[Data de Pgto]]&gt;Tabela47[[#This Row],[Vencimento]],"Cobrar Multa","Ok")</f>
        <v>Ok</v>
      </c>
    </row>
    <row r="18" spans="2:8">
      <c r="B18" s="1">
        <v>1250</v>
      </c>
      <c r="C18" s="1" t="s">
        <v>984</v>
      </c>
      <c r="D18" s="1" t="s">
        <v>807</v>
      </c>
      <c r="E18" s="468">
        <v>28500</v>
      </c>
      <c r="F18" s="214">
        <v>45562</v>
      </c>
      <c r="G18" s="214">
        <v>45562</v>
      </c>
      <c r="H18" s="1" t="str">
        <f>IF(Tabela47[[#This Row],[Data de Pgto]]&gt;Tabela47[[#This Row],[Vencimento]],"Cobrar Multa","Ok")</f>
        <v>Ok</v>
      </c>
    </row>
    <row r="19" spans="2:8">
      <c r="B19" s="1">
        <v>1251</v>
      </c>
      <c r="C19" s="1" t="s">
        <v>711</v>
      </c>
      <c r="D19" s="1" t="s">
        <v>805</v>
      </c>
      <c r="E19" s="468">
        <v>689</v>
      </c>
      <c r="F19" s="214">
        <v>45563</v>
      </c>
      <c r="G19" s="214">
        <v>45563</v>
      </c>
      <c r="H19" s="1" t="str">
        <f>IF(Tabela47[[#This Row],[Data de Pgto]]&gt;Tabela47[[#This Row],[Vencimento]],"Cobrar Multa","Ok")</f>
        <v>Ok</v>
      </c>
    </row>
    <row r="20" spans="2:8">
      <c r="B20" s="1">
        <v>1252</v>
      </c>
      <c r="C20" s="1" t="s">
        <v>586</v>
      </c>
      <c r="D20" s="1" t="s">
        <v>806</v>
      </c>
      <c r="E20" s="468">
        <v>2348</v>
      </c>
      <c r="F20" s="214">
        <v>45564</v>
      </c>
      <c r="G20" s="214">
        <v>45564</v>
      </c>
      <c r="H20" s="1" t="str">
        <f>IF(Tabela47[[#This Row],[Data de Pgto]]&gt;Tabela47[[#This Row],[Vencimento]],"Cobrar Multa","Ok")</f>
        <v>Ok</v>
      </c>
    </row>
    <row r="21" spans="2:8">
      <c r="B21" s="1">
        <v>1253</v>
      </c>
      <c r="C21" s="1" t="s">
        <v>747</v>
      </c>
      <c r="D21" s="1" t="s">
        <v>808</v>
      </c>
      <c r="E21" s="468">
        <v>4890</v>
      </c>
      <c r="F21" s="214">
        <v>45565</v>
      </c>
      <c r="G21" s="214">
        <v>45565</v>
      </c>
      <c r="H21" s="1" t="str">
        <f>IF(Tabela47[[#This Row],[Data de Pgto]]&gt;Tabela47[[#This Row],[Vencimento]],"Cobrar Multa","Ok")</f>
        <v>Ok</v>
      </c>
    </row>
    <row r="22" spans="2:8">
      <c r="B22" s="1">
        <v>1254</v>
      </c>
      <c r="C22" s="1" t="s">
        <v>718</v>
      </c>
      <c r="D22" s="1" t="s">
        <v>809</v>
      </c>
      <c r="E22" s="468">
        <v>3400</v>
      </c>
      <c r="F22" s="214">
        <v>45566</v>
      </c>
      <c r="G22" s="214">
        <v>45566</v>
      </c>
      <c r="H22" s="1" t="str">
        <f>IF(Tabela47[[#This Row],[Data de Pgto]]&gt;Tabela47[[#This Row],[Vencimento]],"Cobrar Multa","Ok")</f>
        <v>Ok</v>
      </c>
    </row>
    <row r="23" spans="2:8">
      <c r="B23" s="1">
        <v>1255</v>
      </c>
      <c r="C23" s="1" t="s">
        <v>996</v>
      </c>
      <c r="D23" s="1" t="s">
        <v>421</v>
      </c>
      <c r="E23" s="470">
        <v>1200</v>
      </c>
      <c r="F23" s="214">
        <v>45567</v>
      </c>
      <c r="G23" s="214">
        <v>45567</v>
      </c>
      <c r="H23" s="1" t="str">
        <f>IF(Tabela47[[#This Row],[Data de Pgto]]&gt;Tabela47[[#This Row],[Vencimento]],"Cobrar Multa","Ok")</f>
        <v>Ok</v>
      </c>
    </row>
    <row r="24" spans="2:8">
      <c r="B24" s="1">
        <v>1256</v>
      </c>
      <c r="C24" s="1" t="s">
        <v>997</v>
      </c>
      <c r="D24" s="1" t="s">
        <v>998</v>
      </c>
      <c r="E24" s="470">
        <v>2400</v>
      </c>
      <c r="F24" s="214">
        <v>45568</v>
      </c>
      <c r="G24" s="214">
        <v>45568</v>
      </c>
      <c r="H24" s="1" t="str">
        <f>IF(Tabela47[[#This Row],[Data de Pgto]]&gt;Tabela47[[#This Row],[Vencimento]],"Cobrar Multa","Ok")</f>
        <v>Ok</v>
      </c>
    </row>
    <row r="25" spans="2:8">
      <c r="B25" s="1">
        <v>1257</v>
      </c>
      <c r="C25" s="1" t="s">
        <v>1128</v>
      </c>
      <c r="D25" s="1" t="s">
        <v>998</v>
      </c>
      <c r="E25" s="470">
        <v>2401</v>
      </c>
      <c r="F25" s="214">
        <v>45567</v>
      </c>
      <c r="G25" s="214">
        <v>45568</v>
      </c>
      <c r="H25" s="1" t="str">
        <f>IF(Tabela47[[#This Row],[Data de Pgto]]&gt;Tabela47[[#This Row],[Vencimento]],"Cobrar Multa","Ok")</f>
        <v>Cobrar Multa</v>
      </c>
    </row>
  </sheetData>
  <sortState xmlns:xlrd2="http://schemas.microsoft.com/office/spreadsheetml/2017/richdata2" ref="C16:H22">
    <sortCondition ref="C16:C22"/>
  </sortState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1">
    <tablePart r:id="rId3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0070C0"/>
  </sheetPr>
  <dimension ref="B5:F25"/>
  <sheetViews>
    <sheetView showGridLines="0" zoomScaleNormal="100" workbookViewId="0">
      <selection activeCell="F14" sqref="F14"/>
    </sheetView>
  </sheetViews>
  <sheetFormatPr defaultRowHeight="15"/>
  <cols>
    <col min="1" max="1" width="4.28515625" customWidth="1"/>
    <col min="2" max="2" width="17.28515625" bestFit="1" customWidth="1"/>
    <col min="4" max="4" width="18.7109375" customWidth="1"/>
    <col min="5" max="5" width="19.5703125" customWidth="1"/>
    <col min="6" max="6" width="17.85546875" customWidth="1"/>
    <col min="7" max="8" width="3.5703125" customWidth="1"/>
    <col min="9" max="15" width="9.140625" customWidth="1"/>
  </cols>
  <sheetData>
    <row r="5" spans="2:6" ht="18" customHeight="1"/>
    <row r="6" spans="2:6" ht="18" customHeight="1"/>
    <row r="7" spans="2:6" ht="18" customHeight="1"/>
    <row r="8" spans="2:6" ht="18" customHeight="1"/>
    <row r="9" spans="2:6" ht="18" customHeight="1"/>
    <row r="10" spans="2:6" ht="18" customHeight="1"/>
    <row r="12" spans="2:6">
      <c r="B12" s="469" t="s">
        <v>591</v>
      </c>
      <c r="C12" s="469"/>
      <c r="D12" s="469"/>
      <c r="E12" s="469"/>
      <c r="F12" s="469"/>
    </row>
    <row r="13" spans="2:6">
      <c r="B13" s="52" t="s">
        <v>187</v>
      </c>
      <c r="C13" s="52" t="s">
        <v>590</v>
      </c>
      <c r="D13" s="52" t="s">
        <v>811</v>
      </c>
      <c r="E13" s="52" t="s">
        <v>812</v>
      </c>
      <c r="F13" s="52" t="s">
        <v>995</v>
      </c>
    </row>
    <row r="14" spans="2:6">
      <c r="B14" t="s">
        <v>585</v>
      </c>
      <c r="C14" s="1">
        <v>18</v>
      </c>
      <c r="D14" t="str">
        <f>IF(tbl_idade[[#This Row],[Idade]]&gt;=18,"Adulto","Adolecente")</f>
        <v>Adulto</v>
      </c>
      <c r="E14" t="str">
        <f>IF(tbl_idade[[#This Row],[Idade]]&lt;18,"Adolecente","Adulto")</f>
        <v>Adulto</v>
      </c>
      <c r="F14" t="str">
        <f>IF(tbl_idade[[#This Row],[Idade]]&gt;17,"Adulto","Adolescente")</f>
        <v>Adulto</v>
      </c>
    </row>
    <row r="15" spans="2:6">
      <c r="B15" t="s">
        <v>984</v>
      </c>
      <c r="C15" s="1">
        <v>17</v>
      </c>
      <c r="D15" t="str">
        <f>IF(tbl_idade[[#This Row],[Idade]]&gt;=18,"Adulto","Adolecente")</f>
        <v>Adolecente</v>
      </c>
      <c r="E15" t="str">
        <f>IF(tbl_idade[[#This Row],[Idade]]&lt;18,"Adolecente","Adulto")</f>
        <v>Adolecente</v>
      </c>
      <c r="F15" t="str">
        <f>IF(tbl_idade[[#This Row],[Idade]]&gt;17,"Adulto","Adolescente")</f>
        <v>Adolescente</v>
      </c>
    </row>
    <row r="16" spans="2:6">
      <c r="B16" t="s">
        <v>586</v>
      </c>
      <c r="C16" s="1">
        <v>29</v>
      </c>
      <c r="D16" t="str">
        <f>IF(tbl_idade[[#This Row],[Idade]]&gt;=18,"Adulto","Adolecente")</f>
        <v>Adulto</v>
      </c>
      <c r="E16" t="str">
        <f>IF(tbl_idade[[#This Row],[Idade]]&lt;18,"Adolecente","Adulto")</f>
        <v>Adulto</v>
      </c>
      <c r="F16" t="str">
        <f>IF(tbl_idade[[#This Row],[Idade]]&gt;17,"Adulto","Adolescente")</f>
        <v>Adulto</v>
      </c>
    </row>
    <row r="17" spans="2:6">
      <c r="B17" t="s">
        <v>587</v>
      </c>
      <c r="C17" s="1">
        <v>20</v>
      </c>
      <c r="D17" t="str">
        <f>IF(tbl_idade[[#This Row],[Idade]]&gt;=18,"Adulto","Adolecente")</f>
        <v>Adulto</v>
      </c>
      <c r="E17" t="str">
        <f>IF(tbl_idade[[#This Row],[Idade]]&lt;18,"Adolecente","Adulto")</f>
        <v>Adulto</v>
      </c>
      <c r="F17" t="str">
        <f>IF(tbl_idade[[#This Row],[Idade]]&gt;17,"Adulto","Adolescente")</f>
        <v>Adulto</v>
      </c>
    </row>
    <row r="18" spans="2:6">
      <c r="B18" t="s">
        <v>588</v>
      </c>
      <c r="C18" s="1">
        <v>18</v>
      </c>
      <c r="D18" t="str">
        <f>IF(tbl_idade[[#This Row],[Idade]]&gt;=18,"Adulto","Adolecente")</f>
        <v>Adulto</v>
      </c>
      <c r="E18" t="str">
        <f>IF(tbl_idade[[#This Row],[Idade]]&lt;18,"Adolecente","Adulto")</f>
        <v>Adulto</v>
      </c>
      <c r="F18" t="str">
        <f>IF(tbl_idade[[#This Row],[Idade]]&gt;17,"Adulto","Adolescente")</f>
        <v>Adulto</v>
      </c>
    </row>
    <row r="19" spans="2:6">
      <c r="B19" t="s">
        <v>589</v>
      </c>
      <c r="C19" s="1">
        <v>45</v>
      </c>
      <c r="D19" t="str">
        <f>IF(tbl_idade[[#This Row],[Idade]]&gt;=18,"Adulto","Adolecente")</f>
        <v>Adulto</v>
      </c>
      <c r="E19" t="str">
        <f>IF(tbl_idade[[#This Row],[Idade]]&lt;18,"Adolecente","Adulto")</f>
        <v>Adulto</v>
      </c>
      <c r="F19" t="str">
        <f>IF(tbl_idade[[#This Row],[Idade]]&gt;17,"Adulto","Adolescente")</f>
        <v>Adulto</v>
      </c>
    </row>
    <row r="20" spans="2:6">
      <c r="B20" t="s">
        <v>698</v>
      </c>
      <c r="C20" s="1">
        <v>18</v>
      </c>
      <c r="D20" t="str">
        <f>IF(tbl_idade[[#This Row],[Idade]]&gt;=18,"Adulto","Adolecente")</f>
        <v>Adulto</v>
      </c>
      <c r="E20" t="str">
        <f>IF(tbl_idade[[#This Row],[Idade]]&lt;18,"Adolecente","Adulto")</f>
        <v>Adulto</v>
      </c>
      <c r="F20" t="str">
        <f>IF(tbl_idade[[#This Row],[Idade]]&gt;17,"Adulto","Adolescente")</f>
        <v>Adulto</v>
      </c>
    </row>
    <row r="21" spans="2:6">
      <c r="B21" t="s">
        <v>699</v>
      </c>
      <c r="C21" s="1">
        <v>22</v>
      </c>
      <c r="D21" t="str">
        <f>IF(tbl_idade[[#This Row],[Idade]]&gt;=18,"Adulto","Adolecente")</f>
        <v>Adulto</v>
      </c>
      <c r="E21" t="str">
        <f>IF(tbl_idade[[#This Row],[Idade]]&lt;18,"Adolecente","Adulto")</f>
        <v>Adulto</v>
      </c>
      <c r="F21" t="str">
        <f>IF(tbl_idade[[#This Row],[Idade]]&gt;17,"Adulto","Adolescente")</f>
        <v>Adulto</v>
      </c>
    </row>
    <row r="22" spans="2:6">
      <c r="B22" t="s">
        <v>700</v>
      </c>
      <c r="C22" s="1">
        <v>29</v>
      </c>
      <c r="D22" t="str">
        <f>IF(tbl_idade[[#This Row],[Idade]]&gt;=18,"Adulto","Adolecente")</f>
        <v>Adulto</v>
      </c>
      <c r="E22" t="str">
        <f>IF(tbl_idade[[#This Row],[Idade]]&lt;18,"Adolecente","Adulto")</f>
        <v>Adulto</v>
      </c>
      <c r="F22" t="str">
        <f>IF(tbl_idade[[#This Row],[Idade]]&gt;17,"Adulto","Adolescente")</f>
        <v>Adulto</v>
      </c>
    </row>
    <row r="23" spans="2:6">
      <c r="B23" t="s">
        <v>701</v>
      </c>
      <c r="C23" s="1">
        <v>31</v>
      </c>
      <c r="D23" t="str">
        <f>IF(tbl_idade[[#This Row],[Idade]]&gt;=18,"Adulto","Adolecente")</f>
        <v>Adulto</v>
      </c>
      <c r="E23" t="str">
        <f>IF(tbl_idade[[#This Row],[Idade]]&lt;18,"Adolecente","Adulto")</f>
        <v>Adulto</v>
      </c>
      <c r="F23" t="str">
        <f>IF(tbl_idade[[#This Row],[Idade]]&gt;17,"Adulto","Adolescente")</f>
        <v>Adulto</v>
      </c>
    </row>
    <row r="24" spans="2:6">
      <c r="B24" t="s">
        <v>702</v>
      </c>
      <c r="C24" s="1">
        <v>22</v>
      </c>
      <c r="D24" t="str">
        <f>IF(tbl_idade[[#This Row],[Idade]]&gt;=18,"Adulto","Adolecente")</f>
        <v>Adulto</v>
      </c>
      <c r="E24" t="str">
        <f>IF(tbl_idade[[#This Row],[Idade]]&lt;18,"Adolecente","Adulto")</f>
        <v>Adulto</v>
      </c>
      <c r="F24" t="str">
        <f>IF(tbl_idade[[#This Row],[Idade]]&gt;17,"Adulto","Adolescente")</f>
        <v>Adulto</v>
      </c>
    </row>
    <row r="25" spans="2:6">
      <c r="B25" t="s">
        <v>703</v>
      </c>
      <c r="C25" s="1">
        <v>32</v>
      </c>
      <c r="D25" t="str">
        <f>IF(tbl_idade[[#This Row],[Idade]]&gt;=18,"Adulto","Adolecente")</f>
        <v>Adulto</v>
      </c>
      <c r="E25" t="str">
        <f>IF(tbl_idade[[#This Row],[Idade]]&lt;18,"Adolecente","Adulto")</f>
        <v>Adulto</v>
      </c>
      <c r="F25" t="str">
        <f>IF(tbl_idade[[#This Row],[Idade]]&gt;17,"Adulto","Adolescente")</f>
        <v>Adulto</v>
      </c>
    </row>
  </sheetData>
  <phoneticPr fontId="76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0070C0"/>
  </sheetPr>
  <dimension ref="B3:L17"/>
  <sheetViews>
    <sheetView zoomScaleNormal="100" workbookViewId="0">
      <selection activeCell="I6" sqref="I6"/>
    </sheetView>
  </sheetViews>
  <sheetFormatPr defaultRowHeight="15"/>
  <cols>
    <col min="1" max="1" width="4" customWidth="1"/>
    <col min="2" max="2" width="18.85546875" bestFit="1" customWidth="1"/>
    <col min="3" max="3" width="11.42578125" bestFit="1" customWidth="1"/>
    <col min="4" max="7" width="13.140625" customWidth="1"/>
    <col min="8" max="8" width="16.28515625" customWidth="1"/>
    <col min="9" max="9" width="21" customWidth="1"/>
    <col min="10" max="10" width="5.42578125" customWidth="1"/>
    <col min="11" max="11" width="12.7109375" customWidth="1"/>
    <col min="12" max="12" width="14.5703125" bestFit="1" customWidth="1"/>
  </cols>
  <sheetData>
    <row r="3" spans="2:12" ht="28.5" customHeight="1">
      <c r="B3" s="834" t="s">
        <v>999</v>
      </c>
      <c r="C3" s="834"/>
      <c r="D3" s="834"/>
      <c r="E3" s="834"/>
      <c r="F3" s="834"/>
      <c r="G3" s="834"/>
      <c r="H3" s="834"/>
      <c r="I3" s="834"/>
    </row>
    <row r="4" spans="2:12" ht="18" customHeight="1" thickBot="1">
      <c r="B4" s="1" t="s">
        <v>462</v>
      </c>
      <c r="C4" s="1" t="s">
        <v>113</v>
      </c>
      <c r="D4" s="1" t="s">
        <v>104</v>
      </c>
      <c r="E4" s="1" t="s">
        <v>105</v>
      </c>
      <c r="F4" s="1" t="s">
        <v>106</v>
      </c>
      <c r="G4" s="1" t="s">
        <v>107</v>
      </c>
      <c r="H4" s="1" t="s">
        <v>592</v>
      </c>
      <c r="I4" s="1" t="s">
        <v>584</v>
      </c>
    </row>
    <row r="5" spans="2:12" ht="18" customHeight="1">
      <c r="B5" s="145" t="s">
        <v>446</v>
      </c>
      <c r="C5" s="145" t="s">
        <v>19</v>
      </c>
      <c r="D5" s="186">
        <v>7145278</v>
      </c>
      <c r="E5" s="186">
        <v>4013327</v>
      </c>
      <c r="F5" s="186">
        <v>9502713</v>
      </c>
      <c r="G5" s="186">
        <v>5349417</v>
      </c>
      <c r="H5" s="186">
        <f t="shared" ref="H5:H16" si="0">AVERAGE(D5:G5)</f>
        <v>6502683.75</v>
      </c>
      <c r="I5" s="223" t="str">
        <f>IF(tblclientesdevedores20[[#This Row],[Média de vendas]]&lt;5000000,"Não Tem Bonus","Tem Bonus")</f>
        <v>Tem Bonus</v>
      </c>
    </row>
    <row r="6" spans="2:12" ht="18" customHeight="1">
      <c r="B6" s="145" t="s">
        <v>468</v>
      </c>
      <c r="C6" s="145" t="s">
        <v>24</v>
      </c>
      <c r="D6" s="186">
        <v>2068932</v>
      </c>
      <c r="E6" s="186">
        <v>9159065</v>
      </c>
      <c r="F6" s="186">
        <v>2068932</v>
      </c>
      <c r="G6" s="186">
        <v>1516848</v>
      </c>
      <c r="H6" s="186">
        <f t="shared" si="0"/>
        <v>3703444.25</v>
      </c>
      <c r="I6" s="224" t="str">
        <f>IF(tblclientesdevedores20[[#This Row],[Média de vendas]]&lt;5000000,"Não Tem Bonus","Tem Bonus")</f>
        <v>Não Tem Bonus</v>
      </c>
      <c r="K6" s="835" t="s">
        <v>593</v>
      </c>
      <c r="L6" s="835"/>
    </row>
    <row r="7" spans="2:12" ht="18" customHeight="1">
      <c r="B7" s="145" t="s">
        <v>350</v>
      </c>
      <c r="C7" s="145" t="s">
        <v>453</v>
      </c>
      <c r="D7" s="186">
        <v>4351917</v>
      </c>
      <c r="E7" s="186">
        <v>4923778</v>
      </c>
      <c r="F7" s="186">
        <v>5949417</v>
      </c>
      <c r="G7" s="186">
        <v>3900864</v>
      </c>
      <c r="H7" s="186">
        <f t="shared" si="0"/>
        <v>4781494</v>
      </c>
      <c r="I7" s="224" t="str">
        <f>IF(tblclientesdevedores20[[#This Row],[Média de vendas]]&lt;5000000,"Não Tem Bonus","Tem Bonus")</f>
        <v>Não Tem Bonus</v>
      </c>
      <c r="K7" s="221" t="s">
        <v>595</v>
      </c>
      <c r="L7" s="222" t="s">
        <v>594</v>
      </c>
    </row>
    <row r="8" spans="2:12" ht="18" customHeight="1">
      <c r="B8" s="145" t="s">
        <v>469</v>
      </c>
      <c r="C8" s="145" t="s">
        <v>454</v>
      </c>
      <c r="D8" s="186">
        <v>3547813</v>
      </c>
      <c r="E8" s="186">
        <v>8068638</v>
      </c>
      <c r="F8" s="186">
        <v>2831937</v>
      </c>
      <c r="G8" s="186">
        <v>2481432</v>
      </c>
      <c r="H8" s="186">
        <f t="shared" si="0"/>
        <v>4232455</v>
      </c>
      <c r="I8" s="224" t="str">
        <f>IF(tblclientesdevedores20[[#This Row],[Média de vendas]]&lt;5000000,"Não Tem Bonus","Tem Bonus")</f>
        <v>Não Tem Bonus</v>
      </c>
      <c r="K8" s="219" t="s">
        <v>596</v>
      </c>
      <c r="L8" s="220" t="s">
        <v>597</v>
      </c>
    </row>
    <row r="9" spans="2:12" ht="18" customHeight="1">
      <c r="B9" s="145" t="s">
        <v>470</v>
      </c>
      <c r="C9" s="145" t="s">
        <v>455</v>
      </c>
      <c r="D9" s="186">
        <v>8849771</v>
      </c>
      <c r="E9" s="186">
        <v>9651644</v>
      </c>
      <c r="F9" s="186">
        <v>4565987</v>
      </c>
      <c r="G9" s="186">
        <v>3201077</v>
      </c>
      <c r="H9" s="186">
        <f t="shared" si="0"/>
        <v>6567119.75</v>
      </c>
      <c r="I9" s="224" t="str">
        <f>IF(tblclientesdevedores20[[#This Row],[Média de vendas]]&lt;5000000,"Não Tem Bonus","Tem Bonus")</f>
        <v>Tem Bonus</v>
      </c>
    </row>
    <row r="10" spans="2:12" ht="18" customHeight="1">
      <c r="B10" s="145" t="s">
        <v>471</v>
      </c>
      <c r="C10" s="145" t="s">
        <v>456</v>
      </c>
      <c r="D10" s="186">
        <v>9159065</v>
      </c>
      <c r="E10" s="186">
        <v>7081959</v>
      </c>
      <c r="F10" s="186">
        <v>1547606</v>
      </c>
      <c r="G10" s="186">
        <v>1746546</v>
      </c>
      <c r="H10" s="186">
        <f t="shared" si="0"/>
        <v>4883794</v>
      </c>
      <c r="I10" s="224" t="str">
        <f>IF(tblclientesdevedores20[[#This Row],[Média de vendas]]&lt;5000000,"Não Tem Bonus","Tem Bonus")</f>
        <v>Não Tem Bonus</v>
      </c>
    </row>
    <row r="11" spans="2:12" ht="18" customHeight="1">
      <c r="B11" s="145" t="s">
        <v>472</v>
      </c>
      <c r="C11" s="145" t="s">
        <v>457</v>
      </c>
      <c r="D11" s="186">
        <v>2956471</v>
      </c>
      <c r="E11" s="186">
        <v>2441407</v>
      </c>
      <c r="F11" s="186">
        <v>2956471</v>
      </c>
      <c r="G11" s="186">
        <v>9651644</v>
      </c>
      <c r="H11" s="186">
        <f t="shared" si="0"/>
        <v>4501498.25</v>
      </c>
      <c r="I11" s="224" t="str">
        <f>IF(tblclientesdevedores20[[#This Row],[Média de vendas]]&lt;5000000,"Não Tem Bonus","Tem Bonus")</f>
        <v>Não Tem Bonus</v>
      </c>
    </row>
    <row r="12" spans="2:12" ht="18" customHeight="1">
      <c r="B12" s="145" t="s">
        <v>473</v>
      </c>
      <c r="C12" s="145" t="s">
        <v>458</v>
      </c>
      <c r="D12" s="186">
        <v>9861365</v>
      </c>
      <c r="E12" s="186">
        <v>9781234</v>
      </c>
      <c r="F12" s="186">
        <v>2831937</v>
      </c>
      <c r="G12" s="186">
        <v>7987337</v>
      </c>
      <c r="H12" s="186">
        <f t="shared" si="0"/>
        <v>7615468.25</v>
      </c>
      <c r="I12" s="224" t="str">
        <f>IF(tblclientesdevedores20[[#This Row],[Média de vendas]]&lt;5000000,"Não Tem Bonus","Tem Bonus")</f>
        <v>Tem Bonus</v>
      </c>
    </row>
    <row r="13" spans="2:12" ht="18" customHeight="1">
      <c r="B13" s="145" t="s">
        <v>474</v>
      </c>
      <c r="C13" s="145" t="s">
        <v>459</v>
      </c>
      <c r="D13" s="186">
        <v>6127963</v>
      </c>
      <c r="E13" s="186">
        <v>1953733</v>
      </c>
      <c r="F13" s="186">
        <v>5334834</v>
      </c>
      <c r="G13" s="186">
        <v>5666488</v>
      </c>
      <c r="H13" s="186">
        <f t="shared" si="0"/>
        <v>4770754.5</v>
      </c>
      <c r="I13" s="224" t="str">
        <f>IF(tblclientesdevedores20[[#This Row],[Média de vendas]]&lt;5000000,"Não Tem Bonus","Tem Bonus")</f>
        <v>Não Tem Bonus</v>
      </c>
    </row>
    <row r="14" spans="2:12" ht="18" customHeight="1">
      <c r="B14" s="145" t="s">
        <v>583</v>
      </c>
      <c r="C14" s="145" t="s">
        <v>460</v>
      </c>
      <c r="D14" s="186">
        <v>3190117</v>
      </c>
      <c r="E14" s="186">
        <v>5968766</v>
      </c>
      <c r="F14" s="186">
        <v>5930430</v>
      </c>
      <c r="G14" s="186">
        <v>5100098</v>
      </c>
      <c r="H14" s="186">
        <f t="shared" si="0"/>
        <v>5047352.75</v>
      </c>
      <c r="I14" s="224" t="str">
        <f>IF(tblclientesdevedores20[[#This Row],[Média de vendas]]&lt;5000000,"Não Tem Bonus","Tem Bonus")</f>
        <v>Tem Bonus</v>
      </c>
    </row>
    <row r="15" spans="2:12" ht="18" customHeight="1">
      <c r="B15" s="145" t="s">
        <v>475</v>
      </c>
      <c r="C15" s="145" t="s">
        <v>461</v>
      </c>
      <c r="D15" s="186">
        <v>9075066</v>
      </c>
      <c r="E15" s="186">
        <v>9651644</v>
      </c>
      <c r="F15" s="186">
        <v>1115845</v>
      </c>
      <c r="G15" s="186">
        <v>6795761</v>
      </c>
      <c r="H15" s="186">
        <f t="shared" si="0"/>
        <v>6659579</v>
      </c>
      <c r="I15" s="224" t="str">
        <f>IF(tblclientesdevedores20[[#This Row],[Média de vendas]]&lt;5000000,"Não Tem Bonus","Tem Bonus")</f>
        <v>Tem Bonus</v>
      </c>
    </row>
    <row r="16" spans="2:12" ht="18" customHeight="1" thickBot="1">
      <c r="B16" s="145" t="s">
        <v>476</v>
      </c>
      <c r="C16" s="145" t="s">
        <v>452</v>
      </c>
      <c r="D16" s="186">
        <v>4593057</v>
      </c>
      <c r="E16" s="186">
        <v>8575801</v>
      </c>
      <c r="F16" s="186">
        <v>3190117</v>
      </c>
      <c r="G16" s="186">
        <v>1000000</v>
      </c>
      <c r="H16" s="186">
        <f t="shared" si="0"/>
        <v>4339743.75</v>
      </c>
      <c r="I16" s="225" t="str">
        <f>IF(tblclientesdevedores20[[#This Row],[Média de vendas]]&lt;5000000,"Não Tem Bonus","Tem Bonus")</f>
        <v>Não Tem Bonus</v>
      </c>
    </row>
    <row r="17" ht="18" customHeight="1"/>
  </sheetData>
  <mergeCells count="2">
    <mergeCell ref="B3:I3"/>
    <mergeCell ref="K6:L6"/>
  </mergeCells>
  <conditionalFormatting sqref="I5:I16">
    <cfRule type="containsText" dxfId="0" priority="1" operator="containsText" text="não">
      <formula>NOT(ISERROR(SEARCH("não",I5)))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0B7406"/>
  </sheetPr>
  <dimension ref="B2:G34"/>
  <sheetViews>
    <sheetView showGridLines="0" zoomScaleNormal="100" workbookViewId="0">
      <selection activeCell="G32" sqref="G32"/>
    </sheetView>
  </sheetViews>
  <sheetFormatPr defaultRowHeight="15"/>
  <cols>
    <col min="1" max="1" width="3.42578125" customWidth="1"/>
    <col min="2" max="2" width="18.28515625" customWidth="1"/>
    <col min="3" max="3" width="15" customWidth="1"/>
    <col min="4" max="7" width="16.42578125" customWidth="1"/>
  </cols>
  <sheetData>
    <row r="2" spans="2:7">
      <c r="B2" s="226" t="s">
        <v>598</v>
      </c>
      <c r="C2" s="195" t="s">
        <v>599</v>
      </c>
      <c r="D2" s="195" t="s">
        <v>600</v>
      </c>
      <c r="E2" s="195" t="s">
        <v>601</v>
      </c>
      <c r="F2" s="195" t="s">
        <v>602</v>
      </c>
      <c r="G2" s="195" t="s">
        <v>603</v>
      </c>
    </row>
    <row r="3" spans="2:7">
      <c r="B3" s="227">
        <v>44287</v>
      </c>
      <c r="C3" s="229">
        <v>0.32984953703703701</v>
      </c>
      <c r="D3" s="229">
        <v>0.56755787037037042</v>
      </c>
      <c r="E3" s="229">
        <v>0.6174074074074074</v>
      </c>
      <c r="F3" s="229">
        <v>0.70208333333333339</v>
      </c>
      <c r="G3" s="229">
        <f>IF(FolhaDeHoras[[#This Row],[Entrada Manhã]]="","",FolhaDeHoras[[#This Row],[Saída Tarde]]-FolhaDeHoras[[#This Row],[Entrada Tarde]]+FolhaDeHoras[[#This Row],[Saída Manhã]]-FolhaDeHoras[[#This Row],[Entrada Manhã]])</f>
        <v>0.3223842592592594</v>
      </c>
    </row>
    <row r="4" spans="2:7">
      <c r="B4" s="227">
        <v>44288</v>
      </c>
      <c r="C4" s="229">
        <v>0.45288194444444446</v>
      </c>
      <c r="D4" s="229">
        <v>0.54689814814814819</v>
      </c>
      <c r="E4" s="229">
        <v>0.57200231481481478</v>
      </c>
      <c r="F4" s="229">
        <v>0.80815972222222221</v>
      </c>
      <c r="G4" s="230">
        <f>IF(FolhaDeHoras[[#This Row],[Entrada Manhã]]="","",FolhaDeHoras[[#This Row],[Saída Tarde]]-FolhaDeHoras[[#This Row],[Entrada Tarde]]+FolhaDeHoras[[#This Row],[Saída Manhã]]-FolhaDeHoras[[#This Row],[Entrada Manhã]])</f>
        <v>0.33017361111111115</v>
      </c>
    </row>
    <row r="5" spans="2:7">
      <c r="B5" s="227">
        <v>44289</v>
      </c>
      <c r="C5" s="229"/>
      <c r="D5" s="229"/>
      <c r="E5" s="229"/>
      <c r="F5" s="229"/>
      <c r="G5" s="229" t="str">
        <f>IF(FolhaDeHoras[[#This Row],[Entrada Manhã]]="","",FolhaDeHoras[[#This Row],[Saída Tarde]]-FolhaDeHoras[[#This Row],[Entrada Tarde]]+FolhaDeHoras[[#This Row],[Saída Manhã]]-FolhaDeHoras[[#This Row],[Entrada Manhã]])</f>
        <v/>
      </c>
    </row>
    <row r="6" spans="2:7">
      <c r="B6" s="227">
        <v>44290</v>
      </c>
      <c r="C6" s="229"/>
      <c r="D6" s="229"/>
      <c r="E6" s="229"/>
      <c r="F6" s="229"/>
      <c r="G6" s="229" t="str">
        <f>IF(FolhaDeHoras[[#This Row],[Entrada Manhã]]="","",FolhaDeHoras[[#This Row],[Saída Tarde]]-FolhaDeHoras[[#This Row],[Entrada Tarde]]+FolhaDeHoras[[#This Row],[Saída Manhã]]-FolhaDeHoras[[#This Row],[Entrada Manhã]])</f>
        <v/>
      </c>
    </row>
    <row r="7" spans="2:7">
      <c r="B7" s="227">
        <v>44291</v>
      </c>
      <c r="C7" s="229">
        <v>0.35268518518518516</v>
      </c>
      <c r="D7" s="229">
        <v>0.46957175925925926</v>
      </c>
      <c r="E7" s="229">
        <v>0.54341435185185183</v>
      </c>
      <c r="F7" s="229">
        <v>0.69321759259259252</v>
      </c>
      <c r="G7" s="229">
        <f>IF(FolhaDeHoras[[#This Row],[Entrada Manhã]]="","",FolhaDeHoras[[#This Row],[Saída Tarde]]-FolhaDeHoras[[#This Row],[Entrada Tarde]]+FolhaDeHoras[[#This Row],[Saída Manhã]]-FolhaDeHoras[[#This Row],[Entrada Manhã]])</f>
        <v>0.26668981481481485</v>
      </c>
    </row>
    <row r="8" spans="2:7">
      <c r="B8" s="227">
        <v>44292</v>
      </c>
      <c r="C8" s="229">
        <v>0.58333333333333337</v>
      </c>
      <c r="D8" s="229">
        <v>0.5</v>
      </c>
      <c r="E8" s="229">
        <v>0.54166666666666663</v>
      </c>
      <c r="F8" s="229">
        <v>0.75</v>
      </c>
      <c r="G8" s="229">
        <f>IF(FolhaDeHoras[[#This Row],[Entrada Manhã]]="","",FolhaDeHoras[[#This Row],[Saída Tarde]]-FolhaDeHoras[[#This Row],[Entrada Tarde]]+FolhaDeHoras[[#This Row],[Saída Manhã]]-FolhaDeHoras[[#This Row],[Entrada Manhã]])</f>
        <v>0.125</v>
      </c>
    </row>
    <row r="9" spans="2:7">
      <c r="B9" s="227">
        <v>44293</v>
      </c>
      <c r="C9" s="229">
        <v>0.26815972222222223</v>
      </c>
      <c r="D9" s="229">
        <v>0.50718750000000001</v>
      </c>
      <c r="E9" s="229">
        <v>0.54630787037037043</v>
      </c>
      <c r="F9" s="229">
        <v>0.70981481481481479</v>
      </c>
      <c r="G9" s="229">
        <f>IF(FolhaDeHoras[[#This Row],[Entrada Manhã]]="","",FolhaDeHoras[[#This Row],[Saída Tarde]]-FolhaDeHoras[[#This Row],[Entrada Tarde]]+FolhaDeHoras[[#This Row],[Saída Manhã]]-FolhaDeHoras[[#This Row],[Entrada Manhã]])</f>
        <v>0.40253472222222214</v>
      </c>
    </row>
    <row r="10" spans="2:7">
      <c r="B10" s="227">
        <v>44294</v>
      </c>
      <c r="C10" s="229">
        <v>0.41846064814814815</v>
      </c>
      <c r="D10" s="229">
        <v>0.56824074074074071</v>
      </c>
      <c r="E10" s="229">
        <v>0.62366898148148142</v>
      </c>
      <c r="F10" s="229">
        <v>0.74914351851851846</v>
      </c>
      <c r="G10" s="229">
        <f>IF(FolhaDeHoras[[#This Row],[Entrada Manhã]]="","",FolhaDeHoras[[#This Row],[Saída Tarde]]-FolhaDeHoras[[#This Row],[Entrada Tarde]]+FolhaDeHoras[[#This Row],[Saída Manhã]]-FolhaDeHoras[[#This Row],[Entrada Manhã]])</f>
        <v>0.2752546296296296</v>
      </c>
    </row>
    <row r="11" spans="2:7">
      <c r="B11" s="227">
        <v>44295</v>
      </c>
      <c r="C11" s="229">
        <v>0.4012384259259259</v>
      </c>
      <c r="D11" s="229">
        <v>0.55546296296296294</v>
      </c>
      <c r="E11" s="229">
        <v>0.60640046296296291</v>
      </c>
      <c r="F11" s="229">
        <v>0.84766203703703702</v>
      </c>
      <c r="G11" s="229">
        <f>IF(FolhaDeHoras[[#This Row],[Entrada Manhã]]="","",FolhaDeHoras[[#This Row],[Saída Tarde]]-FolhaDeHoras[[#This Row],[Entrada Tarde]]+FolhaDeHoras[[#This Row],[Saída Manhã]]-FolhaDeHoras[[#This Row],[Entrada Manhã]])</f>
        <v>0.39548611111111115</v>
      </c>
    </row>
    <row r="12" spans="2:7">
      <c r="B12" s="227">
        <v>44296</v>
      </c>
      <c r="C12" s="229"/>
      <c r="D12" s="229"/>
      <c r="E12" s="229"/>
      <c r="F12" s="229"/>
      <c r="G12" s="229" t="str">
        <f>IF(FolhaDeHoras[[#This Row],[Entrada Manhã]]="","",FolhaDeHoras[[#This Row],[Saída Tarde]]-FolhaDeHoras[[#This Row],[Entrada Tarde]]+FolhaDeHoras[[#This Row],[Saída Manhã]]-FolhaDeHoras[[#This Row],[Entrada Manhã]])</f>
        <v/>
      </c>
    </row>
    <row r="13" spans="2:7">
      <c r="B13" s="227">
        <v>44297</v>
      </c>
      <c r="C13" s="229"/>
      <c r="D13" s="229"/>
      <c r="E13" s="229"/>
      <c r="F13" s="229"/>
      <c r="G13" s="229" t="str">
        <f>IF(FolhaDeHoras[[#This Row],[Entrada Manhã]]="","",FolhaDeHoras[[#This Row],[Saída Tarde]]-FolhaDeHoras[[#This Row],[Entrada Tarde]]+FolhaDeHoras[[#This Row],[Saída Manhã]]-FolhaDeHoras[[#This Row],[Entrada Manhã]])</f>
        <v/>
      </c>
    </row>
    <row r="14" spans="2:7">
      <c r="B14" s="227">
        <v>44298</v>
      </c>
      <c r="C14" s="229">
        <v>0.263587962962963</v>
      </c>
      <c r="D14" s="229">
        <v>0.57810185185185181</v>
      </c>
      <c r="E14" s="229">
        <v>0.63056712962962957</v>
      </c>
      <c r="F14" s="229">
        <v>0.79456018518518512</v>
      </c>
      <c r="G14" s="229">
        <f>IF(FolhaDeHoras[[#This Row],[Entrada Manhã]]="","",FolhaDeHoras[[#This Row],[Saída Tarde]]-FolhaDeHoras[[#This Row],[Entrada Tarde]]+FolhaDeHoras[[#This Row],[Saída Manhã]]-FolhaDeHoras[[#This Row],[Entrada Manhã]])</f>
        <v>0.47850694444444436</v>
      </c>
    </row>
    <row r="15" spans="2:7">
      <c r="B15" s="227">
        <v>44299</v>
      </c>
      <c r="C15" s="229">
        <v>0.37684027777777779</v>
      </c>
      <c r="D15" s="229">
        <v>0.50307870370370367</v>
      </c>
      <c r="E15" s="229">
        <v>0.57094907407407403</v>
      </c>
      <c r="F15" s="229">
        <v>0.76650462962962962</v>
      </c>
      <c r="G15" s="229">
        <f>IF(FolhaDeHoras[[#This Row],[Entrada Manhã]]="","",FolhaDeHoras[[#This Row],[Saída Tarde]]-FolhaDeHoras[[#This Row],[Entrada Tarde]]+FolhaDeHoras[[#This Row],[Saída Manhã]]-FolhaDeHoras[[#This Row],[Entrada Manhã]])</f>
        <v>0.32179398148148147</v>
      </c>
    </row>
    <row r="16" spans="2:7">
      <c r="B16" s="227">
        <v>44300</v>
      </c>
      <c r="C16" s="229">
        <v>0.35114583333333332</v>
      </c>
      <c r="D16" s="229">
        <v>0.52214120370370376</v>
      </c>
      <c r="E16" s="229">
        <v>0.62099537037037034</v>
      </c>
      <c r="F16" s="229">
        <v>0.8273032407407408</v>
      </c>
      <c r="G16" s="229">
        <f>IF(FolhaDeHoras[[#This Row],[Entrada Manhã]]="","",FolhaDeHoras[[#This Row],[Saída Tarde]]-FolhaDeHoras[[#This Row],[Entrada Tarde]]+FolhaDeHoras[[#This Row],[Saída Manhã]]-FolhaDeHoras[[#This Row],[Entrada Manhã]])</f>
        <v>0.3773032407407409</v>
      </c>
    </row>
    <row r="17" spans="2:7">
      <c r="B17" s="227">
        <v>44301</v>
      </c>
      <c r="C17" s="229">
        <v>0.29317129629629629</v>
      </c>
      <c r="D17" s="229">
        <v>0.45900462962962968</v>
      </c>
      <c r="E17" s="229">
        <v>0.60037037037037033</v>
      </c>
      <c r="F17" s="229">
        <v>0.85578703703703696</v>
      </c>
      <c r="G17" s="229">
        <f>IF(FolhaDeHoras[[#This Row],[Entrada Manhã]]="","",FolhaDeHoras[[#This Row],[Saída Tarde]]-FolhaDeHoras[[#This Row],[Entrada Tarde]]+FolhaDeHoras[[#This Row],[Saída Manhã]]-FolhaDeHoras[[#This Row],[Entrada Manhã]])</f>
        <v>0.42125000000000007</v>
      </c>
    </row>
    <row r="18" spans="2:7">
      <c r="B18" s="227">
        <v>44302</v>
      </c>
      <c r="C18" s="229">
        <v>0.32350694444444444</v>
      </c>
      <c r="D18" s="229">
        <v>0.5153240740740741</v>
      </c>
      <c r="E18" s="229">
        <v>0.56018518518518523</v>
      </c>
      <c r="F18" s="229">
        <v>0.71833333333333327</v>
      </c>
      <c r="G18" s="229">
        <f>IF(FolhaDeHoras[[#This Row],[Entrada Manhã]]="","",FolhaDeHoras[[#This Row],[Saída Tarde]]-FolhaDeHoras[[#This Row],[Entrada Tarde]]+FolhaDeHoras[[#This Row],[Saída Manhã]]-FolhaDeHoras[[#This Row],[Entrada Manhã]])</f>
        <v>0.34996527777777769</v>
      </c>
    </row>
    <row r="19" spans="2:7">
      <c r="B19" s="227">
        <v>44303</v>
      </c>
      <c r="C19" s="229"/>
      <c r="D19" s="229"/>
      <c r="E19" s="229"/>
      <c r="F19" s="229"/>
      <c r="G19" s="229" t="str">
        <f>IF(FolhaDeHoras[[#This Row],[Entrada Manhã]]="","",FolhaDeHoras[[#This Row],[Saída Tarde]]-FolhaDeHoras[[#This Row],[Entrada Tarde]]+FolhaDeHoras[[#This Row],[Saída Manhã]]-FolhaDeHoras[[#This Row],[Entrada Manhã]])</f>
        <v/>
      </c>
    </row>
    <row r="20" spans="2:7">
      <c r="B20" s="227">
        <v>44304</v>
      </c>
      <c r="C20" s="229"/>
      <c r="D20" s="229"/>
      <c r="E20" s="229"/>
      <c r="F20" s="229"/>
      <c r="G20" s="229" t="str">
        <f>IF(FolhaDeHoras[[#This Row],[Entrada Manhã]]="","",FolhaDeHoras[[#This Row],[Saída Tarde]]-FolhaDeHoras[[#This Row],[Entrada Tarde]]+FolhaDeHoras[[#This Row],[Saída Manhã]]-FolhaDeHoras[[#This Row],[Entrada Manhã]])</f>
        <v/>
      </c>
    </row>
    <row r="21" spans="2:7">
      <c r="B21" s="227">
        <v>44305</v>
      </c>
      <c r="C21" s="229">
        <v>0.2913425925925926</v>
      </c>
      <c r="D21" s="229">
        <v>0.48592592592592593</v>
      </c>
      <c r="E21" s="229">
        <v>0.57731481481481484</v>
      </c>
      <c r="F21" s="229">
        <v>0.89390046296296299</v>
      </c>
      <c r="G21" s="229">
        <f>IF(FolhaDeHoras[[#This Row],[Entrada Manhã]]="","",FolhaDeHoras[[#This Row],[Saída Tarde]]-FolhaDeHoras[[#This Row],[Entrada Tarde]]+FolhaDeHoras[[#This Row],[Saída Manhã]]-FolhaDeHoras[[#This Row],[Entrada Manhã]])</f>
        <v>0.51116898148148149</v>
      </c>
    </row>
    <row r="22" spans="2:7">
      <c r="B22" s="227">
        <v>44306</v>
      </c>
      <c r="C22" s="229">
        <v>0.43809027777777776</v>
      </c>
      <c r="D22" s="229">
        <v>0.53574074074074074</v>
      </c>
      <c r="E22" s="229">
        <v>0.59402777777777782</v>
      </c>
      <c r="F22" s="229">
        <v>0.7518055555555555</v>
      </c>
      <c r="G22" s="229">
        <f>IF(FolhaDeHoras[[#This Row],[Entrada Manhã]]="","",FolhaDeHoras[[#This Row],[Saída Tarde]]-FolhaDeHoras[[#This Row],[Entrada Tarde]]+FolhaDeHoras[[#This Row],[Saída Manhã]]-FolhaDeHoras[[#This Row],[Entrada Manhã]])</f>
        <v>0.25542824074074066</v>
      </c>
    </row>
    <row r="23" spans="2:7">
      <c r="B23" s="227">
        <v>44307</v>
      </c>
      <c r="C23" s="229">
        <v>0.41846064814814815</v>
      </c>
      <c r="D23" s="229">
        <v>0.56824074074074071</v>
      </c>
      <c r="E23" s="229">
        <v>0.62366898148148142</v>
      </c>
      <c r="F23" s="229">
        <v>0.74914351851851846</v>
      </c>
      <c r="G23" s="229">
        <f>IF(FolhaDeHoras[[#This Row],[Entrada Manhã]]="","",FolhaDeHoras[[#This Row],[Saída Tarde]]-FolhaDeHoras[[#This Row],[Entrada Tarde]]+FolhaDeHoras[[#This Row],[Saída Manhã]]-FolhaDeHoras[[#This Row],[Entrada Manhã]])</f>
        <v>0.2752546296296296</v>
      </c>
    </row>
    <row r="24" spans="2:7">
      <c r="B24" s="227">
        <v>44308</v>
      </c>
      <c r="C24" s="229">
        <v>0.4012384259259259</v>
      </c>
      <c r="D24" s="229">
        <v>0.55546296296296294</v>
      </c>
      <c r="E24" s="229">
        <v>0.60640046296296291</v>
      </c>
      <c r="F24" s="229">
        <v>0.84766203703703702</v>
      </c>
      <c r="G24" s="229">
        <f>IF(FolhaDeHoras[[#This Row],[Entrada Manhã]]="","",FolhaDeHoras[[#This Row],[Saída Tarde]]-FolhaDeHoras[[#This Row],[Entrada Tarde]]+FolhaDeHoras[[#This Row],[Saída Manhã]]-FolhaDeHoras[[#This Row],[Entrada Manhã]])</f>
        <v>0.39548611111111115</v>
      </c>
    </row>
    <row r="25" spans="2:7">
      <c r="B25" s="227">
        <v>44309</v>
      </c>
      <c r="C25" s="229">
        <v>0.37684027777777779</v>
      </c>
      <c r="D25" s="229">
        <v>0.50307870370370367</v>
      </c>
      <c r="E25" s="229">
        <v>0.57094907407407403</v>
      </c>
      <c r="F25" s="229">
        <v>0.76650462962962962</v>
      </c>
      <c r="G25" s="229">
        <f>IF(FolhaDeHoras[[#This Row],[Entrada Manhã]]="","",FolhaDeHoras[[#This Row],[Saída Tarde]]-FolhaDeHoras[[#This Row],[Entrada Tarde]]+FolhaDeHoras[[#This Row],[Saída Manhã]]-FolhaDeHoras[[#This Row],[Entrada Manhã]])</f>
        <v>0.32179398148148147</v>
      </c>
    </row>
    <row r="26" spans="2:7">
      <c r="B26" s="227">
        <v>44310</v>
      </c>
      <c r="C26" s="229">
        <v>0.26815972222222223</v>
      </c>
      <c r="D26" s="229">
        <v>0.50718750000000001</v>
      </c>
      <c r="E26" s="229">
        <v>0.54630787037037043</v>
      </c>
      <c r="F26" s="229">
        <v>0.70981481481481479</v>
      </c>
      <c r="G26" s="229">
        <f>IF(FolhaDeHoras[[#This Row],[Entrada Manhã]]="","",FolhaDeHoras[[#This Row],[Saída Tarde]]-FolhaDeHoras[[#This Row],[Entrada Tarde]]+FolhaDeHoras[[#This Row],[Saída Manhã]]-FolhaDeHoras[[#This Row],[Entrada Manhã]])</f>
        <v>0.40253472222222214</v>
      </c>
    </row>
    <row r="27" spans="2:7">
      <c r="B27" s="227">
        <v>44311</v>
      </c>
      <c r="C27" s="229">
        <v>0.32984953703703707</v>
      </c>
      <c r="D27" s="229">
        <v>0.56755787037037042</v>
      </c>
      <c r="E27" s="229">
        <v>0.6174074074074074</v>
      </c>
      <c r="F27" s="229">
        <v>0.70208333333333339</v>
      </c>
      <c r="G27" s="229">
        <f>IF(FolhaDeHoras[[#This Row],[Entrada Manhã]]="","",FolhaDeHoras[[#This Row],[Saída Tarde]]-FolhaDeHoras[[#This Row],[Entrada Tarde]]+FolhaDeHoras[[#This Row],[Saída Manhã]]-FolhaDeHoras[[#This Row],[Entrada Manhã]])</f>
        <v>0.32238425925925934</v>
      </c>
    </row>
    <row r="28" spans="2:7">
      <c r="B28" s="227">
        <v>44312</v>
      </c>
      <c r="C28" s="229">
        <v>0.45288194444444446</v>
      </c>
      <c r="D28" s="229">
        <v>0.54689814814814819</v>
      </c>
      <c r="E28" s="229">
        <v>0.57200231481481478</v>
      </c>
      <c r="F28" s="229">
        <v>0.80815972222222221</v>
      </c>
      <c r="G28" s="229">
        <f>IF(FolhaDeHoras[[#This Row],[Entrada Manhã]]="","",FolhaDeHoras[[#This Row],[Saída Tarde]]-FolhaDeHoras[[#This Row],[Entrada Tarde]]+FolhaDeHoras[[#This Row],[Saída Manhã]]-FolhaDeHoras[[#This Row],[Entrada Manhã]])</f>
        <v>0.33017361111111115</v>
      </c>
    </row>
    <row r="29" spans="2:7">
      <c r="B29" s="227">
        <v>44313</v>
      </c>
      <c r="C29" s="229">
        <v>0.26815972222222223</v>
      </c>
      <c r="D29" s="229">
        <v>0.50718750000000001</v>
      </c>
      <c r="E29" s="229">
        <v>0.54630787037037043</v>
      </c>
      <c r="F29" s="229">
        <v>0.70981481481481479</v>
      </c>
      <c r="G29" s="229">
        <f>IF(FolhaDeHoras[[#This Row],[Entrada Manhã]]="","",FolhaDeHoras[[#This Row],[Saída Tarde]]-FolhaDeHoras[[#This Row],[Entrada Tarde]]+FolhaDeHoras[[#This Row],[Saída Manhã]]-FolhaDeHoras[[#This Row],[Entrada Manhã]])</f>
        <v>0.40253472222222214</v>
      </c>
    </row>
    <row r="30" spans="2:7">
      <c r="B30" s="227">
        <v>44314</v>
      </c>
      <c r="C30" s="229">
        <v>0.32984953703703707</v>
      </c>
      <c r="D30" s="229">
        <v>0.56755787037037042</v>
      </c>
      <c r="E30" s="229">
        <v>0.6174074074074074</v>
      </c>
      <c r="F30" s="229">
        <v>0.70208333333333339</v>
      </c>
      <c r="G30" s="229">
        <f>IF(FolhaDeHoras[[#This Row],[Entrada Manhã]]="","",FolhaDeHoras[[#This Row],[Saída Tarde]]-FolhaDeHoras[[#This Row],[Entrada Tarde]]+FolhaDeHoras[[#This Row],[Saída Manhã]]-FolhaDeHoras[[#This Row],[Entrada Manhã]])</f>
        <v>0.32238425925925934</v>
      </c>
    </row>
    <row r="31" spans="2:7">
      <c r="B31" s="227">
        <v>44315</v>
      </c>
      <c r="C31" s="229">
        <v>0.29317129629629629</v>
      </c>
      <c r="D31" s="229">
        <v>0.45900462962962968</v>
      </c>
      <c r="E31" s="229">
        <v>0.60037037037037033</v>
      </c>
      <c r="F31" s="229">
        <v>0.85578703703703696</v>
      </c>
      <c r="G31" s="229">
        <f>IF(FolhaDeHoras[[#This Row],[Entrada Manhã]]="","",FolhaDeHoras[[#This Row],[Saída Tarde]]-FolhaDeHoras[[#This Row],[Entrada Tarde]]+FolhaDeHoras[[#This Row],[Saída Manhã]]-FolhaDeHoras[[#This Row],[Entrada Manhã]])</f>
        <v>0.42125000000000007</v>
      </c>
    </row>
    <row r="32" spans="2:7">
      <c r="B32" s="227">
        <v>44316</v>
      </c>
      <c r="C32" s="229">
        <v>0.32350694444444444</v>
      </c>
      <c r="D32" s="229">
        <v>0.5153240740740741</v>
      </c>
      <c r="E32" s="229">
        <v>0.56018518518518523</v>
      </c>
      <c r="F32" s="229">
        <v>0.71833333333333327</v>
      </c>
      <c r="G32" s="229">
        <f>IF(FolhaDeHoras[[#This Row],[Entrada Manhã]]="","",FolhaDeHoras[[#This Row],[Saída Tarde]]-FolhaDeHoras[[#This Row],[Entrada Tarde]]+FolhaDeHoras[[#This Row],[Saída Manhã]]-FolhaDeHoras[[#This Row],[Entrada Manhã]])</f>
        <v>0.34996527777777769</v>
      </c>
    </row>
    <row r="33" spans="2:7">
      <c r="B33" t="s">
        <v>108</v>
      </c>
      <c r="G33" s="228">
        <f>SUBTOTAL(109,FolhaDeHoras[Duração])</f>
        <v>8.3767013888888862</v>
      </c>
    </row>
    <row r="34" spans="2:7">
      <c r="B34" s="5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0B7406"/>
  </sheetPr>
  <dimension ref="A1:U20"/>
  <sheetViews>
    <sheetView showGridLines="0" zoomScaleNormal="100" workbookViewId="0">
      <selection activeCell="J4" sqref="J4"/>
    </sheetView>
  </sheetViews>
  <sheetFormatPr defaultRowHeight="15"/>
  <cols>
    <col min="1" max="1" width="6.42578125" style="151" customWidth="1"/>
    <col min="2" max="2" width="19.42578125" style="151" customWidth="1"/>
    <col min="3" max="3" width="12.7109375" style="151" customWidth="1"/>
    <col min="4" max="4" width="17.5703125" style="151" bestFit="1" customWidth="1"/>
    <col min="5" max="5" width="19.7109375" style="151" bestFit="1" customWidth="1"/>
    <col min="6" max="6" width="19" style="151" bestFit="1" customWidth="1"/>
    <col min="7" max="7" width="16.42578125" style="151" bestFit="1" customWidth="1"/>
    <col min="8" max="8" width="13.85546875" style="151" bestFit="1" customWidth="1"/>
    <col min="9" max="9" width="16.7109375" style="151" bestFit="1" customWidth="1"/>
    <col min="10" max="10" width="23.28515625" style="151" bestFit="1" customWidth="1"/>
    <col min="11" max="11" width="12.28515625" style="151" customWidth="1"/>
    <col min="12" max="12" width="11.42578125" style="151" bestFit="1" customWidth="1"/>
    <col min="13" max="16384" width="9.140625" style="151"/>
  </cols>
  <sheetData>
    <row r="1" spans="1:21" ht="46.5" customHeight="1">
      <c r="A1" s="660"/>
      <c r="B1" s="661"/>
      <c r="C1" s="661"/>
      <c r="D1" s="661"/>
      <c r="E1" s="837" t="s">
        <v>1130</v>
      </c>
      <c r="F1" s="837"/>
      <c r="G1" s="837"/>
      <c r="H1" s="837"/>
      <c r="I1" s="837"/>
      <c r="J1" s="837"/>
      <c r="K1" s="837"/>
      <c r="L1" s="661"/>
      <c r="M1" s="661"/>
      <c r="N1" s="661"/>
      <c r="O1" s="661"/>
      <c r="P1" s="661"/>
      <c r="Q1" s="661"/>
      <c r="R1" s="661"/>
      <c r="S1" s="661"/>
      <c r="T1" s="661"/>
      <c r="U1" s="661"/>
    </row>
    <row r="3" spans="1:21" ht="17.25" customHeight="1">
      <c r="I3" s="647"/>
    </row>
    <row r="4" spans="1:21" ht="17.25" customHeight="1">
      <c r="I4" s="647"/>
    </row>
    <row r="5" spans="1:21" ht="17.25" customHeight="1">
      <c r="I5" s="647"/>
    </row>
    <row r="6" spans="1:21" ht="17.25" customHeight="1">
      <c r="I6" s="647"/>
    </row>
    <row r="7" spans="1:21" ht="17.25" customHeight="1">
      <c r="D7" s="836" t="s">
        <v>1129</v>
      </c>
      <c r="E7" s="836"/>
      <c r="F7" s="836"/>
      <c r="G7" s="836"/>
      <c r="H7" s="836"/>
      <c r="I7" s="836"/>
      <c r="J7" s="836"/>
    </row>
    <row r="8" spans="1:21" ht="28.5" customHeight="1">
      <c r="B8" s="662" t="s">
        <v>562</v>
      </c>
      <c r="D8" s="649" t="s">
        <v>317</v>
      </c>
      <c r="E8" s="649" t="s">
        <v>705</v>
      </c>
      <c r="F8" s="649" t="s">
        <v>704</v>
      </c>
      <c r="G8" s="649" t="s">
        <v>706</v>
      </c>
      <c r="H8" s="649" t="s">
        <v>708</v>
      </c>
      <c r="I8" s="649" t="s">
        <v>707</v>
      </c>
      <c r="J8" s="649" t="s">
        <v>709</v>
      </c>
    </row>
    <row r="9" spans="1:21" ht="17.25" customHeight="1">
      <c r="B9" s="648">
        <f ca="1">TODAY()</f>
        <v>46060</v>
      </c>
      <c r="D9" s="655" t="s">
        <v>710</v>
      </c>
      <c r="E9" s="656">
        <v>45505</v>
      </c>
      <c r="F9" s="657">
        <f ca="1">TODAY()-Tabela39[[#This Row],[Data de entrada]]</f>
        <v>555</v>
      </c>
      <c r="G9" s="658">
        <v>12391</v>
      </c>
      <c r="H9" s="658">
        <f ca="1">IF(Tabela39[[#This Row],[Tempo de Casa]]&gt;=200,Tabela39[[#This Row],[Salário atual]]*15%,0)</f>
        <v>1858.6499999999999</v>
      </c>
      <c r="I9" s="658">
        <f ca="1">Tabela39[[#This Row],[Salário atual]]+Tabela39[[#This Row],[Aumento]]</f>
        <v>14249.65</v>
      </c>
      <c r="J9" s="659" t="str">
        <f ca="1">IF(Tabela39[[#This Row],[Aumento]]&gt;0,"Sim","Não")</f>
        <v>Sim</v>
      </c>
    </row>
    <row r="10" spans="1:21" ht="17.25" customHeight="1">
      <c r="D10" s="655" t="s">
        <v>716</v>
      </c>
      <c r="E10" s="656">
        <v>45474</v>
      </c>
      <c r="F10" s="657">
        <f ca="1">TODAY()-Tabela39[[#This Row],[Data de entrada]]</f>
        <v>586</v>
      </c>
      <c r="G10" s="658">
        <v>11877</v>
      </c>
      <c r="H10" s="658">
        <f ca="1">IF(Tabela39[[#This Row],[Tempo de Casa]]&gt;=200,Tabela39[[#This Row],[Salário atual]]*15%,0)</f>
        <v>1781.55</v>
      </c>
      <c r="I10" s="658">
        <f ca="1">Tabela39[[#This Row],[Salário atual]]+Tabela39[[#This Row],[Aumento]]</f>
        <v>13658.55</v>
      </c>
      <c r="J10" s="659" t="str">
        <f ca="1">IF(Tabela39[[#This Row],[Aumento]]&gt;0,"Sim","Não")</f>
        <v>Sim</v>
      </c>
    </row>
    <row r="11" spans="1:21" ht="17.25" customHeight="1">
      <c r="D11" s="655" t="s">
        <v>718</v>
      </c>
      <c r="E11" s="656">
        <v>45290</v>
      </c>
      <c r="F11" s="657">
        <f ca="1">TODAY()-Tabela39[[#This Row],[Data de entrada]]</f>
        <v>770</v>
      </c>
      <c r="G11" s="658">
        <v>7531</v>
      </c>
      <c r="H11" s="658">
        <f ca="1">IF(Tabela39[[#This Row],[Tempo de Casa]]&gt;=200,Tabela39[[#This Row],[Salário atual]]*15%,0)</f>
        <v>1129.6499999999999</v>
      </c>
      <c r="I11" s="658">
        <f ca="1">Tabela39[[#This Row],[Salário atual]]+Tabela39[[#This Row],[Aumento]]</f>
        <v>8660.65</v>
      </c>
      <c r="J11" s="659" t="str">
        <f ca="1">IF(Tabela39[[#This Row],[Aumento]]&gt;0,"Sim","Não")</f>
        <v>Sim</v>
      </c>
    </row>
    <row r="12" spans="1:21" ht="17.25" customHeight="1">
      <c r="D12" s="655" t="s">
        <v>468</v>
      </c>
      <c r="E12" s="656">
        <v>45261</v>
      </c>
      <c r="F12" s="657">
        <f ca="1">TODAY()-Tabela39[[#This Row],[Data de entrada]]</f>
        <v>799</v>
      </c>
      <c r="G12" s="658">
        <v>12452</v>
      </c>
      <c r="H12" s="658">
        <f ca="1">IF(Tabela39[[#This Row],[Tempo de Casa]]&gt;=200,Tabela39[[#This Row],[Salário atual]]*15%,0)</f>
        <v>1867.8</v>
      </c>
      <c r="I12" s="658">
        <f ca="1">Tabela39[[#This Row],[Salário atual]]+Tabela39[[#This Row],[Aumento]]</f>
        <v>14319.8</v>
      </c>
      <c r="J12" s="659" t="str">
        <f ca="1">IF(Tabela39[[#This Row],[Aumento]]&gt;0,"Sim","Não")</f>
        <v>Sim</v>
      </c>
    </row>
    <row r="13" spans="1:21" ht="17.25" customHeight="1">
      <c r="D13" s="655" t="s">
        <v>713</v>
      </c>
      <c r="E13" s="656">
        <v>44391</v>
      </c>
      <c r="F13" s="657">
        <f ca="1">TODAY()-Tabela39[[#This Row],[Data de entrada]]</f>
        <v>1669</v>
      </c>
      <c r="G13" s="658">
        <v>11866</v>
      </c>
      <c r="H13" s="658">
        <f ca="1">IF(Tabela39[[#This Row],[Tempo de Casa]]&gt;=200,Tabela39[[#This Row],[Salário atual]]*15%,0)</f>
        <v>1779.8999999999999</v>
      </c>
      <c r="I13" s="658">
        <f ca="1">Tabela39[[#This Row],[Salário atual]]+Tabela39[[#This Row],[Aumento]]</f>
        <v>13645.9</v>
      </c>
      <c r="J13" s="659" t="str">
        <f ca="1">IF(Tabela39[[#This Row],[Aumento]]&gt;0,"Sim","Não")</f>
        <v>Sim</v>
      </c>
    </row>
    <row r="14" spans="1:21" ht="17.25" hidden="1" customHeight="1">
      <c r="D14" s="650" t="s">
        <v>715</v>
      </c>
      <c r="E14" s="651">
        <v>43628</v>
      </c>
      <c r="F14" s="652">
        <f ca="1">TODAY()-Tabela39[[#This Row],[Data de entrada]]</f>
        <v>2432</v>
      </c>
      <c r="G14" s="653">
        <v>4682</v>
      </c>
      <c r="H14" s="653">
        <f ca="1">IF(Tabela39[[#This Row],[Tempo de Casa]]&gt;=200,Tabela39[[#This Row],[Salário atual]]*15%,0)</f>
        <v>702.3</v>
      </c>
      <c r="I14" s="653">
        <f ca="1">Tabela39[[#This Row],[Salário atual]]+Tabela39[[#This Row],[Aumento]]</f>
        <v>5384.3</v>
      </c>
      <c r="J14" s="654" t="str">
        <f ca="1">IF(Tabela39[[#This Row],[Aumento]]&gt;0,"Sim","Não")</f>
        <v>Sim</v>
      </c>
    </row>
    <row r="15" spans="1:21" ht="17.25" hidden="1" customHeight="1">
      <c r="D15" s="650" t="s">
        <v>714</v>
      </c>
      <c r="E15" s="651">
        <v>43449</v>
      </c>
      <c r="F15" s="652">
        <f ca="1">TODAY()-Tabela39[[#This Row],[Data de entrada]]</f>
        <v>2611</v>
      </c>
      <c r="G15" s="653">
        <v>9003</v>
      </c>
      <c r="H15" s="653">
        <f ca="1">IF(Tabela39[[#This Row],[Tempo de Casa]]&gt;=200,Tabela39[[#This Row],[Salário atual]]*15%,0)</f>
        <v>1350.45</v>
      </c>
      <c r="I15" s="653">
        <f ca="1">Tabela39[[#This Row],[Salário atual]]+Tabela39[[#This Row],[Aumento]]</f>
        <v>10353.450000000001</v>
      </c>
      <c r="J15" s="654" t="str">
        <f ca="1">IF(Tabela39[[#This Row],[Aumento]]&gt;0,"Sim","Não")</f>
        <v>Sim</v>
      </c>
    </row>
    <row r="16" spans="1:21" ht="15.75" hidden="1">
      <c r="D16" s="650" t="s">
        <v>586</v>
      </c>
      <c r="E16" s="651">
        <v>43449</v>
      </c>
      <c r="F16" s="652">
        <f ca="1">TODAY()-Tabela39[[#This Row],[Data de entrada]]</f>
        <v>2611</v>
      </c>
      <c r="G16" s="653">
        <v>10783</v>
      </c>
      <c r="H16" s="653">
        <f ca="1">IF(Tabela39[[#This Row],[Tempo de Casa]]&gt;=200,Tabela39[[#This Row],[Salário atual]]*15%,0)</f>
        <v>1617.45</v>
      </c>
      <c r="I16" s="653">
        <f ca="1">Tabela39[[#This Row],[Salário atual]]+Tabela39[[#This Row],[Aumento]]</f>
        <v>12400.45</v>
      </c>
      <c r="J16" s="654" t="str">
        <f ca="1">IF(Tabela39[[#This Row],[Aumento]]&gt;0,"Sim","Não")</f>
        <v>Sim</v>
      </c>
    </row>
    <row r="17" spans="4:10" ht="15.75" hidden="1">
      <c r="D17" s="650" t="s">
        <v>984</v>
      </c>
      <c r="E17" s="651">
        <v>43054</v>
      </c>
      <c r="F17" s="652">
        <f ca="1">TODAY()-Tabela39[[#This Row],[Data de entrada]]</f>
        <v>3006</v>
      </c>
      <c r="G17" s="653">
        <v>5019</v>
      </c>
      <c r="H17" s="653">
        <f ca="1">IF(Tabela39[[#This Row],[Tempo de Casa]]&gt;=200,Tabela39[[#This Row],[Salário atual]]*15%,0)</f>
        <v>752.85</v>
      </c>
      <c r="I17" s="653">
        <f ca="1">Tabela39[[#This Row],[Salário atual]]+Tabela39[[#This Row],[Aumento]]</f>
        <v>5771.85</v>
      </c>
      <c r="J17" s="654" t="str">
        <f ca="1">IF(Tabela39[[#This Row],[Aumento]]&gt;0,"Sim","Não")</f>
        <v>Sim</v>
      </c>
    </row>
    <row r="18" spans="4:10" ht="15.75" hidden="1">
      <c r="D18" s="650" t="s">
        <v>712</v>
      </c>
      <c r="E18" s="651">
        <v>42527</v>
      </c>
      <c r="F18" s="652">
        <f ca="1">TODAY()-Tabela39[[#This Row],[Data de entrada]]</f>
        <v>3533</v>
      </c>
      <c r="G18" s="653">
        <v>3508</v>
      </c>
      <c r="H18" s="653">
        <f ca="1">IF(Tabela39[[#This Row],[Tempo de Casa]]&gt;=200,Tabela39[[#This Row],[Salário atual]]*15%,0)</f>
        <v>526.19999999999993</v>
      </c>
      <c r="I18" s="653">
        <f ca="1">Tabela39[[#This Row],[Salário atual]]+Tabela39[[#This Row],[Aumento]]</f>
        <v>4034.2</v>
      </c>
      <c r="J18" s="654" t="str">
        <f ca="1">IF(Tabela39[[#This Row],[Aumento]]&gt;0,"Sim","Não")</f>
        <v>Sim</v>
      </c>
    </row>
    <row r="19" spans="4:10" ht="15.75" hidden="1">
      <c r="D19" s="650" t="s">
        <v>717</v>
      </c>
      <c r="E19" s="651">
        <v>41856</v>
      </c>
      <c r="F19" s="652">
        <f ca="1">TODAY()-Tabela39[[#This Row],[Data de entrada]]</f>
        <v>4204</v>
      </c>
      <c r="G19" s="653">
        <v>6614</v>
      </c>
      <c r="H19" s="653">
        <f ca="1">IF(Tabela39[[#This Row],[Tempo de Casa]]&gt;=200,Tabela39[[#This Row],[Salário atual]]*15%,0)</f>
        <v>992.09999999999991</v>
      </c>
      <c r="I19" s="653">
        <f ca="1">Tabela39[[#This Row],[Salário atual]]+Tabela39[[#This Row],[Aumento]]</f>
        <v>7606.1</v>
      </c>
      <c r="J19" s="654" t="str">
        <f ca="1">IF(Tabela39[[#This Row],[Aumento]]&gt;0,"Sim","Não")</f>
        <v>Sim</v>
      </c>
    </row>
    <row r="20" spans="4:10" ht="15.75" hidden="1">
      <c r="D20" s="650" t="s">
        <v>711</v>
      </c>
      <c r="E20" s="651">
        <v>36586</v>
      </c>
      <c r="F20" s="652">
        <f ca="1">TODAY()-Tabela39[[#This Row],[Data de entrada]]</f>
        <v>9474</v>
      </c>
      <c r="G20" s="653">
        <v>15500</v>
      </c>
      <c r="H20" s="653">
        <f ca="1">IF(Tabela39[[#This Row],[Tempo de Casa]]&gt;=200,Tabela39[[#This Row],[Salário atual]]*15%,0)</f>
        <v>2325</v>
      </c>
      <c r="I20" s="653">
        <f ca="1">Tabela39[[#This Row],[Salário atual]]+Tabela39[[#This Row],[Aumento]]</f>
        <v>17825</v>
      </c>
      <c r="J20" s="654" t="str">
        <f ca="1">IF(Tabela39[[#This Row],[Aumento]]&gt;0,"Sim","Não")</f>
        <v>Sim</v>
      </c>
    </row>
  </sheetData>
  <sortState xmlns:xlrd2="http://schemas.microsoft.com/office/spreadsheetml/2017/richdata2" ref="D9:D20">
    <sortCondition ref="D9"/>
  </sortState>
  <mergeCells count="2">
    <mergeCell ref="D7:J7"/>
    <mergeCell ref="E1:K1"/>
  </mergeCell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7"/>
  </sheetPr>
  <dimension ref="A1"/>
  <sheetViews>
    <sheetView showGridLines="0" showRowColHeaders="0" zoomScaleNormal="100" workbookViewId="0">
      <selection activeCell="V9" sqref="V9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0070C0"/>
  </sheetPr>
  <dimension ref="A2:G16"/>
  <sheetViews>
    <sheetView showGridLines="0" zoomScaleNormal="100" workbookViewId="0">
      <selection activeCell="E8" sqref="E8:G16"/>
    </sheetView>
  </sheetViews>
  <sheetFormatPr defaultRowHeight="15"/>
  <cols>
    <col min="1" max="1" width="3.7109375" customWidth="1"/>
    <col min="3" max="3" width="13.85546875" customWidth="1"/>
    <col min="5" max="5" width="13.85546875" customWidth="1"/>
    <col min="6" max="6" width="11.7109375" bestFit="1" customWidth="1"/>
  </cols>
  <sheetData>
    <row r="2" spans="1:7" s="471" customFormat="1" ht="35.25">
      <c r="B2" s="472"/>
    </row>
    <row r="3" spans="1:7" s="473" customFormat="1" ht="6" customHeight="1"/>
    <row r="4" spans="1:7" ht="20.25" customHeight="1">
      <c r="A4" s="232" t="s">
        <v>604</v>
      </c>
      <c r="B4" s="231" t="s">
        <v>606</v>
      </c>
    </row>
    <row r="5" spans="1:7" ht="15.75">
      <c r="A5" s="232" t="s">
        <v>605</v>
      </c>
      <c r="B5" s="231" t="s">
        <v>607</v>
      </c>
    </row>
    <row r="8" spans="1:7">
      <c r="E8" t="s">
        <v>1131</v>
      </c>
      <c r="F8" t="s">
        <v>608</v>
      </c>
      <c r="G8" t="s">
        <v>590</v>
      </c>
    </row>
    <row r="9" spans="1:7">
      <c r="E9" t="s">
        <v>1133</v>
      </c>
      <c r="F9" t="s">
        <v>434</v>
      </c>
      <c r="G9">
        <v>4</v>
      </c>
    </row>
    <row r="10" spans="1:7">
      <c r="E10" t="s">
        <v>1132</v>
      </c>
      <c r="F10" t="s">
        <v>435</v>
      </c>
      <c r="G10">
        <v>3</v>
      </c>
    </row>
    <row r="11" spans="1:7">
      <c r="E11" t="s">
        <v>1135</v>
      </c>
      <c r="F11" t="s">
        <v>433</v>
      </c>
      <c r="G11">
        <v>24</v>
      </c>
    </row>
    <row r="12" spans="1:7">
      <c r="E12" t="s">
        <v>1136</v>
      </c>
      <c r="F12" t="s">
        <v>430</v>
      </c>
      <c r="G12">
        <v>36</v>
      </c>
    </row>
    <row r="13" spans="1:7">
      <c r="E13" t="s">
        <v>1137</v>
      </c>
      <c r="F13" t="s">
        <v>971</v>
      </c>
      <c r="G13">
        <v>38</v>
      </c>
    </row>
    <row r="14" spans="1:7">
      <c r="E14" t="s">
        <v>1138</v>
      </c>
      <c r="F14" t="s">
        <v>436</v>
      </c>
      <c r="G14">
        <v>58</v>
      </c>
    </row>
    <row r="15" spans="1:7">
      <c r="E15" t="s">
        <v>1139</v>
      </c>
      <c r="F15" t="s">
        <v>431</v>
      </c>
      <c r="G15">
        <v>58</v>
      </c>
    </row>
    <row r="16" spans="1:7">
      <c r="E16" t="s">
        <v>1134</v>
      </c>
      <c r="F16" t="s">
        <v>432</v>
      </c>
      <c r="G16">
        <v>11</v>
      </c>
    </row>
  </sheetData>
  <sortState xmlns:xlrd2="http://schemas.microsoft.com/office/spreadsheetml/2017/richdata2" ref="F9:G15">
    <sortCondition ref="F9"/>
  </sortState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D855-669E-4EF0-8252-67805A24429B}">
  <sheetPr>
    <tabColor rgb="FF0070C0"/>
  </sheetPr>
  <dimension ref="B2:F14"/>
  <sheetViews>
    <sheetView showGridLines="0" zoomScaleNormal="100" workbookViewId="0">
      <selection activeCell="F22" sqref="F22"/>
    </sheetView>
  </sheetViews>
  <sheetFormatPr defaultRowHeight="15"/>
  <cols>
    <col min="1" max="1" width="3.7109375" customWidth="1"/>
    <col min="3" max="3" width="13.85546875" customWidth="1"/>
    <col min="5" max="5" width="13.85546875" customWidth="1"/>
    <col min="6" max="6" width="10.5703125" customWidth="1"/>
  </cols>
  <sheetData>
    <row r="2" spans="2:6" s="471" customFormat="1" ht="35.25">
      <c r="B2" s="472"/>
    </row>
    <row r="3" spans="2:6" s="473" customFormat="1" ht="6" customHeight="1"/>
    <row r="6" spans="2:6">
      <c r="E6" t="s">
        <v>608</v>
      </c>
      <c r="F6" t="s">
        <v>590</v>
      </c>
    </row>
    <row r="7" spans="2:6">
      <c r="E7" s="663" t="s">
        <v>435</v>
      </c>
      <c r="F7" s="663">
        <v>3</v>
      </c>
    </row>
    <row r="8" spans="2:6">
      <c r="E8" s="663" t="s">
        <v>434</v>
      </c>
      <c r="F8" s="663">
        <v>4</v>
      </c>
    </row>
    <row r="9" spans="2:6">
      <c r="E9" s="663" t="s">
        <v>432</v>
      </c>
      <c r="F9" s="663">
        <v>11</v>
      </c>
    </row>
    <row r="10" spans="2:6">
      <c r="E10" s="663" t="s">
        <v>433</v>
      </c>
      <c r="F10" s="663">
        <v>24</v>
      </c>
    </row>
    <row r="11" spans="2:6">
      <c r="E11" s="663" t="s">
        <v>430</v>
      </c>
      <c r="F11" s="663">
        <v>36</v>
      </c>
    </row>
    <row r="12" spans="2:6">
      <c r="E12" s="663" t="s">
        <v>971</v>
      </c>
      <c r="F12" s="663">
        <v>38</v>
      </c>
    </row>
    <row r="13" spans="2:6">
      <c r="E13" s="663" t="s">
        <v>436</v>
      </c>
      <c r="F13" s="663">
        <v>58</v>
      </c>
    </row>
    <row r="14" spans="2:6">
      <c r="E14" s="663" t="s">
        <v>566</v>
      </c>
      <c r="F14" s="663">
        <v>87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FF00"/>
  </sheetPr>
  <dimension ref="A1:AH37"/>
  <sheetViews>
    <sheetView showGridLines="0" tabSelected="1" zoomScale="80" zoomScaleNormal="80" workbookViewId="0">
      <selection activeCell="B26" sqref="B26:B37"/>
    </sheetView>
  </sheetViews>
  <sheetFormatPr defaultRowHeight="15"/>
  <cols>
    <col min="1" max="1" width="5.5703125" customWidth="1"/>
    <col min="2" max="2" width="10" customWidth="1"/>
    <col min="3" max="3" width="12.140625" bestFit="1" customWidth="1"/>
    <col min="4" max="4" width="17.7109375" bestFit="1" customWidth="1"/>
    <col min="5" max="5" width="23.5703125" bestFit="1" customWidth="1"/>
    <col min="6" max="6" width="11.140625" bestFit="1" customWidth="1"/>
  </cols>
  <sheetData>
    <row r="1" spans="1:34" s="671" customFormat="1" ht="48" customHeight="1">
      <c r="A1" s="684" t="s">
        <v>1144</v>
      </c>
      <c r="B1" s="684"/>
      <c r="C1" s="684"/>
      <c r="D1" s="684"/>
      <c r="E1" s="684"/>
      <c r="F1" s="684"/>
      <c r="G1" s="684"/>
      <c r="H1" s="684"/>
      <c r="I1" s="684"/>
      <c r="J1" s="684"/>
      <c r="K1" s="684"/>
      <c r="L1" s="684"/>
      <c r="M1" s="684"/>
      <c r="N1" s="684"/>
      <c r="O1" s="684"/>
      <c r="P1" s="684"/>
      <c r="Q1" s="684"/>
      <c r="R1" s="684"/>
      <c r="S1" s="684"/>
      <c r="T1" s="684"/>
      <c r="U1" s="684"/>
      <c r="V1" s="684"/>
      <c r="W1" s="684"/>
      <c r="X1" s="684"/>
      <c r="Y1" s="684"/>
      <c r="Z1" s="684"/>
      <c r="AA1" s="684"/>
      <c r="AB1" s="684"/>
      <c r="AC1" s="684"/>
      <c r="AD1" s="684"/>
      <c r="AE1" s="684"/>
      <c r="AF1" s="684"/>
      <c r="AG1" s="684"/>
      <c r="AH1" s="684"/>
    </row>
    <row r="8" spans="1:34" ht="18" customHeight="1"/>
    <row r="23" spans="2:9" ht="15.75" thickBot="1"/>
    <row r="24" spans="2:9" ht="18.75">
      <c r="B24" s="681" t="s">
        <v>1140</v>
      </c>
      <c r="C24" s="682"/>
      <c r="D24" s="682"/>
      <c r="E24" s="682"/>
      <c r="F24" s="683"/>
    </row>
    <row r="25" spans="2:9">
      <c r="B25" s="665" t="s">
        <v>609</v>
      </c>
      <c r="C25" s="1" t="s">
        <v>610</v>
      </c>
      <c r="D25" s="1" t="s">
        <v>611</v>
      </c>
      <c r="E25" s="1" t="s">
        <v>612</v>
      </c>
      <c r="F25" s="666" t="s">
        <v>440</v>
      </c>
    </row>
    <row r="26" spans="2:9" ht="18.75" customHeight="1">
      <c r="B26" s="667">
        <v>46023</v>
      </c>
      <c r="C26" s="664">
        <v>21950.600020771355</v>
      </c>
      <c r="D26" s="664">
        <v>18747.752807599099</v>
      </c>
      <c r="E26" s="664">
        <v>14142.236563849639</v>
      </c>
      <c r="F26" s="668">
        <f>AVERAGE(Vendas2122[[#This Row],[Ana Elisa]:[Patrícia Guimarães]])</f>
        <v>18280.196464073364</v>
      </c>
    </row>
    <row r="27" spans="2:9">
      <c r="B27" s="667">
        <v>46054</v>
      </c>
      <c r="C27" s="664">
        <v>15090.931140059942</v>
      </c>
      <c r="D27" s="664">
        <v>22625.015985938247</v>
      </c>
      <c r="E27" s="664">
        <v>19544.877602590193</v>
      </c>
      <c r="F27" s="668">
        <f>AVERAGE(Vendas2122[[#This Row],[Ana Elisa]:[Patrícia Guimarães]])</f>
        <v>19086.941576196128</v>
      </c>
    </row>
    <row r="28" spans="2:9">
      <c r="B28" s="667">
        <v>46082</v>
      </c>
      <c r="C28" s="664">
        <v>23933.218069162391</v>
      </c>
      <c r="D28" s="664">
        <v>17224.365427155612</v>
      </c>
      <c r="E28" s="664">
        <v>17299.093593476071</v>
      </c>
      <c r="F28" s="668">
        <f>AVERAGE(Vendas2122[[#This Row],[Ana Elisa]:[Patrícia Guimarães]])</f>
        <v>19485.559029931359</v>
      </c>
    </row>
    <row r="29" spans="2:9">
      <c r="B29" s="667">
        <v>46113</v>
      </c>
      <c r="C29" s="664">
        <v>24586.148322304991</v>
      </c>
      <c r="D29" s="664">
        <v>29878</v>
      </c>
      <c r="E29" s="664">
        <v>23442.127883809717</v>
      </c>
      <c r="F29" s="668">
        <f>AVERAGE(Vendas2122[[#This Row],[Ana Elisa]:[Patrícia Guimarães]])</f>
        <v>25968.758735371568</v>
      </c>
    </row>
    <row r="30" spans="2:9">
      <c r="B30" s="667">
        <v>46143</v>
      </c>
      <c r="C30" s="664">
        <v>17490.787122835245</v>
      </c>
      <c r="D30" s="664">
        <v>15252.87484804811</v>
      </c>
      <c r="E30" s="664">
        <v>24832.091736456161</v>
      </c>
      <c r="F30" s="668">
        <f>AVERAGE(Vendas2122[[#This Row],[Ana Elisa]:[Patrícia Guimarães]])</f>
        <v>19191.917902446505</v>
      </c>
    </row>
    <row r="31" spans="2:9">
      <c r="B31" s="667">
        <v>46174</v>
      </c>
      <c r="C31" s="664">
        <v>21380.543278789337</v>
      </c>
      <c r="D31" s="664">
        <v>16461.62610568303</v>
      </c>
      <c r="E31" s="664">
        <v>20910.167603428796</v>
      </c>
      <c r="F31" s="668">
        <f>AVERAGE(Vendas2122[[#This Row],[Ana Elisa]:[Patrícia Guimarães]])</f>
        <v>19584.112329300388</v>
      </c>
      <c r="I31" s="151"/>
    </row>
    <row r="32" spans="2:9">
      <c r="B32" s="667">
        <v>46204</v>
      </c>
      <c r="C32" s="664">
        <v>15166.912768991864</v>
      </c>
      <c r="D32" s="664">
        <v>13153.02358374745</v>
      </c>
      <c r="E32" s="664">
        <v>16043.408659886287</v>
      </c>
      <c r="F32" s="668">
        <f>AVERAGE(Vendas2122[[#This Row],[Ana Elisa]:[Patrícia Guimarães]])</f>
        <v>14787.7816708752</v>
      </c>
    </row>
    <row r="33" spans="2:6">
      <c r="B33" s="667">
        <v>46235</v>
      </c>
      <c r="C33" s="664">
        <v>17713.220341816817</v>
      </c>
      <c r="D33" s="664">
        <v>16371.387083276753</v>
      </c>
      <c r="E33" s="664">
        <v>19668.490828452304</v>
      </c>
      <c r="F33" s="668">
        <f>AVERAGE(Vendas2122[[#This Row],[Ana Elisa]:[Patrícia Guimarães]])</f>
        <v>17917.699417848624</v>
      </c>
    </row>
    <row r="34" spans="2:6">
      <c r="B34" s="667">
        <v>46266</v>
      </c>
      <c r="C34" s="664">
        <v>21310.173005013377</v>
      </c>
      <c r="D34" s="664">
        <v>13794.533797561142</v>
      </c>
      <c r="E34" s="664">
        <v>14563.252094099766</v>
      </c>
      <c r="F34" s="668">
        <f>AVERAGE(Vendas2122[[#This Row],[Ana Elisa]:[Patrícia Guimarães]])</f>
        <v>16555.986298891428</v>
      </c>
    </row>
    <row r="35" spans="2:6">
      <c r="B35" s="667">
        <v>46296</v>
      </c>
      <c r="C35" s="664">
        <v>13949.452459322139</v>
      </c>
      <c r="D35" s="664">
        <v>22552.123383610277</v>
      </c>
      <c r="E35" s="664">
        <v>24180.025983293788</v>
      </c>
      <c r="F35" s="668">
        <f>AVERAGE(Vendas2122[[#This Row],[Ana Elisa]:[Patrícia Guimarães]])</f>
        <v>20227.20060874207</v>
      </c>
    </row>
    <row r="36" spans="2:6">
      <c r="B36" s="667">
        <v>46327</v>
      </c>
      <c r="C36" s="664">
        <v>12781.150637966806</v>
      </c>
      <c r="D36" s="664">
        <v>12000</v>
      </c>
      <c r="E36" s="664">
        <v>16432.242933599318</v>
      </c>
      <c r="F36" s="668">
        <f>AVERAGE(Vendas2122[[#This Row],[Ana Elisa]:[Patrícia Guimarães]])</f>
        <v>13737.797857188707</v>
      </c>
    </row>
    <row r="37" spans="2:6" ht="15.75" thickBot="1">
      <c r="B37" s="667">
        <v>46357</v>
      </c>
      <c r="C37" s="669">
        <v>17524.296671952463</v>
      </c>
      <c r="D37" s="669">
        <v>9485</v>
      </c>
      <c r="E37" s="669">
        <v>20105.589774621661</v>
      </c>
      <c r="F37" s="670">
        <f>AVERAGE(Vendas2122[[#This Row],[Ana Elisa]:[Patrícia Guimarães]])</f>
        <v>15704.96214885804</v>
      </c>
    </row>
  </sheetData>
  <mergeCells count="2">
    <mergeCell ref="B24:F24"/>
    <mergeCell ref="A1:AH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E9544-ED5E-406F-B72B-5E5212A27E15}">
  <sheetPr>
    <tabColor rgb="FF0070C0"/>
  </sheetPr>
  <dimension ref="B2:D12"/>
  <sheetViews>
    <sheetView zoomScaleNormal="100" workbookViewId="0">
      <selection activeCell="D12" sqref="B2:D12"/>
    </sheetView>
  </sheetViews>
  <sheetFormatPr defaultRowHeight="15"/>
  <cols>
    <col min="1" max="1" width="5" customWidth="1"/>
    <col min="2" max="2" width="12.28515625" customWidth="1"/>
    <col min="3" max="3" width="14.28515625" customWidth="1"/>
    <col min="4" max="4" width="14.7109375" customWidth="1"/>
  </cols>
  <sheetData>
    <row r="2" spans="2:4" ht="21">
      <c r="B2" s="838" t="s">
        <v>813</v>
      </c>
      <c r="C2" s="838"/>
      <c r="D2" s="838"/>
    </row>
    <row r="3" spans="2:4">
      <c r="B3" t="s">
        <v>137</v>
      </c>
      <c r="C3" t="s">
        <v>99</v>
      </c>
      <c r="D3" t="s">
        <v>814</v>
      </c>
    </row>
    <row r="4" spans="2:4">
      <c r="B4" t="s">
        <v>141</v>
      </c>
      <c r="C4" t="s">
        <v>573</v>
      </c>
      <c r="D4" s="442">
        <v>31274</v>
      </c>
    </row>
    <row r="5" spans="2:4">
      <c r="B5" t="s">
        <v>141</v>
      </c>
      <c r="C5" t="s">
        <v>815</v>
      </c>
      <c r="D5" s="442">
        <v>72588</v>
      </c>
    </row>
    <row r="6" spans="2:4">
      <c r="B6" t="s">
        <v>141</v>
      </c>
      <c r="C6" t="s">
        <v>681</v>
      </c>
      <c r="D6" s="442">
        <v>33582</v>
      </c>
    </row>
    <row r="7" spans="2:4">
      <c r="B7" t="s">
        <v>140</v>
      </c>
      <c r="C7" t="s">
        <v>816</v>
      </c>
      <c r="D7" s="442">
        <v>49486</v>
      </c>
    </row>
    <row r="8" spans="2:4">
      <c r="B8" t="s">
        <v>140</v>
      </c>
      <c r="C8" t="s">
        <v>817</v>
      </c>
      <c r="D8" s="442">
        <v>35171</v>
      </c>
    </row>
    <row r="9" spans="2:4">
      <c r="B9" t="s">
        <v>143</v>
      </c>
      <c r="C9" t="s">
        <v>548</v>
      </c>
      <c r="D9" s="442">
        <v>70042</v>
      </c>
    </row>
    <row r="10" spans="2:4">
      <c r="B10" t="s">
        <v>143</v>
      </c>
      <c r="C10" t="s">
        <v>818</v>
      </c>
      <c r="D10" s="442">
        <v>33947</v>
      </c>
    </row>
    <row r="11" spans="2:4">
      <c r="B11" t="s">
        <v>144</v>
      </c>
      <c r="C11" t="s">
        <v>546</v>
      </c>
      <c r="D11" s="442">
        <v>82235</v>
      </c>
    </row>
    <row r="12" spans="2:4">
      <c r="B12" t="s">
        <v>144</v>
      </c>
      <c r="C12" t="s">
        <v>819</v>
      </c>
      <c r="D12" s="442">
        <v>81401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90EA-9F0D-4974-9D6C-17DD907D0E05}">
  <sheetPr>
    <tabColor rgb="FF0070C0"/>
  </sheetPr>
  <dimension ref="B2:C13"/>
  <sheetViews>
    <sheetView workbookViewId="0">
      <selection activeCell="H8" sqref="H8"/>
    </sheetView>
  </sheetViews>
  <sheetFormatPr defaultRowHeight="15"/>
  <cols>
    <col min="2" max="2" width="9.85546875" bestFit="1" customWidth="1"/>
  </cols>
  <sheetData>
    <row r="2" spans="2:3">
      <c r="B2" t="s">
        <v>99</v>
      </c>
      <c r="C2" t="s">
        <v>534</v>
      </c>
    </row>
    <row r="3" spans="2:3">
      <c r="B3" t="s">
        <v>430</v>
      </c>
      <c r="C3">
        <v>2356214</v>
      </c>
    </row>
    <row r="4" spans="2:3">
      <c r="B4" t="s">
        <v>431</v>
      </c>
      <c r="C4">
        <v>7000000</v>
      </c>
    </row>
    <row r="5" spans="2:3">
      <c r="B5" t="s">
        <v>433</v>
      </c>
      <c r="C5">
        <v>8000000</v>
      </c>
    </row>
    <row r="6" spans="2:3">
      <c r="B6" t="s">
        <v>432</v>
      </c>
      <c r="C6">
        <v>9000000</v>
      </c>
    </row>
    <row r="7" spans="2:3">
      <c r="B7" t="s">
        <v>434</v>
      </c>
      <c r="C7">
        <v>2500000</v>
      </c>
    </row>
    <row r="8" spans="2:3">
      <c r="B8" t="s">
        <v>435</v>
      </c>
      <c r="C8">
        <v>3847240</v>
      </c>
    </row>
    <row r="9" spans="2:3">
      <c r="B9" t="s">
        <v>436</v>
      </c>
      <c r="C9">
        <v>4052465</v>
      </c>
    </row>
    <row r="10" spans="2:3">
      <c r="B10" t="s">
        <v>820</v>
      </c>
      <c r="C10">
        <v>1914661</v>
      </c>
    </row>
    <row r="11" spans="2:3">
      <c r="B11" t="s">
        <v>821</v>
      </c>
      <c r="C11">
        <v>3910499</v>
      </c>
    </row>
    <row r="12" spans="2:3">
      <c r="B12" t="s">
        <v>822</v>
      </c>
      <c r="C12">
        <v>1606519</v>
      </c>
    </row>
    <row r="13" spans="2:3">
      <c r="B13" t="s">
        <v>823</v>
      </c>
      <c r="C13">
        <v>3026583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9900"/>
  </sheetPr>
  <dimension ref="A3:H20"/>
  <sheetViews>
    <sheetView showGridLines="0" zoomScaleNormal="100" workbookViewId="0">
      <selection activeCell="G12" sqref="G12"/>
    </sheetView>
  </sheetViews>
  <sheetFormatPr defaultRowHeight="15"/>
  <cols>
    <col min="1" max="1" width="13.5703125" bestFit="1" customWidth="1"/>
    <col min="2" max="3" width="15" customWidth="1"/>
    <col min="4" max="4" width="16.42578125" customWidth="1"/>
    <col min="5" max="5" width="15" customWidth="1"/>
    <col min="6" max="6" width="16.85546875" customWidth="1"/>
    <col min="7" max="7" width="15.42578125" customWidth="1"/>
    <col min="8" max="8" width="14.42578125" customWidth="1"/>
  </cols>
  <sheetData>
    <row r="3" spans="1:8" ht="15" customHeight="1">
      <c r="A3" s="839" t="s">
        <v>693</v>
      </c>
      <c r="B3" s="839"/>
      <c r="C3" s="839"/>
      <c r="D3" s="839"/>
      <c r="E3" s="839"/>
      <c r="F3" s="839"/>
      <c r="G3" s="839"/>
      <c r="H3" s="839"/>
    </row>
    <row r="4" spans="1:8" ht="15" customHeight="1">
      <c r="A4" s="839"/>
      <c r="B4" s="839"/>
      <c r="C4" s="839"/>
      <c r="D4" s="839"/>
      <c r="E4" s="839"/>
      <c r="F4" s="839"/>
      <c r="G4" s="839"/>
      <c r="H4" s="839"/>
    </row>
    <row r="5" spans="1:8" ht="9.75" customHeight="1">
      <c r="A5" s="840"/>
      <c r="B5" s="840"/>
      <c r="C5" s="840"/>
      <c r="D5" s="840"/>
      <c r="E5" s="840"/>
      <c r="F5" s="840"/>
      <c r="G5" s="840"/>
      <c r="H5" s="840"/>
    </row>
    <row r="6" spans="1:8" ht="18" customHeight="1">
      <c r="A6" s="268" t="s">
        <v>442</v>
      </c>
      <c r="B6" s="268" t="s">
        <v>694</v>
      </c>
      <c r="C6" s="268" t="s">
        <v>613</v>
      </c>
      <c r="D6" s="268" t="s">
        <v>614</v>
      </c>
      <c r="E6" s="268" t="s">
        <v>615</v>
      </c>
      <c r="F6" s="268" t="s">
        <v>616</v>
      </c>
      <c r="G6" s="268" t="s">
        <v>617</v>
      </c>
      <c r="H6" s="268" t="s">
        <v>1000</v>
      </c>
    </row>
    <row r="7" spans="1:8" ht="15.75">
      <c r="A7" s="672" t="s">
        <v>358</v>
      </c>
      <c r="B7" s="673">
        <v>50235</v>
      </c>
      <c r="C7" s="673">
        <v>38508</v>
      </c>
      <c r="D7" s="673">
        <v>84754</v>
      </c>
      <c r="E7" s="673">
        <v>28933</v>
      </c>
      <c r="F7" s="673">
        <v>26762</v>
      </c>
      <c r="G7" s="673">
        <v>25545</v>
      </c>
      <c r="H7" s="673">
        <f t="shared" ref="H7:H18" si="0">AVERAGE(B6:G7)</f>
        <v>42456.166666666664</v>
      </c>
    </row>
    <row r="8" spans="1:8" ht="15.75">
      <c r="A8" s="672" t="s">
        <v>359</v>
      </c>
      <c r="B8" s="673">
        <v>59441</v>
      </c>
      <c r="C8" s="673">
        <v>83182</v>
      </c>
      <c r="D8" s="673">
        <v>49361</v>
      </c>
      <c r="E8" s="673">
        <v>37315</v>
      </c>
      <c r="F8" s="673">
        <v>34681</v>
      </c>
      <c r="G8" s="673">
        <v>50208</v>
      </c>
      <c r="H8" s="673">
        <f t="shared" si="0"/>
        <v>47410.416666666664</v>
      </c>
    </row>
    <row r="9" spans="1:8" ht="15.75">
      <c r="A9" s="672" t="s">
        <v>360</v>
      </c>
      <c r="B9" s="673">
        <v>64227</v>
      </c>
      <c r="C9" s="673">
        <v>37677</v>
      </c>
      <c r="D9" s="673">
        <v>67107</v>
      </c>
      <c r="E9" s="673">
        <v>68560</v>
      </c>
      <c r="F9" s="673">
        <v>89751</v>
      </c>
      <c r="G9" s="673">
        <v>60993</v>
      </c>
      <c r="H9" s="673">
        <f t="shared" si="0"/>
        <v>58541.916666666664</v>
      </c>
    </row>
    <row r="10" spans="1:8" ht="15.75">
      <c r="A10" s="672" t="s">
        <v>361</v>
      </c>
      <c r="B10" s="673">
        <v>62122</v>
      </c>
      <c r="C10" s="673">
        <v>82332</v>
      </c>
      <c r="D10" s="673">
        <v>13853</v>
      </c>
      <c r="E10" s="673">
        <v>64633</v>
      </c>
      <c r="F10" s="673">
        <v>46199</v>
      </c>
      <c r="G10" s="673">
        <v>62349</v>
      </c>
      <c r="H10" s="673">
        <f t="shared" si="0"/>
        <v>59983.583333333336</v>
      </c>
    </row>
    <row r="11" spans="1:8" ht="15.75">
      <c r="A11" s="672" t="s">
        <v>362</v>
      </c>
      <c r="B11" s="673">
        <v>14204</v>
      </c>
      <c r="C11" s="673">
        <v>88741</v>
      </c>
      <c r="D11" s="673">
        <v>18919</v>
      </c>
      <c r="E11" s="673">
        <v>31775</v>
      </c>
      <c r="F11" s="673">
        <v>67163</v>
      </c>
      <c r="G11" s="673">
        <v>73338</v>
      </c>
      <c r="H11" s="673">
        <f t="shared" si="0"/>
        <v>52135.666666666664</v>
      </c>
    </row>
    <row r="12" spans="1:8" ht="15.75">
      <c r="A12" s="672" t="s">
        <v>363</v>
      </c>
      <c r="B12" s="673">
        <v>86018</v>
      </c>
      <c r="C12" s="673">
        <v>49189</v>
      </c>
      <c r="D12" s="673">
        <v>58774</v>
      </c>
      <c r="E12" s="673">
        <v>81395</v>
      </c>
      <c r="F12" s="673">
        <v>26311</v>
      </c>
      <c r="G12" s="673">
        <v>61105</v>
      </c>
      <c r="H12" s="673">
        <f t="shared" si="0"/>
        <v>54744.333333333336</v>
      </c>
    </row>
    <row r="13" spans="1:8" ht="15.75">
      <c r="A13" s="672" t="s">
        <v>364</v>
      </c>
      <c r="B13" s="673">
        <v>27045</v>
      </c>
      <c r="C13" s="673">
        <v>84468</v>
      </c>
      <c r="D13" s="673">
        <v>79476</v>
      </c>
      <c r="E13" s="673">
        <v>63408</v>
      </c>
      <c r="F13" s="673">
        <v>35848</v>
      </c>
      <c r="G13" s="673">
        <v>47397</v>
      </c>
      <c r="H13" s="673">
        <f t="shared" si="0"/>
        <v>58369.5</v>
      </c>
    </row>
    <row r="14" spans="1:8" ht="15.75">
      <c r="A14" s="672" t="s">
        <v>365</v>
      </c>
      <c r="B14" s="673">
        <v>47667</v>
      </c>
      <c r="C14" s="673">
        <v>23219</v>
      </c>
      <c r="D14" s="673">
        <v>22849</v>
      </c>
      <c r="E14" s="673">
        <v>26972</v>
      </c>
      <c r="F14" s="673">
        <v>82847</v>
      </c>
      <c r="G14" s="673">
        <v>13379</v>
      </c>
      <c r="H14" s="673">
        <f t="shared" si="0"/>
        <v>46214.583333333336</v>
      </c>
    </row>
    <row r="15" spans="1:8" ht="15.75">
      <c r="A15" s="672" t="s">
        <v>366</v>
      </c>
      <c r="B15" s="673">
        <v>57947</v>
      </c>
      <c r="C15" s="673">
        <v>46102</v>
      </c>
      <c r="D15" s="673">
        <v>42053</v>
      </c>
      <c r="E15" s="673">
        <v>65052</v>
      </c>
      <c r="F15" s="673">
        <v>73135</v>
      </c>
      <c r="G15" s="673">
        <v>67817</v>
      </c>
      <c r="H15" s="673">
        <f t="shared" si="0"/>
        <v>47419.916666666664</v>
      </c>
    </row>
    <row r="16" spans="1:8" ht="15.75">
      <c r="A16" s="672" t="s">
        <v>367</v>
      </c>
      <c r="B16" s="673">
        <v>34818</v>
      </c>
      <c r="C16" s="673">
        <v>34797</v>
      </c>
      <c r="D16" s="673">
        <v>34189</v>
      </c>
      <c r="E16" s="673">
        <v>83542</v>
      </c>
      <c r="F16" s="673">
        <v>78927</v>
      </c>
      <c r="G16" s="673">
        <v>83066</v>
      </c>
      <c r="H16" s="673">
        <f t="shared" si="0"/>
        <v>58453.75</v>
      </c>
    </row>
    <row r="17" spans="1:8" ht="15.75">
      <c r="A17" s="672" t="s">
        <v>368</v>
      </c>
      <c r="B17" s="673">
        <v>28248</v>
      </c>
      <c r="C17" s="673">
        <v>43119</v>
      </c>
      <c r="D17" s="673">
        <v>52561</v>
      </c>
      <c r="E17" s="673">
        <v>88351</v>
      </c>
      <c r="F17" s="673">
        <v>50574</v>
      </c>
      <c r="G17" s="673">
        <v>54708</v>
      </c>
      <c r="H17" s="673">
        <f t="shared" si="0"/>
        <v>55575</v>
      </c>
    </row>
    <row r="18" spans="1:8" ht="15.75">
      <c r="A18" s="672" t="s">
        <v>369</v>
      </c>
      <c r="B18" s="673">
        <v>50985</v>
      </c>
      <c r="C18" s="673">
        <v>72682</v>
      </c>
      <c r="D18" s="673">
        <v>28414</v>
      </c>
      <c r="E18" s="673">
        <v>15884</v>
      </c>
      <c r="F18" s="673">
        <v>29785</v>
      </c>
      <c r="G18" s="673">
        <v>81574</v>
      </c>
      <c r="H18" s="673">
        <f t="shared" si="0"/>
        <v>49740.416666666664</v>
      </c>
    </row>
    <row r="19" spans="1:8" ht="15.75">
      <c r="A19" s="674" t="s">
        <v>1141</v>
      </c>
      <c r="B19" s="675">
        <f>SUBTOTAL(101,Tabela60[Filial Alagoas])</f>
        <v>48579.75</v>
      </c>
      <c r="C19" s="675">
        <f>SUBTOTAL(101,Tabela60[Filial Barueri])</f>
        <v>57001.333333333336</v>
      </c>
      <c r="D19" s="675">
        <f>SUBTOTAL(101,Tabela60[Filial Campinas])</f>
        <v>46025.833333333336</v>
      </c>
      <c r="E19" s="675">
        <f>SUBTOTAL(101,Tabela60[Filial Niterói])</f>
        <v>54651.666666666664</v>
      </c>
      <c r="F19" s="675">
        <f>SUBTOTAL(101,Tabela60[Filial Blumenau])</f>
        <v>53498.583333333336</v>
      </c>
      <c r="G19" s="675">
        <f>SUBTOTAL(101,Tabela60[Filial Salvador])</f>
        <v>56789.916666666664</v>
      </c>
      <c r="H19" s="675">
        <f>SUBTOTAL(101,Tabela60[Média anual])</f>
        <v>52587.104166666657</v>
      </c>
    </row>
    <row r="20" spans="1:8" ht="15.75">
      <c r="A20" s="18"/>
      <c r="B20" s="474"/>
      <c r="C20" s="474"/>
      <c r="D20" s="474"/>
      <c r="E20" s="474"/>
      <c r="F20" s="474"/>
      <c r="G20" s="474"/>
      <c r="H20" s="474"/>
    </row>
  </sheetData>
  <mergeCells count="2">
    <mergeCell ref="A3:H4"/>
    <mergeCell ref="A5:H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9900"/>
  </sheetPr>
  <dimension ref="A1:AF4"/>
  <sheetViews>
    <sheetView showGridLines="0" topLeftCell="A3" zoomScale="90" zoomScaleNormal="90" workbookViewId="0">
      <selection activeCell="D9" sqref="D9"/>
    </sheetView>
  </sheetViews>
  <sheetFormatPr defaultRowHeight="15"/>
  <sheetData>
    <row r="1" spans="1:32" ht="29.25" customHeight="1">
      <c r="A1" s="842" t="s">
        <v>1143</v>
      </c>
      <c r="B1" s="842"/>
      <c r="C1" s="842"/>
      <c r="D1" s="842"/>
      <c r="E1" s="842"/>
      <c r="F1" s="842"/>
      <c r="G1" s="842"/>
      <c r="H1" s="842"/>
      <c r="I1" s="842"/>
      <c r="J1" s="842"/>
      <c r="K1" s="842"/>
      <c r="L1" s="842"/>
      <c r="M1" s="842"/>
      <c r="N1" s="842"/>
      <c r="O1" s="842"/>
      <c r="P1" s="842"/>
      <c r="Q1" s="842"/>
      <c r="R1" s="842"/>
      <c r="S1" s="842"/>
      <c r="T1" s="842"/>
      <c r="U1" s="842"/>
      <c r="V1" s="842"/>
      <c r="W1" s="842"/>
      <c r="X1" s="842"/>
      <c r="Y1" s="842"/>
      <c r="Z1" s="842"/>
      <c r="AA1" s="842"/>
      <c r="AB1" s="842"/>
      <c r="AC1" s="842"/>
      <c r="AD1" s="842"/>
      <c r="AE1" s="842"/>
      <c r="AF1" s="842"/>
    </row>
    <row r="4" spans="1:32" ht="20.25" customHeight="1">
      <c r="I4" s="841" t="s">
        <v>1142</v>
      </c>
      <c r="J4" s="841"/>
      <c r="K4" s="841"/>
      <c r="L4" s="841"/>
      <c r="M4" s="841"/>
      <c r="N4" s="841"/>
      <c r="O4" s="841"/>
      <c r="P4" s="841"/>
      <c r="Q4" s="841"/>
      <c r="R4" s="841"/>
      <c r="S4" s="841"/>
      <c r="T4" s="841"/>
      <c r="U4" s="841"/>
      <c r="V4" s="841"/>
      <c r="W4" s="841"/>
      <c r="X4" s="841"/>
    </row>
  </sheetData>
  <mergeCells count="2">
    <mergeCell ref="I4:X4"/>
    <mergeCell ref="A1:AF1"/>
  </mergeCells>
  <pageMargins left="0.511811024" right="0.511811024" top="0.78740157499999996" bottom="0.78740157499999996" header="0.31496062000000002" footer="0.31496062000000002"/>
  <drawing r:id="rId1"/>
  <extLst>
    <ext xmlns:x15="http://schemas.microsoft.com/office/spreadsheetml/2010/11/main" uri="{3A4CF648-6AED-40f4-86FF-DC5316D8AED3}">
      <x14:slicerList xmlns:x14="http://schemas.microsoft.com/office/spreadsheetml/2009/9/main">
        <x14:slicer r:id="rId2"/>
      </x14:slicerList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7"/>
  </sheetPr>
  <dimension ref="A1"/>
  <sheetViews>
    <sheetView showGridLines="0" showRowColHeaders="0" zoomScale="145" zoomScaleNormal="145" workbookViewId="0">
      <selection activeCell="W6" sqref="W6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L1:P25"/>
  <sheetViews>
    <sheetView showGridLines="0" zoomScaleNormal="100" workbookViewId="0">
      <selection activeCell="L2" sqref="L2:O17"/>
    </sheetView>
  </sheetViews>
  <sheetFormatPr defaultColWidth="9.140625" defaultRowHeight="15"/>
  <cols>
    <col min="1" max="1" width="2.42578125" customWidth="1"/>
    <col min="8" max="9" width="9.140625" customWidth="1"/>
    <col min="10" max="10" width="3.42578125" customWidth="1"/>
    <col min="11" max="11" width="4" customWidth="1"/>
    <col min="12" max="12" width="27.85546875" customWidth="1"/>
    <col min="13" max="13" width="14.5703125" customWidth="1"/>
    <col min="14" max="14" width="13.140625" style="676" bestFit="1" customWidth="1"/>
    <col min="15" max="15" width="30.42578125" style="54" customWidth="1"/>
    <col min="16" max="16" width="11.140625" bestFit="1" customWidth="1"/>
  </cols>
  <sheetData>
    <row r="1" spans="12:16" ht="15.75" thickBot="1"/>
    <row r="2" spans="12:16">
      <c r="L2" s="478" t="s">
        <v>187</v>
      </c>
      <c r="M2" s="479" t="s">
        <v>161</v>
      </c>
      <c r="N2" s="678" t="s">
        <v>167</v>
      </c>
      <c r="O2" s="480" t="s">
        <v>181</v>
      </c>
      <c r="P2" s="481" t="s">
        <v>598</v>
      </c>
    </row>
    <row r="3" spans="12:16">
      <c r="L3" s="482" t="s">
        <v>156</v>
      </c>
      <c r="M3" s="476" t="s">
        <v>165</v>
      </c>
      <c r="N3" s="679">
        <v>5012.8552357835924</v>
      </c>
      <c r="O3" s="477" t="s">
        <v>178</v>
      </c>
      <c r="P3" s="483">
        <v>45536</v>
      </c>
    </row>
    <row r="4" spans="12:16">
      <c r="L4" s="482" t="s">
        <v>154</v>
      </c>
      <c r="M4" s="476" t="s">
        <v>164</v>
      </c>
      <c r="N4" s="679">
        <v>5476.6440636427451</v>
      </c>
      <c r="O4" s="477" t="s">
        <v>183</v>
      </c>
      <c r="P4" s="483">
        <v>45537</v>
      </c>
    </row>
    <row r="5" spans="12:16">
      <c r="L5" s="482" t="s">
        <v>151</v>
      </c>
      <c r="M5" s="476" t="s">
        <v>164</v>
      </c>
      <c r="N5" s="679">
        <v>5024.640566554207</v>
      </c>
      <c r="O5" s="477" t="s">
        <v>186</v>
      </c>
      <c r="P5" s="483">
        <v>45538</v>
      </c>
    </row>
    <row r="6" spans="12:16">
      <c r="L6" s="482" t="s">
        <v>160</v>
      </c>
      <c r="M6" s="476" t="s">
        <v>261</v>
      </c>
      <c r="N6" s="679">
        <v>1822.1134623367968</v>
      </c>
      <c r="O6" s="477" t="s">
        <v>180</v>
      </c>
      <c r="P6" s="483">
        <v>45539</v>
      </c>
    </row>
    <row r="7" spans="12:16">
      <c r="L7" s="482" t="s">
        <v>149</v>
      </c>
      <c r="M7" s="476" t="s">
        <v>162</v>
      </c>
      <c r="N7" s="679">
        <v>3352.3975371670772</v>
      </c>
      <c r="O7" s="477" t="s">
        <v>174</v>
      </c>
      <c r="P7" s="483">
        <v>45540</v>
      </c>
    </row>
    <row r="8" spans="12:16">
      <c r="L8" s="482" t="s">
        <v>159</v>
      </c>
      <c r="M8" s="476" t="s">
        <v>166</v>
      </c>
      <c r="N8" s="679">
        <v>4894.5822067942217</v>
      </c>
      <c r="O8" s="477" t="s">
        <v>184</v>
      </c>
      <c r="P8" s="483">
        <v>45541</v>
      </c>
    </row>
    <row r="9" spans="12:16">
      <c r="L9" s="482" t="s">
        <v>148</v>
      </c>
      <c r="M9" s="476" t="s">
        <v>182</v>
      </c>
      <c r="N9" s="679">
        <v>4833.1770187312504</v>
      </c>
      <c r="O9" s="477" t="s">
        <v>168</v>
      </c>
      <c r="P9" s="483">
        <v>45542</v>
      </c>
    </row>
    <row r="10" spans="12:16">
      <c r="L10" s="482" t="s">
        <v>155</v>
      </c>
      <c r="M10" s="476" t="s">
        <v>261</v>
      </c>
      <c r="N10" s="679">
        <v>5291.6785608582086</v>
      </c>
      <c r="O10" s="477" t="s">
        <v>176</v>
      </c>
      <c r="P10" s="483">
        <v>45543</v>
      </c>
    </row>
    <row r="11" spans="12:16">
      <c r="L11" s="482" t="s">
        <v>158</v>
      </c>
      <c r="M11" s="476" t="s">
        <v>166</v>
      </c>
      <c r="N11" s="679">
        <v>4754.6443707765429</v>
      </c>
      <c r="O11" s="477" t="s">
        <v>179</v>
      </c>
      <c r="P11" s="483">
        <v>45544</v>
      </c>
    </row>
    <row r="12" spans="12:16">
      <c r="L12" s="482" t="s">
        <v>152</v>
      </c>
      <c r="M12" s="476" t="s">
        <v>261</v>
      </c>
      <c r="N12" s="679">
        <v>3390.2894658256059</v>
      </c>
      <c r="O12" s="477" t="s">
        <v>173</v>
      </c>
      <c r="P12" s="483">
        <v>45545</v>
      </c>
    </row>
    <row r="13" spans="12:16">
      <c r="L13" s="482" t="s">
        <v>153</v>
      </c>
      <c r="M13" s="476" t="s">
        <v>182</v>
      </c>
      <c r="N13" s="679">
        <v>4168.3972941194015</v>
      </c>
      <c r="O13" s="477" t="s">
        <v>169</v>
      </c>
      <c r="P13" s="483">
        <v>45546</v>
      </c>
    </row>
    <row r="14" spans="12:16">
      <c r="L14" s="482" t="s">
        <v>157</v>
      </c>
      <c r="M14" s="476" t="s">
        <v>261</v>
      </c>
      <c r="N14" s="679">
        <v>5533.1844162878078</v>
      </c>
      <c r="O14" s="477" t="s">
        <v>185</v>
      </c>
      <c r="P14" s="483">
        <v>45547</v>
      </c>
    </row>
    <row r="15" spans="12:16">
      <c r="L15" s="482" t="s">
        <v>150</v>
      </c>
      <c r="M15" s="476" t="s">
        <v>163</v>
      </c>
      <c r="N15" s="679">
        <v>3418.7454722297261</v>
      </c>
      <c r="O15" s="477" t="s">
        <v>175</v>
      </c>
      <c r="P15" s="483">
        <v>45548</v>
      </c>
    </row>
    <row r="16" spans="12:16">
      <c r="L16" s="482" t="s">
        <v>170</v>
      </c>
      <c r="M16" s="476" t="s">
        <v>182</v>
      </c>
      <c r="N16" s="679">
        <v>4626.3748371840566</v>
      </c>
      <c r="O16" s="477" t="s">
        <v>172</v>
      </c>
      <c r="P16" s="483">
        <v>45549</v>
      </c>
    </row>
    <row r="17" spans="12:16" ht="15.75" thickBot="1">
      <c r="L17" s="484" t="s">
        <v>171</v>
      </c>
      <c r="M17" s="485" t="s">
        <v>163</v>
      </c>
      <c r="N17" s="680">
        <v>4894.8286619433766</v>
      </c>
      <c r="O17" s="486" t="s">
        <v>177</v>
      </c>
      <c r="P17" s="483">
        <v>45550</v>
      </c>
    </row>
    <row r="18" spans="12:16">
      <c r="L18" s="475"/>
      <c r="M18" s="475"/>
      <c r="N18" s="677"/>
      <c r="O18" s="487"/>
    </row>
    <row r="19" spans="12:16">
      <c r="L19" s="475"/>
      <c r="M19" s="475"/>
      <c r="N19" s="677"/>
      <c r="O19" s="487"/>
    </row>
    <row r="20" spans="12:16">
      <c r="L20" s="475"/>
      <c r="M20" s="475"/>
      <c r="N20" s="677"/>
      <c r="O20" s="487"/>
    </row>
    <row r="21" spans="12:16">
      <c r="L21" s="475"/>
      <c r="M21" s="475"/>
      <c r="N21" s="677"/>
      <c r="O21" s="487"/>
    </row>
    <row r="22" spans="12:16">
      <c r="L22" s="475"/>
      <c r="M22" s="475"/>
      <c r="N22" s="677"/>
      <c r="O22" s="487"/>
    </row>
    <row r="23" spans="12:16">
      <c r="L23" s="475"/>
      <c r="M23" s="475"/>
      <c r="N23" s="677"/>
      <c r="O23" s="487"/>
    </row>
    <row r="24" spans="12:16">
      <c r="L24" s="475"/>
      <c r="M24" s="475"/>
      <c r="N24" s="677"/>
      <c r="O24" s="487"/>
    </row>
    <row r="25" spans="12:16">
      <c r="L25" s="475"/>
      <c r="M25" s="475"/>
      <c r="N25" s="677"/>
      <c r="O25" s="487"/>
    </row>
  </sheetData>
  <autoFilter ref="L2:P2" xr:uid="{00000000-0001-0000-0A00-000000000000}"/>
  <sortState xmlns:xlrd2="http://schemas.microsoft.com/office/spreadsheetml/2017/richdata2" ref="L3:O17">
    <sortCondition ref="L3"/>
  </sortState>
  <hyperlinks>
    <hyperlink ref="O9" r:id="rId1" xr:uid="{00000000-0004-0000-0A00-000000000000}"/>
    <hyperlink ref="O7" r:id="rId2" xr:uid="{00000000-0004-0000-0A00-000001000000}"/>
    <hyperlink ref="O15" r:id="rId3" xr:uid="{00000000-0004-0000-0A00-000002000000}"/>
    <hyperlink ref="O5" r:id="rId4" xr:uid="{00000000-0004-0000-0A00-000003000000}"/>
    <hyperlink ref="O16" r:id="rId5" xr:uid="{00000000-0004-0000-0A00-000004000000}"/>
    <hyperlink ref="O13" r:id="rId6" xr:uid="{00000000-0004-0000-0A00-000005000000}"/>
    <hyperlink ref="O4" r:id="rId7" xr:uid="{00000000-0004-0000-0A00-000006000000}"/>
    <hyperlink ref="O17" r:id="rId8" xr:uid="{00000000-0004-0000-0A00-000007000000}"/>
    <hyperlink ref="O3" r:id="rId9" xr:uid="{00000000-0004-0000-0A00-000008000000}"/>
    <hyperlink ref="O11" r:id="rId10" xr:uid="{00000000-0004-0000-0A00-000009000000}"/>
    <hyperlink ref="O8" r:id="rId11" xr:uid="{00000000-0004-0000-0A00-00000A000000}"/>
    <hyperlink ref="O10" r:id="rId12" xr:uid="{00000000-0004-0000-0A00-00000B000000}"/>
    <hyperlink ref="O14" r:id="rId13" xr:uid="{00000000-0004-0000-0A00-00000C000000}"/>
    <hyperlink ref="O6" r:id="rId14" xr:uid="{00000000-0004-0000-0A00-00000D000000}"/>
    <hyperlink ref="O12" r:id="rId15" xr:uid="{00000000-0004-0000-0A00-00000E000000}"/>
  </hyperlinks>
  <pageMargins left="0.511811024" right="0.511811024" top="0.78740157499999996" bottom="0.78740157499999996" header="0.31496062000000002" footer="0.31496062000000002"/>
  <drawing r:id="rId16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filterMode="1">
    <tabColor rgb="FF0070C0"/>
  </sheetPr>
  <dimension ref="B1:I24"/>
  <sheetViews>
    <sheetView zoomScaleNormal="100" workbookViewId="0">
      <selection activeCell="I1" sqref="I1"/>
    </sheetView>
  </sheetViews>
  <sheetFormatPr defaultRowHeight="15"/>
  <cols>
    <col min="2" max="2" width="14.28515625" customWidth="1"/>
    <col min="3" max="3" width="9.28515625" customWidth="1"/>
    <col min="4" max="4" width="35.7109375" bestFit="1" customWidth="1"/>
    <col min="5" max="5" width="13.140625" customWidth="1"/>
    <col min="9" max="12" width="9.42578125" customWidth="1"/>
  </cols>
  <sheetData>
    <row r="1" spans="2:9">
      <c r="I1" s="447"/>
    </row>
    <row r="3" spans="2:9" ht="15.75">
      <c r="B3" s="843" t="s">
        <v>618</v>
      </c>
      <c r="C3" s="843"/>
      <c r="D3" s="843"/>
      <c r="E3" s="843"/>
    </row>
    <row r="4" spans="2:9">
      <c r="B4" t="s">
        <v>137</v>
      </c>
      <c r="C4" t="s">
        <v>442</v>
      </c>
      <c r="D4" t="s">
        <v>631</v>
      </c>
      <c r="E4" t="s">
        <v>112</v>
      </c>
    </row>
    <row r="5" spans="2:9" hidden="1">
      <c r="B5" s="432" t="s">
        <v>141</v>
      </c>
      <c r="C5" s="432" t="s">
        <v>619</v>
      </c>
      <c r="D5" s="432" t="s">
        <v>632</v>
      </c>
      <c r="E5" s="432">
        <v>90</v>
      </c>
    </row>
    <row r="6" spans="2:9" hidden="1">
      <c r="B6" s="432" t="s">
        <v>144</v>
      </c>
      <c r="C6" s="432" t="s">
        <v>620</v>
      </c>
      <c r="D6" s="432" t="s">
        <v>633</v>
      </c>
      <c r="E6" s="432">
        <v>36</v>
      </c>
    </row>
    <row r="7" spans="2:9" hidden="1">
      <c r="B7" s="432" t="s">
        <v>142</v>
      </c>
      <c r="C7" s="432" t="s">
        <v>621</v>
      </c>
      <c r="D7" s="432" t="s">
        <v>634</v>
      </c>
      <c r="E7" s="432">
        <v>289</v>
      </c>
    </row>
    <row r="8" spans="2:9" hidden="1">
      <c r="B8" s="432" t="s">
        <v>143</v>
      </c>
      <c r="C8" s="432" t="s">
        <v>622</v>
      </c>
      <c r="D8" s="432" t="s">
        <v>635</v>
      </c>
      <c r="E8" s="432">
        <v>65</v>
      </c>
    </row>
    <row r="9" spans="2:9" hidden="1">
      <c r="B9" s="432" t="s">
        <v>140</v>
      </c>
      <c r="C9" s="432" t="s">
        <v>623</v>
      </c>
      <c r="D9" s="432" t="s">
        <v>636</v>
      </c>
      <c r="E9" s="432">
        <v>47</v>
      </c>
    </row>
    <row r="10" spans="2:9" hidden="1">
      <c r="B10" s="444" t="s">
        <v>141</v>
      </c>
      <c r="C10" s="444" t="s">
        <v>624</v>
      </c>
      <c r="D10" s="444" t="s">
        <v>637</v>
      </c>
      <c r="E10" s="444">
        <v>252</v>
      </c>
    </row>
    <row r="11" spans="2:9" hidden="1">
      <c r="B11" s="444" t="s">
        <v>144</v>
      </c>
      <c r="C11" s="444" t="s">
        <v>625</v>
      </c>
      <c r="D11" s="444" t="s">
        <v>638</v>
      </c>
      <c r="E11" s="444">
        <v>126</v>
      </c>
    </row>
    <row r="12" spans="2:9">
      <c r="B12" s="445" t="s">
        <v>142</v>
      </c>
      <c r="C12" s="445" t="s">
        <v>626</v>
      </c>
      <c r="D12" s="445" t="s">
        <v>639</v>
      </c>
      <c r="E12" s="445">
        <v>49</v>
      </c>
    </row>
    <row r="13" spans="2:9">
      <c r="B13" s="445" t="s">
        <v>143</v>
      </c>
      <c r="C13" s="445" t="s">
        <v>627</v>
      </c>
      <c r="D13" s="445" t="s">
        <v>640</v>
      </c>
      <c r="E13" s="445">
        <v>55</v>
      </c>
    </row>
    <row r="14" spans="2:9">
      <c r="B14" s="445" t="s">
        <v>140</v>
      </c>
      <c r="C14" s="445" t="s">
        <v>628</v>
      </c>
      <c r="D14" s="445" t="s">
        <v>641</v>
      </c>
      <c r="E14" s="445">
        <v>84</v>
      </c>
    </row>
    <row r="15" spans="2:9">
      <c r="B15" s="445" t="s">
        <v>141</v>
      </c>
      <c r="C15" s="445" t="s">
        <v>629</v>
      </c>
      <c r="D15" s="445" t="s">
        <v>642</v>
      </c>
      <c r="E15" s="445">
        <v>162</v>
      </c>
    </row>
    <row r="16" spans="2:9">
      <c r="B16" s="446" t="s">
        <v>144</v>
      </c>
      <c r="C16" s="446" t="s">
        <v>630</v>
      </c>
      <c r="D16" s="446" t="s">
        <v>643</v>
      </c>
      <c r="E16" s="446">
        <v>36</v>
      </c>
    </row>
    <row r="17" spans="2:5">
      <c r="B17" s="443" t="s">
        <v>142</v>
      </c>
      <c r="C17" s="443" t="s">
        <v>619</v>
      </c>
      <c r="D17" s="443" t="s">
        <v>644</v>
      </c>
      <c r="E17" s="443">
        <v>289</v>
      </c>
    </row>
    <row r="18" spans="2:5">
      <c r="B18" s="443" t="s">
        <v>143</v>
      </c>
      <c r="C18" s="443" t="s">
        <v>620</v>
      </c>
      <c r="D18" s="443" t="s">
        <v>645</v>
      </c>
      <c r="E18" s="443">
        <v>133</v>
      </c>
    </row>
    <row r="19" spans="2:5">
      <c r="B19" s="443" t="s">
        <v>140</v>
      </c>
      <c r="C19" s="443" t="s">
        <v>621</v>
      </c>
      <c r="D19" s="443" t="s">
        <v>646</v>
      </c>
      <c r="E19" s="443">
        <v>92</v>
      </c>
    </row>
    <row r="20" spans="2:5">
      <c r="B20" s="443" t="s">
        <v>141</v>
      </c>
      <c r="C20" s="443" t="s">
        <v>622</v>
      </c>
      <c r="D20" s="443" t="s">
        <v>647</v>
      </c>
      <c r="E20" s="443">
        <v>161</v>
      </c>
    </row>
    <row r="21" spans="2:5">
      <c r="B21" s="443" t="s">
        <v>144</v>
      </c>
      <c r="C21" s="443" t="s">
        <v>623</v>
      </c>
      <c r="D21" s="443" t="s">
        <v>648</v>
      </c>
      <c r="E21" s="443">
        <v>96</v>
      </c>
    </row>
    <row r="22" spans="2:5">
      <c r="B22" s="443" t="s">
        <v>142</v>
      </c>
      <c r="C22" s="443" t="s">
        <v>624</v>
      </c>
      <c r="D22" s="443" t="s">
        <v>649</v>
      </c>
      <c r="E22" s="443">
        <v>38</v>
      </c>
    </row>
    <row r="23" spans="2:5">
      <c r="B23" s="446" t="s">
        <v>143</v>
      </c>
      <c r="C23" s="446" t="s">
        <v>625</v>
      </c>
      <c r="D23" s="446" t="s">
        <v>650</v>
      </c>
      <c r="E23" s="446">
        <v>28</v>
      </c>
    </row>
    <row r="24" spans="2:5">
      <c r="B24" s="446" t="s">
        <v>140</v>
      </c>
      <c r="C24" s="446" t="s">
        <v>626</v>
      </c>
      <c r="D24" s="446" t="s">
        <v>651</v>
      </c>
      <c r="E24" s="446">
        <v>105</v>
      </c>
    </row>
  </sheetData>
  <autoFilter ref="B4:E24" xr:uid="{00000000-0009-0000-0000-000047000000}">
    <filterColumn colId="2">
      <colorFilter dxfId="2" cellColor="0"/>
    </filterColumn>
    <sortState xmlns:xlrd2="http://schemas.microsoft.com/office/spreadsheetml/2017/richdata2" ref="B12:E24">
      <sortCondition sortBy="cellColor" ref="C4:C24" dxfId="3"/>
    </sortState>
  </autoFilter>
  <mergeCells count="1">
    <mergeCell ref="B3:E3"/>
  </mergeCells>
  <pageMargins left="0.511811024" right="0.511811024" top="0.78740157499999996" bottom="0.78740157499999996" header="0.31496062000000002" footer="0.3149606200000000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5644-5461-49BF-9426-6D4774B18703}">
  <sheetPr>
    <tabColor rgb="FF0070C0"/>
  </sheetPr>
  <dimension ref="B3:E24"/>
  <sheetViews>
    <sheetView zoomScaleNormal="100" workbookViewId="0">
      <selection activeCell="E24" sqref="B3:E24"/>
    </sheetView>
  </sheetViews>
  <sheetFormatPr defaultRowHeight="15"/>
  <cols>
    <col min="2" max="2" width="14.28515625" customWidth="1"/>
    <col min="3" max="3" width="9.28515625" customWidth="1"/>
    <col min="4" max="4" width="35.7109375" bestFit="1" customWidth="1"/>
    <col min="5" max="5" width="13.140625" customWidth="1"/>
  </cols>
  <sheetData>
    <row r="3" spans="2:5" ht="21">
      <c r="B3" s="844" t="s">
        <v>878</v>
      </c>
      <c r="C3" s="844"/>
      <c r="D3" s="844"/>
      <c r="E3" s="844"/>
    </row>
    <row r="4" spans="2:5">
      <c r="B4" t="s">
        <v>137</v>
      </c>
      <c r="C4" t="s">
        <v>442</v>
      </c>
      <c r="D4" t="s">
        <v>631</v>
      </c>
      <c r="E4" t="s">
        <v>112</v>
      </c>
    </row>
    <row r="5" spans="2:5">
      <c r="B5" t="s">
        <v>142</v>
      </c>
      <c r="C5" t="s">
        <v>621</v>
      </c>
      <c r="D5" t="s">
        <v>634</v>
      </c>
      <c r="E5">
        <v>289</v>
      </c>
    </row>
    <row r="6" spans="2:5">
      <c r="B6" t="s">
        <v>142</v>
      </c>
      <c r="C6" t="s">
        <v>626</v>
      </c>
      <c r="D6" t="s">
        <v>639</v>
      </c>
      <c r="E6">
        <v>49</v>
      </c>
    </row>
    <row r="7" spans="2:5">
      <c r="B7" t="s">
        <v>142</v>
      </c>
      <c r="C7" t="s">
        <v>619</v>
      </c>
      <c r="D7" t="s">
        <v>644</v>
      </c>
      <c r="E7">
        <v>289</v>
      </c>
    </row>
    <row r="8" spans="2:5">
      <c r="B8" t="s">
        <v>142</v>
      </c>
      <c r="C8" t="s">
        <v>624</v>
      </c>
      <c r="D8" t="s">
        <v>649</v>
      </c>
      <c r="E8">
        <v>38</v>
      </c>
    </row>
    <row r="9" spans="2:5">
      <c r="B9" t="s">
        <v>144</v>
      </c>
      <c r="C9" t="s">
        <v>625</v>
      </c>
      <c r="D9" t="s">
        <v>638</v>
      </c>
      <c r="E9">
        <v>126</v>
      </c>
    </row>
    <row r="10" spans="2:5">
      <c r="B10" t="s">
        <v>144</v>
      </c>
      <c r="C10" t="s">
        <v>630</v>
      </c>
      <c r="D10" t="s">
        <v>643</v>
      </c>
      <c r="E10">
        <v>36</v>
      </c>
    </row>
    <row r="11" spans="2:5">
      <c r="B11" t="s">
        <v>144</v>
      </c>
      <c r="C11" t="s">
        <v>620</v>
      </c>
      <c r="D11" t="s">
        <v>633</v>
      </c>
      <c r="E11">
        <v>36</v>
      </c>
    </row>
    <row r="12" spans="2:5">
      <c r="B12" t="s">
        <v>144</v>
      </c>
      <c r="C12" t="s">
        <v>623</v>
      </c>
      <c r="D12" t="s">
        <v>648</v>
      </c>
      <c r="E12">
        <v>96</v>
      </c>
    </row>
    <row r="13" spans="2:5">
      <c r="B13" t="s">
        <v>141</v>
      </c>
      <c r="C13" t="s">
        <v>624</v>
      </c>
      <c r="D13" t="s">
        <v>637</v>
      </c>
      <c r="E13">
        <v>252</v>
      </c>
    </row>
    <row r="14" spans="2:5">
      <c r="B14" t="s">
        <v>141</v>
      </c>
      <c r="C14" t="s">
        <v>629</v>
      </c>
      <c r="D14" t="s">
        <v>642</v>
      </c>
      <c r="E14">
        <v>162</v>
      </c>
    </row>
    <row r="15" spans="2:5">
      <c r="B15" t="s">
        <v>141</v>
      </c>
      <c r="C15" t="s">
        <v>622</v>
      </c>
      <c r="D15" t="s">
        <v>647</v>
      </c>
      <c r="E15">
        <v>161</v>
      </c>
    </row>
    <row r="16" spans="2:5">
      <c r="B16" t="s">
        <v>141</v>
      </c>
      <c r="C16" t="s">
        <v>619</v>
      </c>
      <c r="D16" t="s">
        <v>632</v>
      </c>
      <c r="E16">
        <v>90</v>
      </c>
    </row>
    <row r="17" spans="2:5">
      <c r="B17" t="s">
        <v>143</v>
      </c>
      <c r="C17" t="s">
        <v>622</v>
      </c>
      <c r="D17" t="s">
        <v>635</v>
      </c>
      <c r="E17">
        <v>65</v>
      </c>
    </row>
    <row r="18" spans="2:5">
      <c r="B18" t="s">
        <v>143</v>
      </c>
      <c r="C18" t="s">
        <v>625</v>
      </c>
      <c r="D18" t="s">
        <v>650</v>
      </c>
      <c r="E18">
        <v>28</v>
      </c>
    </row>
    <row r="19" spans="2:5">
      <c r="B19" t="s">
        <v>143</v>
      </c>
      <c r="C19" t="s">
        <v>627</v>
      </c>
      <c r="D19" t="s">
        <v>640</v>
      </c>
      <c r="E19">
        <v>55</v>
      </c>
    </row>
    <row r="20" spans="2:5">
      <c r="B20" t="s">
        <v>143</v>
      </c>
      <c r="C20" t="s">
        <v>620</v>
      </c>
      <c r="D20" t="s">
        <v>645</v>
      </c>
      <c r="E20">
        <v>133</v>
      </c>
    </row>
    <row r="21" spans="2:5">
      <c r="B21" t="s">
        <v>140</v>
      </c>
      <c r="C21" t="s">
        <v>626</v>
      </c>
      <c r="D21" t="s">
        <v>651</v>
      </c>
      <c r="E21">
        <v>105</v>
      </c>
    </row>
    <row r="22" spans="2:5">
      <c r="B22" t="s">
        <v>140</v>
      </c>
      <c r="C22" t="s">
        <v>621</v>
      </c>
      <c r="D22" t="s">
        <v>646</v>
      </c>
      <c r="E22">
        <v>92</v>
      </c>
    </row>
    <row r="23" spans="2:5">
      <c r="B23" t="s">
        <v>140</v>
      </c>
      <c r="C23" t="s">
        <v>628</v>
      </c>
      <c r="D23" t="s">
        <v>641</v>
      </c>
      <c r="E23">
        <v>84</v>
      </c>
    </row>
    <row r="24" spans="2:5">
      <c r="B24" t="s">
        <v>140</v>
      </c>
      <c r="C24" t="s">
        <v>623</v>
      </c>
      <c r="D24" t="s">
        <v>636</v>
      </c>
      <c r="E24">
        <v>47</v>
      </c>
    </row>
  </sheetData>
  <mergeCells count="1">
    <mergeCell ref="B3:E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7"/>
  </sheetPr>
  <dimension ref="A1"/>
  <sheetViews>
    <sheetView showGridLines="0" showRowColHeaders="0" zoomScaleNormal="100" workbookViewId="0">
      <selection activeCell="H25" sqref="H25"/>
    </sheetView>
  </sheetViews>
  <sheetFormatPr defaultRowHeight="15"/>
  <sheetData/>
  <sheetProtection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70C0"/>
    <pageSetUpPr fitToPage="1"/>
  </sheetPr>
  <dimension ref="A1:K145"/>
  <sheetViews>
    <sheetView showGridLines="0" workbookViewId="0">
      <selection activeCell="B6" sqref="B6"/>
    </sheetView>
  </sheetViews>
  <sheetFormatPr defaultRowHeight="18" customHeight="1"/>
  <cols>
    <col min="1" max="1" width="3.42578125" style="235" customWidth="1"/>
    <col min="2" max="11" width="12.140625" style="235" customWidth="1"/>
    <col min="12" max="12" width="3.42578125" style="235" customWidth="1"/>
    <col min="13" max="256" width="9.140625" style="235"/>
    <col min="257" max="257" width="3.42578125" style="235" customWidth="1"/>
    <col min="258" max="267" width="12.140625" style="235" customWidth="1"/>
    <col min="268" max="268" width="3.42578125" style="235" customWidth="1"/>
    <col min="269" max="512" width="9.140625" style="235"/>
    <col min="513" max="513" width="3.42578125" style="235" customWidth="1"/>
    <col min="514" max="523" width="12.140625" style="235" customWidth="1"/>
    <col min="524" max="524" width="3.42578125" style="235" customWidth="1"/>
    <col min="525" max="768" width="9.140625" style="235"/>
    <col min="769" max="769" width="3.42578125" style="235" customWidth="1"/>
    <col min="770" max="779" width="12.140625" style="235" customWidth="1"/>
    <col min="780" max="780" width="3.42578125" style="235" customWidth="1"/>
    <col min="781" max="1024" width="9.140625" style="235"/>
    <col min="1025" max="1025" width="3.42578125" style="235" customWidth="1"/>
    <col min="1026" max="1035" width="12.140625" style="235" customWidth="1"/>
    <col min="1036" max="1036" width="3.42578125" style="235" customWidth="1"/>
    <col min="1037" max="1280" width="9.140625" style="235"/>
    <col min="1281" max="1281" width="3.42578125" style="235" customWidth="1"/>
    <col min="1282" max="1291" width="12.140625" style="235" customWidth="1"/>
    <col min="1292" max="1292" width="3.42578125" style="235" customWidth="1"/>
    <col min="1293" max="1536" width="9.140625" style="235"/>
    <col min="1537" max="1537" width="3.42578125" style="235" customWidth="1"/>
    <col min="1538" max="1547" width="12.140625" style="235" customWidth="1"/>
    <col min="1548" max="1548" width="3.42578125" style="235" customWidth="1"/>
    <col min="1549" max="1792" width="9.140625" style="235"/>
    <col min="1793" max="1793" width="3.42578125" style="235" customWidth="1"/>
    <col min="1794" max="1803" width="12.140625" style="235" customWidth="1"/>
    <col min="1804" max="1804" width="3.42578125" style="235" customWidth="1"/>
    <col min="1805" max="2048" width="9.140625" style="235"/>
    <col min="2049" max="2049" width="3.42578125" style="235" customWidth="1"/>
    <col min="2050" max="2059" width="12.140625" style="235" customWidth="1"/>
    <col min="2060" max="2060" width="3.42578125" style="235" customWidth="1"/>
    <col min="2061" max="2304" width="9.140625" style="235"/>
    <col min="2305" max="2305" width="3.42578125" style="235" customWidth="1"/>
    <col min="2306" max="2315" width="12.140625" style="235" customWidth="1"/>
    <col min="2316" max="2316" width="3.42578125" style="235" customWidth="1"/>
    <col min="2317" max="2560" width="9.140625" style="235"/>
    <col min="2561" max="2561" width="3.42578125" style="235" customWidth="1"/>
    <col min="2562" max="2571" width="12.140625" style="235" customWidth="1"/>
    <col min="2572" max="2572" width="3.42578125" style="235" customWidth="1"/>
    <col min="2573" max="2816" width="9.140625" style="235"/>
    <col min="2817" max="2817" width="3.42578125" style="235" customWidth="1"/>
    <col min="2818" max="2827" width="12.140625" style="235" customWidth="1"/>
    <col min="2828" max="2828" width="3.42578125" style="235" customWidth="1"/>
    <col min="2829" max="3072" width="9.140625" style="235"/>
    <col min="3073" max="3073" width="3.42578125" style="235" customWidth="1"/>
    <col min="3074" max="3083" width="12.140625" style="235" customWidth="1"/>
    <col min="3084" max="3084" width="3.42578125" style="235" customWidth="1"/>
    <col min="3085" max="3328" width="9.140625" style="235"/>
    <col min="3329" max="3329" width="3.42578125" style="235" customWidth="1"/>
    <col min="3330" max="3339" width="12.140625" style="235" customWidth="1"/>
    <col min="3340" max="3340" width="3.42578125" style="235" customWidth="1"/>
    <col min="3341" max="3584" width="9.140625" style="235"/>
    <col min="3585" max="3585" width="3.42578125" style="235" customWidth="1"/>
    <col min="3586" max="3595" width="12.140625" style="235" customWidth="1"/>
    <col min="3596" max="3596" width="3.42578125" style="235" customWidth="1"/>
    <col min="3597" max="3840" width="9.140625" style="235"/>
    <col min="3841" max="3841" width="3.42578125" style="235" customWidth="1"/>
    <col min="3842" max="3851" width="12.140625" style="235" customWidth="1"/>
    <col min="3852" max="3852" width="3.42578125" style="235" customWidth="1"/>
    <col min="3853" max="4096" width="9.140625" style="235"/>
    <col min="4097" max="4097" width="3.42578125" style="235" customWidth="1"/>
    <col min="4098" max="4107" width="12.140625" style="235" customWidth="1"/>
    <col min="4108" max="4108" width="3.42578125" style="235" customWidth="1"/>
    <col min="4109" max="4352" width="9.140625" style="235"/>
    <col min="4353" max="4353" width="3.42578125" style="235" customWidth="1"/>
    <col min="4354" max="4363" width="12.140625" style="235" customWidth="1"/>
    <col min="4364" max="4364" width="3.42578125" style="235" customWidth="1"/>
    <col min="4365" max="4608" width="9.140625" style="235"/>
    <col min="4609" max="4609" width="3.42578125" style="235" customWidth="1"/>
    <col min="4610" max="4619" width="12.140625" style="235" customWidth="1"/>
    <col min="4620" max="4620" width="3.42578125" style="235" customWidth="1"/>
    <col min="4621" max="4864" width="9.140625" style="235"/>
    <col min="4865" max="4865" width="3.42578125" style="235" customWidth="1"/>
    <col min="4866" max="4875" width="12.140625" style="235" customWidth="1"/>
    <col min="4876" max="4876" width="3.42578125" style="235" customWidth="1"/>
    <col min="4877" max="5120" width="9.140625" style="235"/>
    <col min="5121" max="5121" width="3.42578125" style="235" customWidth="1"/>
    <col min="5122" max="5131" width="12.140625" style="235" customWidth="1"/>
    <col min="5132" max="5132" width="3.42578125" style="235" customWidth="1"/>
    <col min="5133" max="5376" width="9.140625" style="235"/>
    <col min="5377" max="5377" width="3.42578125" style="235" customWidth="1"/>
    <col min="5378" max="5387" width="12.140625" style="235" customWidth="1"/>
    <col min="5388" max="5388" width="3.42578125" style="235" customWidth="1"/>
    <col min="5389" max="5632" width="9.140625" style="235"/>
    <col min="5633" max="5633" width="3.42578125" style="235" customWidth="1"/>
    <col min="5634" max="5643" width="12.140625" style="235" customWidth="1"/>
    <col min="5644" max="5644" width="3.42578125" style="235" customWidth="1"/>
    <col min="5645" max="5888" width="9.140625" style="235"/>
    <col min="5889" max="5889" width="3.42578125" style="235" customWidth="1"/>
    <col min="5890" max="5899" width="12.140625" style="235" customWidth="1"/>
    <col min="5900" max="5900" width="3.42578125" style="235" customWidth="1"/>
    <col min="5901" max="6144" width="9.140625" style="235"/>
    <col min="6145" max="6145" width="3.42578125" style="235" customWidth="1"/>
    <col min="6146" max="6155" width="12.140625" style="235" customWidth="1"/>
    <col min="6156" max="6156" width="3.42578125" style="235" customWidth="1"/>
    <col min="6157" max="6400" width="9.140625" style="235"/>
    <col min="6401" max="6401" width="3.42578125" style="235" customWidth="1"/>
    <col min="6402" max="6411" width="12.140625" style="235" customWidth="1"/>
    <col min="6412" max="6412" width="3.42578125" style="235" customWidth="1"/>
    <col min="6413" max="6656" width="9.140625" style="235"/>
    <col min="6657" max="6657" width="3.42578125" style="235" customWidth="1"/>
    <col min="6658" max="6667" width="12.140625" style="235" customWidth="1"/>
    <col min="6668" max="6668" width="3.42578125" style="235" customWidth="1"/>
    <col min="6669" max="6912" width="9.140625" style="235"/>
    <col min="6913" max="6913" width="3.42578125" style="235" customWidth="1"/>
    <col min="6914" max="6923" width="12.140625" style="235" customWidth="1"/>
    <col min="6924" max="6924" width="3.42578125" style="235" customWidth="1"/>
    <col min="6925" max="7168" width="9.140625" style="235"/>
    <col min="7169" max="7169" width="3.42578125" style="235" customWidth="1"/>
    <col min="7170" max="7179" width="12.140625" style="235" customWidth="1"/>
    <col min="7180" max="7180" width="3.42578125" style="235" customWidth="1"/>
    <col min="7181" max="7424" width="9.140625" style="235"/>
    <col min="7425" max="7425" width="3.42578125" style="235" customWidth="1"/>
    <col min="7426" max="7435" width="12.140625" style="235" customWidth="1"/>
    <col min="7436" max="7436" width="3.42578125" style="235" customWidth="1"/>
    <col min="7437" max="7680" width="9.140625" style="235"/>
    <col min="7681" max="7681" width="3.42578125" style="235" customWidth="1"/>
    <col min="7682" max="7691" width="12.140625" style="235" customWidth="1"/>
    <col min="7692" max="7692" width="3.42578125" style="235" customWidth="1"/>
    <col min="7693" max="7936" width="9.140625" style="235"/>
    <col min="7937" max="7937" width="3.42578125" style="235" customWidth="1"/>
    <col min="7938" max="7947" width="12.140625" style="235" customWidth="1"/>
    <col min="7948" max="7948" width="3.42578125" style="235" customWidth="1"/>
    <col min="7949" max="8192" width="9.140625" style="235"/>
    <col min="8193" max="8193" width="3.42578125" style="235" customWidth="1"/>
    <col min="8194" max="8203" width="12.140625" style="235" customWidth="1"/>
    <col min="8204" max="8204" width="3.42578125" style="235" customWidth="1"/>
    <col min="8205" max="8448" width="9.140625" style="235"/>
    <col min="8449" max="8449" width="3.42578125" style="235" customWidth="1"/>
    <col min="8450" max="8459" width="12.140625" style="235" customWidth="1"/>
    <col min="8460" max="8460" width="3.42578125" style="235" customWidth="1"/>
    <col min="8461" max="8704" width="9.140625" style="235"/>
    <col min="8705" max="8705" width="3.42578125" style="235" customWidth="1"/>
    <col min="8706" max="8715" width="12.140625" style="235" customWidth="1"/>
    <col min="8716" max="8716" width="3.42578125" style="235" customWidth="1"/>
    <col min="8717" max="8960" width="9.140625" style="235"/>
    <col min="8961" max="8961" width="3.42578125" style="235" customWidth="1"/>
    <col min="8962" max="8971" width="12.140625" style="235" customWidth="1"/>
    <col min="8972" max="8972" width="3.42578125" style="235" customWidth="1"/>
    <col min="8973" max="9216" width="9.140625" style="235"/>
    <col min="9217" max="9217" width="3.42578125" style="235" customWidth="1"/>
    <col min="9218" max="9227" width="12.140625" style="235" customWidth="1"/>
    <col min="9228" max="9228" width="3.42578125" style="235" customWidth="1"/>
    <col min="9229" max="9472" width="9.140625" style="235"/>
    <col min="9473" max="9473" width="3.42578125" style="235" customWidth="1"/>
    <col min="9474" max="9483" width="12.140625" style="235" customWidth="1"/>
    <col min="9484" max="9484" width="3.42578125" style="235" customWidth="1"/>
    <col min="9485" max="9728" width="9.140625" style="235"/>
    <col min="9729" max="9729" width="3.42578125" style="235" customWidth="1"/>
    <col min="9730" max="9739" width="12.140625" style="235" customWidth="1"/>
    <col min="9740" max="9740" width="3.42578125" style="235" customWidth="1"/>
    <col min="9741" max="9984" width="9.140625" style="235"/>
    <col min="9985" max="9985" width="3.42578125" style="235" customWidth="1"/>
    <col min="9986" max="9995" width="12.140625" style="235" customWidth="1"/>
    <col min="9996" max="9996" width="3.42578125" style="235" customWidth="1"/>
    <col min="9997" max="10240" width="9.140625" style="235"/>
    <col min="10241" max="10241" width="3.42578125" style="235" customWidth="1"/>
    <col min="10242" max="10251" width="12.140625" style="235" customWidth="1"/>
    <col min="10252" max="10252" width="3.42578125" style="235" customWidth="1"/>
    <col min="10253" max="10496" width="9.140625" style="235"/>
    <col min="10497" max="10497" width="3.42578125" style="235" customWidth="1"/>
    <col min="10498" max="10507" width="12.140625" style="235" customWidth="1"/>
    <col min="10508" max="10508" width="3.42578125" style="235" customWidth="1"/>
    <col min="10509" max="10752" width="9.140625" style="235"/>
    <col min="10753" max="10753" width="3.42578125" style="235" customWidth="1"/>
    <col min="10754" max="10763" width="12.140625" style="235" customWidth="1"/>
    <col min="10764" max="10764" width="3.42578125" style="235" customWidth="1"/>
    <col min="10765" max="11008" width="9.140625" style="235"/>
    <col min="11009" max="11009" width="3.42578125" style="235" customWidth="1"/>
    <col min="11010" max="11019" width="12.140625" style="235" customWidth="1"/>
    <col min="11020" max="11020" width="3.42578125" style="235" customWidth="1"/>
    <col min="11021" max="11264" width="9.140625" style="235"/>
    <col min="11265" max="11265" width="3.42578125" style="235" customWidth="1"/>
    <col min="11266" max="11275" width="12.140625" style="235" customWidth="1"/>
    <col min="11276" max="11276" width="3.42578125" style="235" customWidth="1"/>
    <col min="11277" max="11520" width="9.140625" style="235"/>
    <col min="11521" max="11521" width="3.42578125" style="235" customWidth="1"/>
    <col min="11522" max="11531" width="12.140625" style="235" customWidth="1"/>
    <col min="11532" max="11532" width="3.42578125" style="235" customWidth="1"/>
    <col min="11533" max="11776" width="9.140625" style="235"/>
    <col min="11777" max="11777" width="3.42578125" style="235" customWidth="1"/>
    <col min="11778" max="11787" width="12.140625" style="235" customWidth="1"/>
    <col min="11788" max="11788" width="3.42578125" style="235" customWidth="1"/>
    <col min="11789" max="12032" width="9.140625" style="235"/>
    <col min="12033" max="12033" width="3.42578125" style="235" customWidth="1"/>
    <col min="12034" max="12043" width="12.140625" style="235" customWidth="1"/>
    <col min="12044" max="12044" width="3.42578125" style="235" customWidth="1"/>
    <col min="12045" max="12288" width="9.140625" style="235"/>
    <col min="12289" max="12289" width="3.42578125" style="235" customWidth="1"/>
    <col min="12290" max="12299" width="12.140625" style="235" customWidth="1"/>
    <col min="12300" max="12300" width="3.42578125" style="235" customWidth="1"/>
    <col min="12301" max="12544" width="9.140625" style="235"/>
    <col min="12545" max="12545" width="3.42578125" style="235" customWidth="1"/>
    <col min="12546" max="12555" width="12.140625" style="235" customWidth="1"/>
    <col min="12556" max="12556" width="3.42578125" style="235" customWidth="1"/>
    <col min="12557" max="12800" width="9.140625" style="235"/>
    <col min="12801" max="12801" width="3.42578125" style="235" customWidth="1"/>
    <col min="12802" max="12811" width="12.140625" style="235" customWidth="1"/>
    <col min="12812" max="12812" width="3.42578125" style="235" customWidth="1"/>
    <col min="12813" max="13056" width="9.140625" style="235"/>
    <col min="13057" max="13057" width="3.42578125" style="235" customWidth="1"/>
    <col min="13058" max="13067" width="12.140625" style="235" customWidth="1"/>
    <col min="13068" max="13068" width="3.42578125" style="235" customWidth="1"/>
    <col min="13069" max="13312" width="9.140625" style="235"/>
    <col min="13313" max="13313" width="3.42578125" style="235" customWidth="1"/>
    <col min="13314" max="13323" width="12.140625" style="235" customWidth="1"/>
    <col min="13324" max="13324" width="3.42578125" style="235" customWidth="1"/>
    <col min="13325" max="13568" width="9.140625" style="235"/>
    <col min="13569" max="13569" width="3.42578125" style="235" customWidth="1"/>
    <col min="13570" max="13579" width="12.140625" style="235" customWidth="1"/>
    <col min="13580" max="13580" width="3.42578125" style="235" customWidth="1"/>
    <col min="13581" max="13824" width="9.140625" style="235"/>
    <col min="13825" max="13825" width="3.42578125" style="235" customWidth="1"/>
    <col min="13826" max="13835" width="12.140625" style="235" customWidth="1"/>
    <col min="13836" max="13836" width="3.42578125" style="235" customWidth="1"/>
    <col min="13837" max="14080" width="9.140625" style="235"/>
    <col min="14081" max="14081" width="3.42578125" style="235" customWidth="1"/>
    <col min="14082" max="14091" width="12.140625" style="235" customWidth="1"/>
    <col min="14092" max="14092" width="3.42578125" style="235" customWidth="1"/>
    <col min="14093" max="14336" width="9.140625" style="235"/>
    <col min="14337" max="14337" width="3.42578125" style="235" customWidth="1"/>
    <col min="14338" max="14347" width="12.140625" style="235" customWidth="1"/>
    <col min="14348" max="14348" width="3.42578125" style="235" customWidth="1"/>
    <col min="14349" max="14592" width="9.140625" style="235"/>
    <col min="14593" max="14593" width="3.42578125" style="235" customWidth="1"/>
    <col min="14594" max="14603" width="12.140625" style="235" customWidth="1"/>
    <col min="14604" max="14604" width="3.42578125" style="235" customWidth="1"/>
    <col min="14605" max="14848" width="9.140625" style="235"/>
    <col min="14849" max="14849" width="3.42578125" style="235" customWidth="1"/>
    <col min="14850" max="14859" width="12.140625" style="235" customWidth="1"/>
    <col min="14860" max="14860" width="3.42578125" style="235" customWidth="1"/>
    <col min="14861" max="15104" width="9.140625" style="235"/>
    <col min="15105" max="15105" width="3.42578125" style="235" customWidth="1"/>
    <col min="15106" max="15115" width="12.140625" style="235" customWidth="1"/>
    <col min="15116" max="15116" width="3.42578125" style="235" customWidth="1"/>
    <col min="15117" max="15360" width="9.140625" style="235"/>
    <col min="15361" max="15361" width="3.42578125" style="235" customWidth="1"/>
    <col min="15362" max="15371" width="12.140625" style="235" customWidth="1"/>
    <col min="15372" max="15372" width="3.42578125" style="235" customWidth="1"/>
    <col min="15373" max="15616" width="9.140625" style="235"/>
    <col min="15617" max="15617" width="3.42578125" style="235" customWidth="1"/>
    <col min="15618" max="15627" width="12.140625" style="235" customWidth="1"/>
    <col min="15628" max="15628" width="3.42578125" style="235" customWidth="1"/>
    <col min="15629" max="15872" width="9.140625" style="235"/>
    <col min="15873" max="15873" width="3.42578125" style="235" customWidth="1"/>
    <col min="15874" max="15883" width="12.140625" style="235" customWidth="1"/>
    <col min="15884" max="15884" width="3.42578125" style="235" customWidth="1"/>
    <col min="15885" max="16128" width="9.140625" style="235"/>
    <col min="16129" max="16129" width="3.42578125" style="235" customWidth="1"/>
    <col min="16130" max="16139" width="12.140625" style="235" customWidth="1"/>
    <col min="16140" max="16140" width="3.42578125" style="235" customWidth="1"/>
    <col min="16141" max="16384" width="9.140625" style="235"/>
  </cols>
  <sheetData>
    <row r="1" spans="1:11" s="234" customFormat="1" ht="30" customHeight="1" thickBot="1">
      <c r="A1" s="233" t="s">
        <v>652</v>
      </c>
    </row>
    <row r="3" spans="1:11" ht="18" customHeight="1">
      <c r="B3" s="235" t="s">
        <v>653</v>
      </c>
    </row>
    <row r="4" spans="1:11" ht="18" customHeight="1" thickBot="1"/>
    <row r="5" spans="1:11" ht="18" customHeight="1">
      <c r="B5" s="236" t="s">
        <v>654</v>
      </c>
      <c r="C5" s="237" t="s">
        <v>445</v>
      </c>
      <c r="D5" s="237" t="s">
        <v>1</v>
      </c>
      <c r="E5" s="237" t="s">
        <v>111</v>
      </c>
      <c r="F5" s="238" t="s">
        <v>655</v>
      </c>
      <c r="G5" s="238" t="s">
        <v>656</v>
      </c>
      <c r="H5" s="238" t="s">
        <v>657</v>
      </c>
      <c r="I5" s="238" t="s">
        <v>658</v>
      </c>
      <c r="J5" s="237" t="s">
        <v>99</v>
      </c>
      <c r="K5" s="239" t="s">
        <v>659</v>
      </c>
    </row>
    <row r="6" spans="1:11" ht="18" customHeight="1">
      <c r="B6" s="240">
        <v>43291</v>
      </c>
      <c r="C6" s="241" t="s">
        <v>879</v>
      </c>
      <c r="D6" s="241" t="s">
        <v>19</v>
      </c>
      <c r="E6" s="241" t="s">
        <v>661</v>
      </c>
      <c r="F6" s="242">
        <v>60</v>
      </c>
      <c r="G6" s="242">
        <v>2.66</v>
      </c>
      <c r="H6" s="242">
        <v>1000</v>
      </c>
      <c r="I6" s="242">
        <v>2660</v>
      </c>
      <c r="J6" s="241" t="s">
        <v>431</v>
      </c>
      <c r="K6" s="243">
        <v>319.2</v>
      </c>
    </row>
    <row r="7" spans="1:11" ht="18" customHeight="1">
      <c r="B7" s="244">
        <v>43291</v>
      </c>
      <c r="C7" s="245" t="s">
        <v>882</v>
      </c>
      <c r="D7" s="245" t="s">
        <v>517</v>
      </c>
      <c r="E7" s="245" t="s">
        <v>664</v>
      </c>
      <c r="F7" s="246">
        <v>45</v>
      </c>
      <c r="G7" s="246">
        <v>7.04</v>
      </c>
      <c r="H7" s="246">
        <v>800</v>
      </c>
      <c r="I7" s="246">
        <v>5632</v>
      </c>
      <c r="J7" s="245" t="s">
        <v>430</v>
      </c>
      <c r="K7" s="247">
        <v>675.84</v>
      </c>
    </row>
    <row r="8" spans="1:11" ht="18" customHeight="1">
      <c r="B8" s="244">
        <v>43291</v>
      </c>
      <c r="C8" s="245" t="s">
        <v>880</v>
      </c>
      <c r="D8" s="245" t="s">
        <v>523</v>
      </c>
      <c r="E8" s="245" t="s">
        <v>664</v>
      </c>
      <c r="F8" s="246">
        <v>45</v>
      </c>
      <c r="G8" s="246">
        <v>7.04</v>
      </c>
      <c r="H8" s="246">
        <v>300</v>
      </c>
      <c r="I8" s="246">
        <v>2112</v>
      </c>
      <c r="J8" s="245" t="s">
        <v>666</v>
      </c>
      <c r="K8" s="247">
        <v>253.44</v>
      </c>
    </row>
    <row r="9" spans="1:11" ht="18" customHeight="1">
      <c r="B9" s="244">
        <v>43292</v>
      </c>
      <c r="C9" s="245" t="s">
        <v>881</v>
      </c>
      <c r="D9" s="245" t="s">
        <v>523</v>
      </c>
      <c r="E9" s="245" t="s">
        <v>668</v>
      </c>
      <c r="F9" s="246">
        <v>60</v>
      </c>
      <c r="G9" s="246">
        <v>7.04</v>
      </c>
      <c r="H9" s="246">
        <v>200</v>
      </c>
      <c r="I9" s="246">
        <v>1408</v>
      </c>
      <c r="J9" s="245" t="s">
        <v>430</v>
      </c>
      <c r="K9" s="247">
        <v>168.96</v>
      </c>
    </row>
    <row r="10" spans="1:11" ht="18" customHeight="1">
      <c r="B10" s="244">
        <v>43293</v>
      </c>
      <c r="C10" s="245" t="s">
        <v>880</v>
      </c>
      <c r="D10" s="245" t="s">
        <v>517</v>
      </c>
      <c r="E10" s="245" t="s">
        <v>668</v>
      </c>
      <c r="F10" s="246">
        <v>45</v>
      </c>
      <c r="G10" s="246">
        <v>7.04</v>
      </c>
      <c r="H10" s="246">
        <v>1000</v>
      </c>
      <c r="I10" s="246">
        <v>7040</v>
      </c>
      <c r="J10" s="245" t="s">
        <v>666</v>
      </c>
      <c r="K10" s="247">
        <v>844.8</v>
      </c>
    </row>
    <row r="11" spans="1:11" ht="18" customHeight="1">
      <c r="B11" s="244">
        <v>43296</v>
      </c>
      <c r="C11" s="245" t="s">
        <v>882</v>
      </c>
      <c r="D11" s="245" t="s">
        <v>19</v>
      </c>
      <c r="E11" s="245" t="s">
        <v>668</v>
      </c>
      <c r="F11" s="246">
        <v>30</v>
      </c>
      <c r="G11" s="246">
        <v>7.04</v>
      </c>
      <c r="H11" s="246">
        <v>150</v>
      </c>
      <c r="I11" s="246">
        <v>1056</v>
      </c>
      <c r="J11" s="245" t="s">
        <v>666</v>
      </c>
      <c r="K11" s="247">
        <v>126.72</v>
      </c>
    </row>
    <row r="12" spans="1:11" ht="18" customHeight="1">
      <c r="B12" s="244">
        <v>43296</v>
      </c>
      <c r="C12" s="245" t="s">
        <v>880</v>
      </c>
      <c r="D12" s="245" t="s">
        <v>669</v>
      </c>
      <c r="E12" s="245" t="s">
        <v>664</v>
      </c>
      <c r="F12" s="246">
        <v>45</v>
      </c>
      <c r="G12" s="246">
        <v>7.04</v>
      </c>
      <c r="H12" s="246">
        <v>500</v>
      </c>
      <c r="I12" s="246">
        <v>3520</v>
      </c>
      <c r="J12" s="245" t="s">
        <v>666</v>
      </c>
      <c r="K12" s="247">
        <v>422.4</v>
      </c>
    </row>
    <row r="13" spans="1:11" ht="18" customHeight="1">
      <c r="B13" s="244">
        <v>43296</v>
      </c>
      <c r="C13" s="245" t="s">
        <v>881</v>
      </c>
      <c r="D13" s="245" t="s">
        <v>523</v>
      </c>
      <c r="E13" s="245" t="s">
        <v>670</v>
      </c>
      <c r="F13" s="246">
        <v>45</v>
      </c>
      <c r="G13" s="246">
        <v>9.6</v>
      </c>
      <c r="H13" s="246">
        <v>550</v>
      </c>
      <c r="I13" s="246">
        <v>5280</v>
      </c>
      <c r="J13" s="245" t="s">
        <v>671</v>
      </c>
      <c r="K13" s="247">
        <v>633.6</v>
      </c>
    </row>
    <row r="14" spans="1:11" ht="18" customHeight="1">
      <c r="B14" s="244">
        <v>43339</v>
      </c>
      <c r="C14" s="245" t="s">
        <v>880</v>
      </c>
      <c r="D14" s="245" t="s">
        <v>517</v>
      </c>
      <c r="E14" s="245" t="s">
        <v>661</v>
      </c>
      <c r="F14" s="246">
        <v>30</v>
      </c>
      <c r="G14" s="246">
        <v>2.6</v>
      </c>
      <c r="H14" s="246">
        <v>600</v>
      </c>
      <c r="I14" s="246">
        <v>1560</v>
      </c>
      <c r="J14" s="245" t="s">
        <v>431</v>
      </c>
      <c r="K14" s="247">
        <v>187.2</v>
      </c>
    </row>
    <row r="15" spans="1:11" ht="18" customHeight="1">
      <c r="B15" s="244">
        <v>43296</v>
      </c>
      <c r="C15" s="245" t="s">
        <v>882</v>
      </c>
      <c r="D15" s="245" t="s">
        <v>669</v>
      </c>
      <c r="E15" s="245" t="s">
        <v>668</v>
      </c>
      <c r="F15" s="246">
        <v>45</v>
      </c>
      <c r="G15" s="246">
        <v>4.0199999999999996</v>
      </c>
      <c r="H15" s="246">
        <v>100</v>
      </c>
      <c r="I15" s="246">
        <v>402</v>
      </c>
      <c r="J15" s="245" t="s">
        <v>431</v>
      </c>
      <c r="K15" s="247">
        <v>48.24</v>
      </c>
    </row>
    <row r="16" spans="1:11" ht="18" customHeight="1">
      <c r="B16" s="244">
        <v>43327</v>
      </c>
      <c r="C16" s="245" t="s">
        <v>880</v>
      </c>
      <c r="D16" s="245" t="s">
        <v>517</v>
      </c>
      <c r="E16" s="245" t="s">
        <v>661</v>
      </c>
      <c r="F16" s="246">
        <v>30</v>
      </c>
      <c r="G16" s="246">
        <v>2.6</v>
      </c>
      <c r="H16" s="246">
        <v>300</v>
      </c>
      <c r="I16" s="246">
        <v>780</v>
      </c>
      <c r="J16" s="245" t="s">
        <v>430</v>
      </c>
      <c r="K16" s="247">
        <v>93.6</v>
      </c>
    </row>
    <row r="17" spans="2:11" ht="18" customHeight="1">
      <c r="B17" s="244">
        <v>43296</v>
      </c>
      <c r="C17" s="245" t="s">
        <v>881</v>
      </c>
      <c r="D17" s="245" t="s">
        <v>523</v>
      </c>
      <c r="E17" s="245" t="s">
        <v>668</v>
      </c>
      <c r="F17" s="246">
        <v>30</v>
      </c>
      <c r="G17" s="246">
        <v>4.0199999999999996</v>
      </c>
      <c r="H17" s="246">
        <v>300</v>
      </c>
      <c r="I17" s="246">
        <v>1206</v>
      </c>
      <c r="J17" s="245" t="s">
        <v>430</v>
      </c>
      <c r="K17" s="247">
        <v>144.72</v>
      </c>
    </row>
    <row r="18" spans="2:11" ht="18" customHeight="1">
      <c r="B18" s="244">
        <v>43235</v>
      </c>
      <c r="C18" s="245" t="s">
        <v>880</v>
      </c>
      <c r="D18" s="245" t="s">
        <v>19</v>
      </c>
      <c r="E18" s="245" t="s">
        <v>664</v>
      </c>
      <c r="F18" s="246">
        <v>45</v>
      </c>
      <c r="G18" s="246">
        <v>7.04</v>
      </c>
      <c r="H18" s="246">
        <v>500</v>
      </c>
      <c r="I18" s="246">
        <v>3520</v>
      </c>
      <c r="J18" s="245" t="s">
        <v>431</v>
      </c>
      <c r="K18" s="247">
        <v>422.4</v>
      </c>
    </row>
    <row r="19" spans="2:11" ht="18" customHeight="1">
      <c r="B19" s="244">
        <v>43235</v>
      </c>
      <c r="C19" s="245" t="s">
        <v>882</v>
      </c>
      <c r="D19" s="245" t="s">
        <v>517</v>
      </c>
      <c r="E19" s="245" t="s">
        <v>672</v>
      </c>
      <c r="F19" s="246">
        <v>45</v>
      </c>
      <c r="G19" s="246">
        <v>4.0199999999999996</v>
      </c>
      <c r="H19" s="246">
        <v>200</v>
      </c>
      <c r="I19" s="246">
        <v>804</v>
      </c>
      <c r="J19" s="245" t="s">
        <v>431</v>
      </c>
      <c r="K19" s="247">
        <v>96.48</v>
      </c>
    </row>
    <row r="20" spans="2:11" ht="18" customHeight="1">
      <c r="B20" s="244">
        <v>43296</v>
      </c>
      <c r="C20" s="245" t="s">
        <v>880</v>
      </c>
      <c r="D20" s="245" t="s">
        <v>523</v>
      </c>
      <c r="E20" s="245" t="s">
        <v>673</v>
      </c>
      <c r="F20" s="246">
        <v>30</v>
      </c>
      <c r="G20" s="246">
        <v>5.56</v>
      </c>
      <c r="H20" s="246">
        <v>100</v>
      </c>
      <c r="I20" s="246">
        <v>556</v>
      </c>
      <c r="J20" s="245" t="s">
        <v>430</v>
      </c>
      <c r="K20" s="247">
        <v>66.72</v>
      </c>
    </row>
    <row r="21" spans="2:11" ht="18" customHeight="1">
      <c r="B21" s="244">
        <v>43276</v>
      </c>
      <c r="C21" s="245" t="s">
        <v>881</v>
      </c>
      <c r="D21" s="245" t="s">
        <v>517</v>
      </c>
      <c r="E21" s="245" t="s">
        <v>672</v>
      </c>
      <c r="F21" s="246">
        <v>45</v>
      </c>
      <c r="G21" s="246">
        <v>4.0199999999999996</v>
      </c>
      <c r="H21" s="246">
        <v>50</v>
      </c>
      <c r="I21" s="246">
        <v>201</v>
      </c>
      <c r="J21" s="245" t="s">
        <v>431</v>
      </c>
      <c r="K21" s="247">
        <v>24.12</v>
      </c>
    </row>
    <row r="22" spans="2:11" ht="18" customHeight="1">
      <c r="B22" s="244">
        <v>43276</v>
      </c>
      <c r="C22" s="245" t="s">
        <v>880</v>
      </c>
      <c r="D22" s="245" t="s">
        <v>19</v>
      </c>
      <c r="E22" s="245" t="s">
        <v>668</v>
      </c>
      <c r="F22" s="246">
        <v>45</v>
      </c>
      <c r="G22" s="246">
        <v>5.56</v>
      </c>
      <c r="H22" s="246">
        <v>200</v>
      </c>
      <c r="I22" s="246">
        <v>1112</v>
      </c>
      <c r="J22" s="245" t="s">
        <v>431</v>
      </c>
      <c r="K22" s="247">
        <v>133.44</v>
      </c>
    </row>
    <row r="23" spans="2:11" ht="18" customHeight="1">
      <c r="B23" s="244">
        <v>43339</v>
      </c>
      <c r="C23" s="245" t="s">
        <v>882</v>
      </c>
      <c r="D23" s="245" t="s">
        <v>517</v>
      </c>
      <c r="E23" s="245" t="s">
        <v>674</v>
      </c>
      <c r="F23" s="246">
        <v>45</v>
      </c>
      <c r="G23" s="246">
        <v>2.77</v>
      </c>
      <c r="H23" s="246">
        <v>40</v>
      </c>
      <c r="I23" s="246">
        <v>110.8</v>
      </c>
      <c r="J23" s="245" t="s">
        <v>431</v>
      </c>
      <c r="K23" s="247">
        <v>13.295999999999999</v>
      </c>
    </row>
    <row r="24" spans="2:11" ht="18" customHeight="1">
      <c r="B24" s="244">
        <v>43296</v>
      </c>
      <c r="C24" s="245" t="s">
        <v>880</v>
      </c>
      <c r="D24" s="245" t="s">
        <v>19</v>
      </c>
      <c r="E24" s="245" t="s">
        <v>670</v>
      </c>
      <c r="F24" s="246">
        <v>60</v>
      </c>
      <c r="G24" s="246">
        <v>9.6</v>
      </c>
      <c r="H24" s="246">
        <v>2000</v>
      </c>
      <c r="I24" s="246">
        <v>19200</v>
      </c>
      <c r="J24" s="245" t="s">
        <v>671</v>
      </c>
      <c r="K24" s="247">
        <v>2304</v>
      </c>
    </row>
    <row r="25" spans="2:11" ht="18" customHeight="1">
      <c r="B25" s="244">
        <v>43296</v>
      </c>
      <c r="C25" s="245" t="s">
        <v>881</v>
      </c>
      <c r="D25" s="245" t="s">
        <v>669</v>
      </c>
      <c r="E25" s="245" t="s">
        <v>672</v>
      </c>
      <c r="F25" s="246">
        <v>45</v>
      </c>
      <c r="G25" s="246">
        <v>4.0199999999999996</v>
      </c>
      <c r="H25" s="246">
        <v>220</v>
      </c>
      <c r="I25" s="246">
        <v>884.4</v>
      </c>
      <c r="J25" s="245" t="s">
        <v>431</v>
      </c>
      <c r="K25" s="247">
        <v>106.12799999999999</v>
      </c>
    </row>
    <row r="26" spans="2:11" ht="18" customHeight="1">
      <c r="B26" s="244">
        <v>43276</v>
      </c>
      <c r="C26" s="245" t="s">
        <v>880</v>
      </c>
      <c r="D26" s="245" t="s">
        <v>517</v>
      </c>
      <c r="E26" s="245" t="s">
        <v>674</v>
      </c>
      <c r="F26" s="246">
        <v>60</v>
      </c>
      <c r="G26" s="246">
        <v>2.77</v>
      </c>
      <c r="H26" s="246">
        <v>1100</v>
      </c>
      <c r="I26" s="246">
        <v>3047</v>
      </c>
      <c r="J26" s="245" t="s">
        <v>431</v>
      </c>
      <c r="K26" s="247">
        <v>365.64</v>
      </c>
    </row>
    <row r="27" spans="2:11" ht="18" customHeight="1">
      <c r="B27" s="244">
        <v>43327</v>
      </c>
      <c r="C27" s="245" t="s">
        <v>882</v>
      </c>
      <c r="D27" s="245" t="s">
        <v>517</v>
      </c>
      <c r="E27" s="245" t="s">
        <v>675</v>
      </c>
      <c r="F27" s="246">
        <v>45</v>
      </c>
      <c r="G27" s="246">
        <v>2.77</v>
      </c>
      <c r="H27" s="246">
        <v>880</v>
      </c>
      <c r="I27" s="246">
        <v>2437.6</v>
      </c>
      <c r="J27" s="245" t="s">
        <v>431</v>
      </c>
      <c r="K27" s="247">
        <v>292.512</v>
      </c>
    </row>
    <row r="28" spans="2:11" ht="18" customHeight="1">
      <c r="B28" s="244">
        <v>43276</v>
      </c>
      <c r="C28" s="245" t="s">
        <v>880</v>
      </c>
      <c r="D28" s="245" t="s">
        <v>19</v>
      </c>
      <c r="E28" s="245" t="s">
        <v>675</v>
      </c>
      <c r="F28" s="246">
        <v>60</v>
      </c>
      <c r="G28" s="246">
        <v>2.6</v>
      </c>
      <c r="H28" s="246">
        <v>500</v>
      </c>
      <c r="I28" s="246">
        <v>1300</v>
      </c>
      <c r="J28" s="245" t="s">
        <v>431</v>
      </c>
      <c r="K28" s="247">
        <v>156</v>
      </c>
    </row>
    <row r="29" spans="2:11" ht="18" customHeight="1">
      <c r="B29" s="244">
        <v>43276</v>
      </c>
      <c r="C29" s="245" t="s">
        <v>881</v>
      </c>
      <c r="D29" s="245" t="s">
        <v>517</v>
      </c>
      <c r="E29" s="245" t="s">
        <v>661</v>
      </c>
      <c r="F29" s="246">
        <v>30</v>
      </c>
      <c r="G29" s="246">
        <v>2.6</v>
      </c>
      <c r="H29" s="246">
        <v>600</v>
      </c>
      <c r="I29" s="246">
        <v>1560</v>
      </c>
      <c r="J29" s="245" t="s">
        <v>431</v>
      </c>
      <c r="K29" s="247">
        <v>187.2</v>
      </c>
    </row>
    <row r="30" spans="2:11" ht="18" customHeight="1">
      <c r="B30" s="244">
        <v>43245</v>
      </c>
      <c r="C30" s="245" t="s">
        <v>880</v>
      </c>
      <c r="D30" s="245" t="s">
        <v>19</v>
      </c>
      <c r="E30" s="245" t="s">
        <v>664</v>
      </c>
      <c r="F30" s="246">
        <v>45</v>
      </c>
      <c r="G30" s="246">
        <v>7.04</v>
      </c>
      <c r="H30" s="246">
        <v>400</v>
      </c>
      <c r="I30" s="246">
        <v>2816</v>
      </c>
      <c r="J30" s="245" t="s">
        <v>666</v>
      </c>
      <c r="K30" s="247">
        <v>337.92</v>
      </c>
    </row>
    <row r="31" spans="2:11" ht="18" customHeight="1">
      <c r="B31" s="244">
        <v>43327</v>
      </c>
      <c r="C31" s="245" t="s">
        <v>882</v>
      </c>
      <c r="D31" s="245" t="s">
        <v>517</v>
      </c>
      <c r="E31" s="245" t="s">
        <v>675</v>
      </c>
      <c r="F31" s="246">
        <v>45</v>
      </c>
      <c r="G31" s="246">
        <v>5.56</v>
      </c>
      <c r="H31" s="246">
        <v>450</v>
      </c>
      <c r="I31" s="246">
        <v>2502</v>
      </c>
      <c r="J31" s="245" t="s">
        <v>430</v>
      </c>
      <c r="K31" s="247">
        <v>300.24</v>
      </c>
    </row>
    <row r="32" spans="2:11" ht="18" customHeight="1">
      <c r="B32" s="244">
        <v>43276</v>
      </c>
      <c r="C32" s="245" t="s">
        <v>880</v>
      </c>
      <c r="D32" s="245" t="s">
        <v>523</v>
      </c>
      <c r="E32" s="245" t="s">
        <v>661</v>
      </c>
      <c r="F32" s="246">
        <v>45</v>
      </c>
      <c r="G32" s="246">
        <v>2.6</v>
      </c>
      <c r="H32" s="246">
        <v>600</v>
      </c>
      <c r="I32" s="246">
        <v>1560</v>
      </c>
      <c r="J32" s="245" t="s">
        <v>666</v>
      </c>
      <c r="K32" s="247">
        <v>187.2</v>
      </c>
    </row>
    <row r="33" spans="2:11" ht="18" customHeight="1">
      <c r="B33" s="244">
        <v>43276</v>
      </c>
      <c r="C33" s="245" t="s">
        <v>881</v>
      </c>
      <c r="D33" s="245" t="s">
        <v>517</v>
      </c>
      <c r="E33" s="245" t="s">
        <v>661</v>
      </c>
      <c r="F33" s="246">
        <v>60</v>
      </c>
      <c r="G33" s="246">
        <v>2.6</v>
      </c>
      <c r="H33" s="246">
        <v>750</v>
      </c>
      <c r="I33" s="246">
        <v>1950</v>
      </c>
      <c r="J33" s="245" t="s">
        <v>431</v>
      </c>
      <c r="K33" s="247">
        <v>234</v>
      </c>
    </row>
    <row r="34" spans="2:11" ht="18" customHeight="1">
      <c r="B34" s="244">
        <v>43276</v>
      </c>
      <c r="C34" s="245" t="s">
        <v>880</v>
      </c>
      <c r="D34" s="245" t="s">
        <v>517</v>
      </c>
      <c r="E34" s="245" t="s">
        <v>674</v>
      </c>
      <c r="F34" s="246">
        <v>45</v>
      </c>
      <c r="G34" s="246">
        <v>2.77</v>
      </c>
      <c r="H34" s="246">
        <v>180</v>
      </c>
      <c r="I34" s="246">
        <v>498.6</v>
      </c>
      <c r="J34" s="245" t="s">
        <v>430</v>
      </c>
      <c r="K34" s="247">
        <v>59.832000000000001</v>
      </c>
    </row>
    <row r="35" spans="2:11" ht="18" customHeight="1">
      <c r="B35" s="244">
        <v>43276</v>
      </c>
      <c r="C35" s="245" t="s">
        <v>882</v>
      </c>
      <c r="D35" s="245" t="s">
        <v>517</v>
      </c>
      <c r="E35" s="245" t="s">
        <v>661</v>
      </c>
      <c r="F35" s="246">
        <v>45</v>
      </c>
      <c r="G35" s="246">
        <v>2.6</v>
      </c>
      <c r="H35" s="246">
        <v>300</v>
      </c>
      <c r="I35" s="246">
        <v>780</v>
      </c>
      <c r="J35" s="245" t="s">
        <v>431</v>
      </c>
      <c r="K35" s="247">
        <v>93.6</v>
      </c>
    </row>
    <row r="36" spans="2:11" ht="18" customHeight="1">
      <c r="B36" s="244">
        <v>43296</v>
      </c>
      <c r="C36" s="245" t="s">
        <v>880</v>
      </c>
      <c r="D36" s="245" t="s">
        <v>517</v>
      </c>
      <c r="E36" s="245" t="s">
        <v>664</v>
      </c>
      <c r="F36" s="246">
        <v>60</v>
      </c>
      <c r="G36" s="246">
        <v>7.04</v>
      </c>
      <c r="H36" s="246">
        <v>600</v>
      </c>
      <c r="I36" s="246">
        <v>4224</v>
      </c>
      <c r="J36" s="245" t="s">
        <v>431</v>
      </c>
      <c r="K36" s="247">
        <v>506.88</v>
      </c>
    </row>
    <row r="37" spans="2:11" ht="18" customHeight="1">
      <c r="B37" s="244">
        <v>43291</v>
      </c>
      <c r="C37" s="245" t="s">
        <v>881</v>
      </c>
      <c r="D37" s="245" t="s">
        <v>517</v>
      </c>
      <c r="E37" s="245" t="s">
        <v>661</v>
      </c>
      <c r="F37" s="246">
        <v>45</v>
      </c>
      <c r="G37" s="246">
        <v>2.6</v>
      </c>
      <c r="H37" s="246">
        <v>800</v>
      </c>
      <c r="I37" s="246">
        <v>2080</v>
      </c>
      <c r="J37" s="245" t="s">
        <v>431</v>
      </c>
      <c r="K37" s="247">
        <v>249.6</v>
      </c>
    </row>
    <row r="38" spans="2:11" ht="18" customHeight="1">
      <c r="B38" s="244">
        <v>43276</v>
      </c>
      <c r="C38" s="245" t="s">
        <v>880</v>
      </c>
      <c r="D38" s="245" t="s">
        <v>19</v>
      </c>
      <c r="E38" s="245" t="s">
        <v>661</v>
      </c>
      <c r="F38" s="246">
        <v>60</v>
      </c>
      <c r="G38" s="246">
        <v>2.6</v>
      </c>
      <c r="H38" s="246">
        <v>900</v>
      </c>
      <c r="I38" s="246">
        <v>2340</v>
      </c>
      <c r="J38" s="245" t="s">
        <v>431</v>
      </c>
      <c r="K38" s="247">
        <v>280.8</v>
      </c>
    </row>
    <row r="39" spans="2:11" ht="18" customHeight="1">
      <c r="B39" s="244">
        <v>43327</v>
      </c>
      <c r="C39" s="245" t="s">
        <v>882</v>
      </c>
      <c r="D39" s="245" t="s">
        <v>517</v>
      </c>
      <c r="E39" s="245" t="s">
        <v>674</v>
      </c>
      <c r="F39" s="246">
        <v>60</v>
      </c>
      <c r="G39" s="246">
        <v>2.77</v>
      </c>
      <c r="H39" s="246">
        <v>500</v>
      </c>
      <c r="I39" s="246">
        <v>1385</v>
      </c>
      <c r="J39" s="245" t="s">
        <v>431</v>
      </c>
      <c r="K39" s="247">
        <v>166.2</v>
      </c>
    </row>
    <row r="40" spans="2:11" ht="18" customHeight="1">
      <c r="B40" s="244">
        <v>43296</v>
      </c>
      <c r="C40" s="245" t="s">
        <v>880</v>
      </c>
      <c r="D40" s="245" t="s">
        <v>669</v>
      </c>
      <c r="E40" s="245" t="s">
        <v>661</v>
      </c>
      <c r="F40" s="246">
        <v>60</v>
      </c>
      <c r="G40" s="246">
        <v>2.6</v>
      </c>
      <c r="H40" s="246">
        <v>530</v>
      </c>
      <c r="I40" s="246">
        <v>1378</v>
      </c>
      <c r="J40" s="245" t="s">
        <v>431</v>
      </c>
      <c r="K40" s="247">
        <v>165.36</v>
      </c>
    </row>
    <row r="41" spans="2:11" ht="18" customHeight="1">
      <c r="B41" s="244">
        <v>43276</v>
      </c>
      <c r="C41" s="245" t="s">
        <v>881</v>
      </c>
      <c r="D41" s="245" t="s">
        <v>517</v>
      </c>
      <c r="E41" s="245" t="s">
        <v>668</v>
      </c>
      <c r="F41" s="246">
        <v>60</v>
      </c>
      <c r="G41" s="246">
        <v>4.0199999999999996</v>
      </c>
      <c r="H41" s="246">
        <v>800</v>
      </c>
      <c r="I41" s="246">
        <v>3216</v>
      </c>
      <c r="J41" s="245" t="s">
        <v>676</v>
      </c>
      <c r="K41" s="247">
        <v>385.92</v>
      </c>
    </row>
    <row r="42" spans="2:11" ht="18" customHeight="1">
      <c r="B42" s="244">
        <v>43276</v>
      </c>
      <c r="C42" s="245" t="s">
        <v>880</v>
      </c>
      <c r="D42" s="245" t="s">
        <v>517</v>
      </c>
      <c r="E42" s="245" t="s">
        <v>664</v>
      </c>
      <c r="F42" s="246">
        <v>45</v>
      </c>
      <c r="G42" s="246">
        <v>7.04</v>
      </c>
      <c r="H42" s="246">
        <v>680</v>
      </c>
      <c r="I42" s="246">
        <v>4787.2</v>
      </c>
      <c r="J42" s="245" t="s">
        <v>431</v>
      </c>
      <c r="K42" s="247">
        <v>574.46399999999994</v>
      </c>
    </row>
    <row r="43" spans="2:11" ht="18" customHeight="1">
      <c r="B43" s="244">
        <v>43276</v>
      </c>
      <c r="C43" s="245" t="s">
        <v>882</v>
      </c>
      <c r="D43" s="245" t="s">
        <v>517</v>
      </c>
      <c r="E43" s="245" t="s">
        <v>672</v>
      </c>
      <c r="F43" s="246">
        <v>45</v>
      </c>
      <c r="G43" s="246">
        <v>4.0199999999999996</v>
      </c>
      <c r="H43" s="246">
        <v>660</v>
      </c>
      <c r="I43" s="246">
        <v>2653.2</v>
      </c>
      <c r="J43" s="245" t="s">
        <v>431</v>
      </c>
      <c r="K43" s="247">
        <v>318.38399999999996</v>
      </c>
    </row>
    <row r="44" spans="2:11" ht="18" customHeight="1">
      <c r="B44" s="244">
        <v>43291</v>
      </c>
      <c r="C44" s="245" t="s">
        <v>880</v>
      </c>
      <c r="D44" s="245" t="s">
        <v>517</v>
      </c>
      <c r="E44" s="245" t="s">
        <v>673</v>
      </c>
      <c r="F44" s="246">
        <v>45</v>
      </c>
      <c r="G44" s="246">
        <v>5.56</v>
      </c>
      <c r="H44" s="246">
        <v>600</v>
      </c>
      <c r="I44" s="246">
        <v>3336</v>
      </c>
      <c r="J44" s="245" t="s">
        <v>431</v>
      </c>
      <c r="K44" s="247">
        <v>400.32</v>
      </c>
    </row>
    <row r="45" spans="2:11" ht="18" customHeight="1">
      <c r="B45" s="244">
        <v>43327</v>
      </c>
      <c r="C45" s="245" t="s">
        <v>881</v>
      </c>
      <c r="D45" s="245" t="s">
        <v>19</v>
      </c>
      <c r="E45" s="245" t="s">
        <v>672</v>
      </c>
      <c r="F45" s="246">
        <v>30</v>
      </c>
      <c r="G45" s="246">
        <v>4.0199999999999996</v>
      </c>
      <c r="H45" s="246">
        <v>530</v>
      </c>
      <c r="I45" s="246">
        <v>2130.6</v>
      </c>
      <c r="J45" s="245" t="s">
        <v>431</v>
      </c>
      <c r="K45" s="247">
        <v>255.67199999999997</v>
      </c>
    </row>
    <row r="46" spans="2:11" ht="18" customHeight="1">
      <c r="B46" s="244">
        <v>43324</v>
      </c>
      <c r="C46" s="245" t="s">
        <v>880</v>
      </c>
      <c r="D46" s="245" t="s">
        <v>517</v>
      </c>
      <c r="E46" s="245" t="s">
        <v>673</v>
      </c>
      <c r="F46" s="246">
        <v>45</v>
      </c>
      <c r="G46" s="246">
        <v>5.56</v>
      </c>
      <c r="H46" s="246">
        <v>450</v>
      </c>
      <c r="I46" s="246">
        <v>2502</v>
      </c>
      <c r="J46" s="245" t="s">
        <v>431</v>
      </c>
      <c r="K46" s="247">
        <v>300.24</v>
      </c>
    </row>
    <row r="47" spans="2:11" ht="18" customHeight="1">
      <c r="B47" s="244">
        <v>43327</v>
      </c>
      <c r="C47" s="245" t="s">
        <v>882</v>
      </c>
      <c r="D47" s="245" t="s">
        <v>517</v>
      </c>
      <c r="E47" s="245" t="s">
        <v>674</v>
      </c>
      <c r="F47" s="246">
        <v>30</v>
      </c>
      <c r="G47" s="246">
        <v>2.77</v>
      </c>
      <c r="H47" s="246">
        <v>400</v>
      </c>
      <c r="I47" s="246">
        <v>1108</v>
      </c>
      <c r="J47" s="245" t="s">
        <v>431</v>
      </c>
      <c r="K47" s="247">
        <v>132.96</v>
      </c>
    </row>
    <row r="48" spans="2:11" ht="18" customHeight="1">
      <c r="B48" s="244">
        <v>43327</v>
      </c>
      <c r="C48" s="245" t="s">
        <v>880</v>
      </c>
      <c r="D48" s="245" t="s">
        <v>523</v>
      </c>
      <c r="E48" s="245" t="s">
        <v>675</v>
      </c>
      <c r="F48" s="246">
        <v>30</v>
      </c>
      <c r="G48" s="246">
        <v>9.6</v>
      </c>
      <c r="H48" s="246">
        <v>300</v>
      </c>
      <c r="I48" s="246">
        <v>2880</v>
      </c>
      <c r="J48" s="245" t="s">
        <v>431</v>
      </c>
      <c r="K48" s="247">
        <v>345.6</v>
      </c>
    </row>
    <row r="49" spans="2:11" ht="18" customHeight="1">
      <c r="B49" s="244">
        <v>43296</v>
      </c>
      <c r="C49" s="245" t="s">
        <v>881</v>
      </c>
      <c r="D49" s="245" t="s">
        <v>523</v>
      </c>
      <c r="E49" s="245" t="s">
        <v>661</v>
      </c>
      <c r="F49" s="246">
        <v>30</v>
      </c>
      <c r="G49" s="246">
        <v>2.6</v>
      </c>
      <c r="H49" s="246">
        <v>200</v>
      </c>
      <c r="I49" s="246">
        <v>520</v>
      </c>
      <c r="J49" s="245" t="s">
        <v>431</v>
      </c>
      <c r="K49" s="247">
        <v>62.4</v>
      </c>
    </row>
    <row r="50" spans="2:11" ht="18" customHeight="1">
      <c r="B50" s="244">
        <v>43235</v>
      </c>
      <c r="C50" s="245" t="s">
        <v>880</v>
      </c>
      <c r="D50" s="245" t="s">
        <v>517</v>
      </c>
      <c r="E50" s="245" t="s">
        <v>672</v>
      </c>
      <c r="F50" s="246">
        <v>30</v>
      </c>
      <c r="G50" s="246">
        <v>4.0199999999999996</v>
      </c>
      <c r="H50" s="246">
        <v>100</v>
      </c>
      <c r="I50" s="246">
        <v>402</v>
      </c>
      <c r="J50" s="245" t="s">
        <v>431</v>
      </c>
      <c r="K50" s="247">
        <v>48.24</v>
      </c>
    </row>
    <row r="51" spans="2:11" ht="18" customHeight="1">
      <c r="B51" s="244">
        <v>43327</v>
      </c>
      <c r="C51" s="245" t="s">
        <v>882</v>
      </c>
      <c r="D51" s="245" t="s">
        <v>19</v>
      </c>
      <c r="E51" s="245" t="s">
        <v>664</v>
      </c>
      <c r="F51" s="246">
        <v>30</v>
      </c>
      <c r="G51" s="246">
        <v>7.04</v>
      </c>
      <c r="H51" s="246">
        <v>30</v>
      </c>
      <c r="I51" s="246">
        <v>211.2</v>
      </c>
      <c r="J51" s="245" t="s">
        <v>431</v>
      </c>
      <c r="K51" s="247">
        <v>25.343999999999998</v>
      </c>
    </row>
    <row r="52" spans="2:11" ht="18" customHeight="1">
      <c r="B52" s="244">
        <v>43327</v>
      </c>
      <c r="C52" s="245" t="s">
        <v>880</v>
      </c>
      <c r="D52" s="245" t="s">
        <v>517</v>
      </c>
      <c r="E52" s="245" t="s">
        <v>672</v>
      </c>
      <c r="F52" s="246">
        <v>45</v>
      </c>
      <c r="G52" s="246">
        <v>4.0199999999999996</v>
      </c>
      <c r="H52" s="246">
        <v>220</v>
      </c>
      <c r="I52" s="246">
        <v>884.4</v>
      </c>
      <c r="J52" s="245" t="s">
        <v>666</v>
      </c>
      <c r="K52" s="247">
        <v>106.12799999999999</v>
      </c>
    </row>
    <row r="53" spans="2:11" ht="18" customHeight="1">
      <c r="B53" s="244">
        <v>43327</v>
      </c>
      <c r="C53" s="245" t="s">
        <v>881</v>
      </c>
      <c r="D53" s="245" t="s">
        <v>517</v>
      </c>
      <c r="E53" s="245" t="s">
        <v>673</v>
      </c>
      <c r="F53" s="246">
        <v>45</v>
      </c>
      <c r="G53" s="246">
        <v>5.56</v>
      </c>
      <c r="H53" s="246">
        <v>460</v>
      </c>
      <c r="I53" s="246">
        <v>2557.6</v>
      </c>
      <c r="J53" s="245" t="s">
        <v>430</v>
      </c>
      <c r="K53" s="247">
        <v>306.91199999999998</v>
      </c>
    </row>
    <row r="54" spans="2:11" ht="18" customHeight="1">
      <c r="B54" s="244">
        <v>43324</v>
      </c>
      <c r="C54" s="245" t="s">
        <v>880</v>
      </c>
      <c r="D54" s="245" t="s">
        <v>517</v>
      </c>
      <c r="E54" s="245" t="s">
        <v>672</v>
      </c>
      <c r="F54" s="246">
        <v>45</v>
      </c>
      <c r="G54" s="246">
        <v>4.0199999999999996</v>
      </c>
      <c r="H54" s="246">
        <v>1000</v>
      </c>
      <c r="I54" s="246">
        <v>4020</v>
      </c>
      <c r="J54" s="245" t="s">
        <v>431</v>
      </c>
      <c r="K54" s="247">
        <v>482.4</v>
      </c>
    </row>
    <row r="55" spans="2:11" ht="18" customHeight="1">
      <c r="B55" s="244">
        <v>43324</v>
      </c>
      <c r="C55" s="245" t="s">
        <v>882</v>
      </c>
      <c r="D55" s="245" t="s">
        <v>517</v>
      </c>
      <c r="E55" s="245" t="s">
        <v>668</v>
      </c>
      <c r="F55" s="246">
        <v>45</v>
      </c>
      <c r="G55" s="246">
        <v>5.56</v>
      </c>
      <c r="H55" s="246">
        <v>1200</v>
      </c>
      <c r="I55" s="246">
        <v>6672</v>
      </c>
      <c r="J55" s="245" t="s">
        <v>431</v>
      </c>
      <c r="K55" s="247">
        <v>800.64</v>
      </c>
    </row>
    <row r="56" spans="2:11" ht="18" customHeight="1">
      <c r="B56" s="244">
        <v>43327</v>
      </c>
      <c r="C56" s="245" t="s">
        <v>880</v>
      </c>
      <c r="D56" s="245" t="s">
        <v>517</v>
      </c>
      <c r="E56" s="245" t="s">
        <v>674</v>
      </c>
      <c r="F56" s="246">
        <v>45</v>
      </c>
      <c r="G56" s="246">
        <v>2.77</v>
      </c>
      <c r="H56" s="246">
        <v>200</v>
      </c>
      <c r="I56" s="246">
        <v>554</v>
      </c>
      <c r="J56" s="245" t="s">
        <v>430</v>
      </c>
      <c r="K56" s="247">
        <v>66.48</v>
      </c>
    </row>
    <row r="57" spans="2:11" ht="18" customHeight="1">
      <c r="B57" s="244">
        <v>43230</v>
      </c>
      <c r="C57" s="245" t="s">
        <v>881</v>
      </c>
      <c r="D57" s="245" t="s">
        <v>669</v>
      </c>
      <c r="E57" s="245" t="s">
        <v>675</v>
      </c>
      <c r="F57" s="246">
        <v>45</v>
      </c>
      <c r="G57" s="246">
        <v>9.6</v>
      </c>
      <c r="H57" s="246">
        <v>500</v>
      </c>
      <c r="I57" s="246">
        <v>4800</v>
      </c>
      <c r="J57" s="245" t="s">
        <v>666</v>
      </c>
      <c r="K57" s="247">
        <v>576</v>
      </c>
    </row>
    <row r="58" spans="2:11" ht="18" customHeight="1">
      <c r="B58" s="244">
        <v>43339</v>
      </c>
      <c r="C58" s="245" t="s">
        <v>880</v>
      </c>
      <c r="D58" s="245" t="s">
        <v>517</v>
      </c>
      <c r="E58" s="245" t="s">
        <v>672</v>
      </c>
      <c r="F58" s="246">
        <v>60</v>
      </c>
      <c r="G58" s="246">
        <v>4.0199999999999996</v>
      </c>
      <c r="H58" s="246">
        <v>600</v>
      </c>
      <c r="I58" s="246">
        <v>2412</v>
      </c>
      <c r="J58" s="245" t="s">
        <v>431</v>
      </c>
      <c r="K58" s="247">
        <v>289.44</v>
      </c>
    </row>
    <row r="59" spans="2:11" ht="18" customHeight="1">
      <c r="B59" s="244">
        <v>43247</v>
      </c>
      <c r="C59" s="245" t="s">
        <v>882</v>
      </c>
      <c r="D59" s="245" t="s">
        <v>19</v>
      </c>
      <c r="E59" s="245" t="s">
        <v>668</v>
      </c>
      <c r="F59" s="246">
        <v>45</v>
      </c>
      <c r="G59" s="246">
        <v>2.77</v>
      </c>
      <c r="H59" s="246">
        <v>1000</v>
      </c>
      <c r="I59" s="246">
        <v>2770</v>
      </c>
      <c r="J59" s="245" t="s">
        <v>431</v>
      </c>
      <c r="K59" s="247">
        <v>332.4</v>
      </c>
    </row>
    <row r="60" spans="2:11" ht="18" customHeight="1">
      <c r="B60" s="244">
        <v>43291</v>
      </c>
      <c r="C60" s="245" t="s">
        <v>880</v>
      </c>
      <c r="D60" s="245" t="s">
        <v>19</v>
      </c>
      <c r="E60" s="245" t="s">
        <v>674</v>
      </c>
      <c r="F60" s="246">
        <v>60</v>
      </c>
      <c r="G60" s="246">
        <v>2.77</v>
      </c>
      <c r="H60" s="246">
        <v>1000</v>
      </c>
      <c r="I60" s="246">
        <v>2770</v>
      </c>
      <c r="J60" s="245" t="s">
        <v>431</v>
      </c>
      <c r="K60" s="247">
        <v>332.4</v>
      </c>
    </row>
    <row r="61" spans="2:11" ht="18" customHeight="1">
      <c r="B61" s="244">
        <v>43276</v>
      </c>
      <c r="C61" s="245" t="s">
        <v>881</v>
      </c>
      <c r="D61" s="245" t="s">
        <v>517</v>
      </c>
      <c r="E61" s="245" t="s">
        <v>668</v>
      </c>
      <c r="F61" s="246">
        <v>45</v>
      </c>
      <c r="G61" s="246">
        <v>2.77</v>
      </c>
      <c r="H61" s="246">
        <v>1200</v>
      </c>
      <c r="I61" s="246">
        <v>3324</v>
      </c>
      <c r="J61" s="245" t="s">
        <v>666</v>
      </c>
      <c r="K61" s="247">
        <v>398.88</v>
      </c>
    </row>
    <row r="62" spans="2:11" ht="18" customHeight="1">
      <c r="B62" s="244">
        <v>43339</v>
      </c>
      <c r="C62" s="245" t="s">
        <v>880</v>
      </c>
      <c r="D62" s="245" t="s">
        <v>517</v>
      </c>
      <c r="E62" s="245" t="s">
        <v>670</v>
      </c>
      <c r="F62" s="246">
        <v>60</v>
      </c>
      <c r="G62" s="246">
        <v>9.6</v>
      </c>
      <c r="H62" s="246">
        <v>500</v>
      </c>
      <c r="I62" s="246">
        <v>4800</v>
      </c>
      <c r="J62" s="245" t="s">
        <v>431</v>
      </c>
      <c r="K62" s="247">
        <v>576</v>
      </c>
    </row>
    <row r="63" spans="2:11" ht="18" customHeight="1">
      <c r="B63" s="244">
        <v>43296</v>
      </c>
      <c r="C63" s="245" t="s">
        <v>882</v>
      </c>
      <c r="D63" s="245" t="s">
        <v>517</v>
      </c>
      <c r="E63" s="245" t="s">
        <v>673</v>
      </c>
      <c r="F63" s="246">
        <v>45</v>
      </c>
      <c r="G63" s="246">
        <v>5.56</v>
      </c>
      <c r="H63" s="246">
        <v>300</v>
      </c>
      <c r="I63" s="246">
        <v>1668</v>
      </c>
      <c r="J63" s="245" t="s">
        <v>431</v>
      </c>
      <c r="K63" s="247">
        <v>200.16</v>
      </c>
    </row>
    <row r="64" spans="2:11" ht="18" customHeight="1">
      <c r="B64" s="244">
        <v>43339</v>
      </c>
      <c r="C64" s="245" t="s">
        <v>880</v>
      </c>
      <c r="D64" s="245" t="s">
        <v>523</v>
      </c>
      <c r="E64" s="245" t="s">
        <v>668</v>
      </c>
      <c r="F64" s="246">
        <v>45</v>
      </c>
      <c r="G64" s="246">
        <v>4.0199999999999996</v>
      </c>
      <c r="H64" s="246">
        <v>450</v>
      </c>
      <c r="I64" s="246">
        <v>1809</v>
      </c>
      <c r="J64" s="245" t="s">
        <v>431</v>
      </c>
      <c r="K64" s="247">
        <v>217.08</v>
      </c>
    </row>
    <row r="65" spans="2:11" ht="18" customHeight="1">
      <c r="B65" s="244">
        <v>43339</v>
      </c>
      <c r="C65" s="245" t="s">
        <v>881</v>
      </c>
      <c r="D65" s="245" t="s">
        <v>523</v>
      </c>
      <c r="E65" s="245" t="s">
        <v>673</v>
      </c>
      <c r="F65" s="246">
        <v>45</v>
      </c>
      <c r="G65" s="246">
        <v>5.56</v>
      </c>
      <c r="H65" s="246">
        <v>400</v>
      </c>
      <c r="I65" s="246">
        <v>2224</v>
      </c>
      <c r="J65" s="245" t="s">
        <v>431</v>
      </c>
      <c r="K65" s="247">
        <v>266.88</v>
      </c>
    </row>
    <row r="66" spans="2:11" ht="18" customHeight="1">
      <c r="B66" s="244">
        <v>43339</v>
      </c>
      <c r="C66" s="245" t="s">
        <v>880</v>
      </c>
      <c r="D66" s="245" t="s">
        <v>517</v>
      </c>
      <c r="E66" s="245" t="s">
        <v>674</v>
      </c>
      <c r="F66" s="246">
        <v>30</v>
      </c>
      <c r="G66" s="246">
        <v>2.77</v>
      </c>
      <c r="H66" s="246">
        <v>200</v>
      </c>
      <c r="I66" s="246">
        <v>554</v>
      </c>
      <c r="J66" s="245" t="s">
        <v>431</v>
      </c>
      <c r="K66" s="247">
        <v>66.48</v>
      </c>
    </row>
    <row r="67" spans="2:11" ht="18" customHeight="1">
      <c r="B67" s="244">
        <v>43247</v>
      </c>
      <c r="C67" s="245" t="s">
        <v>882</v>
      </c>
      <c r="D67" s="245" t="s">
        <v>517</v>
      </c>
      <c r="E67" s="245" t="s">
        <v>673</v>
      </c>
      <c r="F67" s="246">
        <v>45</v>
      </c>
      <c r="G67" s="246">
        <v>5.56</v>
      </c>
      <c r="H67" s="246">
        <v>1500</v>
      </c>
      <c r="I67" s="246">
        <v>8340</v>
      </c>
      <c r="J67" s="245" t="s">
        <v>431</v>
      </c>
      <c r="K67" s="247">
        <v>1000.8</v>
      </c>
    </row>
    <row r="68" spans="2:11" ht="18" customHeight="1">
      <c r="B68" s="244">
        <v>43327</v>
      </c>
      <c r="C68" s="245" t="s">
        <v>880</v>
      </c>
      <c r="D68" s="245" t="s">
        <v>523</v>
      </c>
      <c r="E68" s="245" t="s">
        <v>672</v>
      </c>
      <c r="F68" s="246">
        <v>45</v>
      </c>
      <c r="G68" s="246">
        <v>4.0199999999999996</v>
      </c>
      <c r="H68" s="246">
        <v>380</v>
      </c>
      <c r="I68" s="246">
        <v>1527.6</v>
      </c>
      <c r="J68" s="245" t="s">
        <v>431</v>
      </c>
      <c r="K68" s="247">
        <v>183.31199999999998</v>
      </c>
    </row>
    <row r="69" spans="2:11" ht="18" customHeight="1">
      <c r="B69" s="244">
        <v>43339</v>
      </c>
      <c r="C69" s="245" t="s">
        <v>881</v>
      </c>
      <c r="D69" s="245" t="s">
        <v>523</v>
      </c>
      <c r="E69" s="245" t="s">
        <v>668</v>
      </c>
      <c r="F69" s="246">
        <v>30</v>
      </c>
      <c r="G69" s="246">
        <v>5.56</v>
      </c>
      <c r="H69" s="246">
        <v>1300</v>
      </c>
      <c r="I69" s="246">
        <v>7228</v>
      </c>
      <c r="J69" s="245" t="s">
        <v>431</v>
      </c>
      <c r="K69" s="247">
        <v>867.36</v>
      </c>
    </row>
    <row r="70" spans="2:11" ht="18" customHeight="1">
      <c r="B70" s="244">
        <v>43339</v>
      </c>
      <c r="C70" s="245" t="s">
        <v>880</v>
      </c>
      <c r="D70" s="245" t="s">
        <v>517</v>
      </c>
      <c r="E70" s="245" t="s">
        <v>674</v>
      </c>
      <c r="F70" s="246">
        <v>45</v>
      </c>
      <c r="G70" s="246">
        <v>2.77</v>
      </c>
      <c r="H70" s="246">
        <v>460</v>
      </c>
      <c r="I70" s="246">
        <v>1274.2</v>
      </c>
      <c r="J70" s="245" t="s">
        <v>431</v>
      </c>
      <c r="K70" s="247">
        <v>152.904</v>
      </c>
    </row>
    <row r="71" spans="2:11" ht="18" customHeight="1">
      <c r="B71" s="244">
        <v>43339</v>
      </c>
      <c r="C71" s="245" t="s">
        <v>882</v>
      </c>
      <c r="D71" s="245" t="s">
        <v>19</v>
      </c>
      <c r="E71" s="245" t="s">
        <v>670</v>
      </c>
      <c r="F71" s="246">
        <v>45</v>
      </c>
      <c r="G71" s="246">
        <v>9.6</v>
      </c>
      <c r="H71" s="246">
        <v>450</v>
      </c>
      <c r="I71" s="246">
        <v>4320</v>
      </c>
      <c r="J71" s="245" t="s">
        <v>431</v>
      </c>
      <c r="K71" s="247">
        <v>518.4</v>
      </c>
    </row>
    <row r="72" spans="2:11" ht="18" customHeight="1">
      <c r="B72" s="244">
        <v>43327</v>
      </c>
      <c r="C72" s="245" t="s">
        <v>880</v>
      </c>
      <c r="D72" s="245" t="s">
        <v>523</v>
      </c>
      <c r="E72" s="245" t="s">
        <v>672</v>
      </c>
      <c r="F72" s="246">
        <v>30</v>
      </c>
      <c r="G72" s="246">
        <v>4.0199999999999996</v>
      </c>
      <c r="H72" s="246">
        <v>560</v>
      </c>
      <c r="I72" s="246">
        <v>2251.1999999999998</v>
      </c>
      <c r="J72" s="245" t="s">
        <v>671</v>
      </c>
      <c r="K72" s="247">
        <v>270.14399999999995</v>
      </c>
    </row>
    <row r="73" spans="2:11" ht="18" customHeight="1">
      <c r="B73" s="244">
        <v>43339</v>
      </c>
      <c r="C73" s="245" t="s">
        <v>881</v>
      </c>
      <c r="D73" s="245" t="s">
        <v>517</v>
      </c>
      <c r="E73" s="245" t="s">
        <v>674</v>
      </c>
      <c r="F73" s="246">
        <v>45</v>
      </c>
      <c r="G73" s="246">
        <v>2.77</v>
      </c>
      <c r="H73" s="246">
        <v>1000</v>
      </c>
      <c r="I73" s="246">
        <v>2770</v>
      </c>
      <c r="J73" s="245" t="s">
        <v>431</v>
      </c>
      <c r="K73" s="247">
        <v>332.4</v>
      </c>
    </row>
    <row r="74" spans="2:11" ht="18" customHeight="1">
      <c r="B74" s="244">
        <v>43339</v>
      </c>
      <c r="C74" s="245" t="s">
        <v>880</v>
      </c>
      <c r="D74" s="245" t="s">
        <v>517</v>
      </c>
      <c r="E74" s="245" t="s">
        <v>670</v>
      </c>
      <c r="F74" s="246">
        <v>45</v>
      </c>
      <c r="G74" s="246">
        <v>9.6</v>
      </c>
      <c r="H74" s="246">
        <v>500</v>
      </c>
      <c r="I74" s="246">
        <v>4800</v>
      </c>
      <c r="J74" s="245" t="s">
        <v>431</v>
      </c>
      <c r="K74" s="247">
        <v>576</v>
      </c>
    </row>
    <row r="75" spans="2:11" ht="18" customHeight="1">
      <c r="B75" s="244">
        <v>43339</v>
      </c>
      <c r="C75" s="245" t="s">
        <v>882</v>
      </c>
      <c r="D75" s="245" t="s">
        <v>19</v>
      </c>
      <c r="E75" s="245" t="s">
        <v>668</v>
      </c>
      <c r="F75" s="246">
        <v>30</v>
      </c>
      <c r="G75" s="246">
        <v>2.77</v>
      </c>
      <c r="H75" s="246">
        <v>450</v>
      </c>
      <c r="I75" s="246">
        <v>1246.5</v>
      </c>
      <c r="J75" s="245" t="s">
        <v>430</v>
      </c>
      <c r="K75" s="247">
        <v>149.58000000000001</v>
      </c>
    </row>
    <row r="76" spans="2:11" ht="18" customHeight="1">
      <c r="B76" s="244">
        <v>43339</v>
      </c>
      <c r="C76" s="245" t="s">
        <v>880</v>
      </c>
      <c r="D76" s="245" t="s">
        <v>517</v>
      </c>
      <c r="E76" s="245" t="s">
        <v>674</v>
      </c>
      <c r="F76" s="246">
        <v>30</v>
      </c>
      <c r="G76" s="246">
        <v>2.77</v>
      </c>
      <c r="H76" s="246">
        <v>650</v>
      </c>
      <c r="I76" s="246">
        <v>1800.5</v>
      </c>
      <c r="J76" s="245" t="s">
        <v>431</v>
      </c>
      <c r="K76" s="247">
        <v>216.06</v>
      </c>
    </row>
    <row r="77" spans="2:11" ht="18" customHeight="1">
      <c r="B77" s="244">
        <v>43339</v>
      </c>
      <c r="C77" s="245" t="s">
        <v>881</v>
      </c>
      <c r="D77" s="245" t="s">
        <v>19</v>
      </c>
      <c r="E77" s="245" t="s">
        <v>673</v>
      </c>
      <c r="F77" s="246">
        <v>45</v>
      </c>
      <c r="G77" s="246">
        <v>5.56</v>
      </c>
      <c r="H77" s="246">
        <v>750</v>
      </c>
      <c r="I77" s="246">
        <v>4170</v>
      </c>
      <c r="J77" s="245" t="s">
        <v>431</v>
      </c>
      <c r="K77" s="247">
        <v>500.4</v>
      </c>
    </row>
    <row r="78" spans="2:11" ht="18" customHeight="1">
      <c r="B78" s="244">
        <v>43327</v>
      </c>
      <c r="C78" s="245" t="s">
        <v>880</v>
      </c>
      <c r="D78" s="245" t="s">
        <v>19</v>
      </c>
      <c r="E78" s="245" t="s">
        <v>674</v>
      </c>
      <c r="F78" s="246">
        <v>30</v>
      </c>
      <c r="G78" s="246">
        <v>2.77</v>
      </c>
      <c r="H78" s="246">
        <v>800</v>
      </c>
      <c r="I78" s="246">
        <v>2216</v>
      </c>
      <c r="J78" s="245" t="s">
        <v>430</v>
      </c>
      <c r="K78" s="247">
        <v>265.92</v>
      </c>
    </row>
    <row r="79" spans="2:11" ht="18" customHeight="1">
      <c r="B79" s="244">
        <v>43327</v>
      </c>
      <c r="C79" s="245" t="s">
        <v>882</v>
      </c>
      <c r="D79" s="245" t="s">
        <v>517</v>
      </c>
      <c r="E79" s="245" t="s">
        <v>670</v>
      </c>
      <c r="F79" s="246">
        <v>45</v>
      </c>
      <c r="G79" s="246">
        <v>9.6</v>
      </c>
      <c r="H79" s="246">
        <v>500</v>
      </c>
      <c r="I79" s="246">
        <v>4800</v>
      </c>
      <c r="J79" s="245" t="s">
        <v>431</v>
      </c>
      <c r="K79" s="247">
        <v>576</v>
      </c>
    </row>
    <row r="80" spans="2:11" ht="18" customHeight="1">
      <c r="B80" s="244">
        <v>43339</v>
      </c>
      <c r="C80" s="245" t="s">
        <v>880</v>
      </c>
      <c r="D80" s="245" t="s">
        <v>517</v>
      </c>
      <c r="E80" s="245" t="s">
        <v>672</v>
      </c>
      <c r="F80" s="246">
        <v>45</v>
      </c>
      <c r="G80" s="246">
        <v>4.0199999999999996</v>
      </c>
      <c r="H80" s="246">
        <v>600</v>
      </c>
      <c r="I80" s="246">
        <v>2412</v>
      </c>
      <c r="J80" s="245" t="s">
        <v>431</v>
      </c>
      <c r="K80" s="247">
        <v>289.44</v>
      </c>
    </row>
    <row r="81" spans="2:11" ht="18" customHeight="1">
      <c r="B81" s="244">
        <v>43339</v>
      </c>
      <c r="C81" s="245" t="s">
        <v>881</v>
      </c>
      <c r="D81" s="245" t="s">
        <v>19</v>
      </c>
      <c r="E81" s="245" t="s">
        <v>674</v>
      </c>
      <c r="F81" s="246">
        <v>60</v>
      </c>
      <c r="G81" s="246">
        <v>2.77</v>
      </c>
      <c r="H81" s="246">
        <v>300</v>
      </c>
      <c r="I81" s="246">
        <v>831</v>
      </c>
      <c r="J81" s="245" t="s">
        <v>431</v>
      </c>
      <c r="K81" s="247">
        <v>99.72</v>
      </c>
    </row>
    <row r="82" spans="2:11" ht="18" customHeight="1">
      <c r="B82" s="244">
        <v>43247</v>
      </c>
      <c r="C82" s="245" t="s">
        <v>880</v>
      </c>
      <c r="D82" s="245" t="s">
        <v>517</v>
      </c>
      <c r="E82" s="245" t="s">
        <v>672</v>
      </c>
      <c r="F82" s="246">
        <v>45</v>
      </c>
      <c r="G82" s="246">
        <v>4.0199999999999996</v>
      </c>
      <c r="H82" s="246">
        <v>600</v>
      </c>
      <c r="I82" s="246">
        <v>2412</v>
      </c>
      <c r="J82" s="245" t="s">
        <v>431</v>
      </c>
      <c r="K82" s="247">
        <v>289.44</v>
      </c>
    </row>
    <row r="83" spans="2:11" ht="18" customHeight="1">
      <c r="B83" s="244">
        <v>43339</v>
      </c>
      <c r="C83" s="245" t="s">
        <v>882</v>
      </c>
      <c r="D83" s="245" t="s">
        <v>19</v>
      </c>
      <c r="E83" s="245" t="s">
        <v>674</v>
      </c>
      <c r="F83" s="246">
        <v>45</v>
      </c>
      <c r="G83" s="246">
        <v>2.77</v>
      </c>
      <c r="H83" s="246">
        <v>1000</v>
      </c>
      <c r="I83" s="246">
        <v>2770</v>
      </c>
      <c r="J83" s="245" t="s">
        <v>431</v>
      </c>
      <c r="K83" s="247">
        <v>332.4</v>
      </c>
    </row>
    <row r="84" spans="2:11" ht="18" customHeight="1">
      <c r="B84" s="244">
        <v>43291</v>
      </c>
      <c r="C84" s="245" t="s">
        <v>880</v>
      </c>
      <c r="D84" s="245" t="s">
        <v>19</v>
      </c>
      <c r="E84" s="245" t="s">
        <v>668</v>
      </c>
      <c r="F84" s="246">
        <v>60</v>
      </c>
      <c r="G84" s="246">
        <v>2.77</v>
      </c>
      <c r="H84" s="246">
        <v>1000</v>
      </c>
      <c r="I84" s="246">
        <v>2770</v>
      </c>
      <c r="J84" s="245" t="s">
        <v>431</v>
      </c>
      <c r="K84" s="247">
        <v>332.4</v>
      </c>
    </row>
    <row r="85" spans="2:11" ht="18" customHeight="1">
      <c r="B85" s="244">
        <v>43245</v>
      </c>
      <c r="C85" s="245" t="s">
        <v>880</v>
      </c>
      <c r="D85" s="245" t="s">
        <v>19</v>
      </c>
      <c r="E85" s="245" t="s">
        <v>664</v>
      </c>
      <c r="F85" s="246">
        <v>45</v>
      </c>
      <c r="G85" s="246">
        <v>7.04</v>
      </c>
      <c r="H85" s="246">
        <v>400</v>
      </c>
      <c r="I85" s="246">
        <v>2816</v>
      </c>
      <c r="J85" s="245" t="s">
        <v>666</v>
      </c>
      <c r="K85" s="247">
        <v>337.92</v>
      </c>
    </row>
    <row r="86" spans="2:11" ht="18" customHeight="1">
      <c r="B86" s="244">
        <v>43327</v>
      </c>
      <c r="C86" s="245" t="s">
        <v>882</v>
      </c>
      <c r="D86" s="245" t="s">
        <v>517</v>
      </c>
      <c r="E86" s="245" t="s">
        <v>675</v>
      </c>
      <c r="F86" s="246">
        <v>60</v>
      </c>
      <c r="G86" s="246">
        <v>5.56</v>
      </c>
      <c r="H86" s="246">
        <v>450</v>
      </c>
      <c r="I86" s="246">
        <v>2502</v>
      </c>
      <c r="J86" s="245" t="s">
        <v>430</v>
      </c>
      <c r="K86" s="247">
        <v>300.24</v>
      </c>
    </row>
    <row r="87" spans="2:11" ht="18" customHeight="1">
      <c r="B87" s="244">
        <v>43276</v>
      </c>
      <c r="C87" s="245" t="s">
        <v>880</v>
      </c>
      <c r="D87" s="245" t="s">
        <v>523</v>
      </c>
      <c r="E87" s="245" t="s">
        <v>661</v>
      </c>
      <c r="F87" s="246">
        <v>60</v>
      </c>
      <c r="G87" s="246">
        <v>2.6</v>
      </c>
      <c r="H87" s="246">
        <v>600</v>
      </c>
      <c r="I87" s="246">
        <v>1560</v>
      </c>
      <c r="J87" s="245" t="s">
        <v>666</v>
      </c>
      <c r="K87" s="247">
        <v>187.2</v>
      </c>
    </row>
    <row r="88" spans="2:11" ht="18" customHeight="1">
      <c r="B88" s="244">
        <v>43276</v>
      </c>
      <c r="C88" s="245" t="s">
        <v>881</v>
      </c>
      <c r="D88" s="245" t="s">
        <v>517</v>
      </c>
      <c r="E88" s="245" t="s">
        <v>661</v>
      </c>
      <c r="F88" s="246">
        <v>45</v>
      </c>
      <c r="G88" s="246">
        <v>2.6</v>
      </c>
      <c r="H88" s="246">
        <v>750</v>
      </c>
      <c r="I88" s="246">
        <v>1950</v>
      </c>
      <c r="J88" s="245" t="s">
        <v>431</v>
      </c>
      <c r="K88" s="247">
        <v>234</v>
      </c>
    </row>
    <row r="89" spans="2:11" ht="18" customHeight="1">
      <c r="B89" s="244">
        <v>43276</v>
      </c>
      <c r="C89" s="245" t="s">
        <v>880</v>
      </c>
      <c r="D89" s="245" t="s">
        <v>517</v>
      </c>
      <c r="E89" s="245" t="s">
        <v>668</v>
      </c>
      <c r="F89" s="246">
        <v>45</v>
      </c>
      <c r="G89" s="246">
        <v>2.77</v>
      </c>
      <c r="H89" s="246">
        <v>180</v>
      </c>
      <c r="I89" s="246">
        <v>498.6</v>
      </c>
      <c r="J89" s="245" t="s">
        <v>430</v>
      </c>
      <c r="K89" s="247">
        <v>59.832000000000001</v>
      </c>
    </row>
    <row r="90" spans="2:11" ht="18" customHeight="1">
      <c r="B90" s="244">
        <v>43276</v>
      </c>
      <c r="C90" s="245" t="s">
        <v>882</v>
      </c>
      <c r="D90" s="245" t="s">
        <v>517</v>
      </c>
      <c r="E90" s="245" t="s">
        <v>675</v>
      </c>
      <c r="F90" s="246">
        <v>60</v>
      </c>
      <c r="G90" s="246">
        <v>2.6</v>
      </c>
      <c r="H90" s="246">
        <v>300</v>
      </c>
      <c r="I90" s="246">
        <v>780</v>
      </c>
      <c r="J90" s="245" t="s">
        <v>431</v>
      </c>
      <c r="K90" s="247">
        <v>93.6</v>
      </c>
    </row>
    <row r="91" spans="2:11" ht="18" customHeight="1">
      <c r="B91" s="244">
        <v>43296</v>
      </c>
      <c r="C91" s="245" t="s">
        <v>880</v>
      </c>
      <c r="D91" s="245" t="s">
        <v>517</v>
      </c>
      <c r="E91" s="245" t="s">
        <v>664</v>
      </c>
      <c r="F91" s="246">
        <v>45</v>
      </c>
      <c r="G91" s="246">
        <v>7.04</v>
      </c>
      <c r="H91" s="246">
        <v>600</v>
      </c>
      <c r="I91" s="246">
        <v>4224</v>
      </c>
      <c r="J91" s="245" t="s">
        <v>431</v>
      </c>
      <c r="K91" s="247">
        <v>506.88</v>
      </c>
    </row>
    <row r="92" spans="2:11" ht="18" customHeight="1">
      <c r="B92" s="244">
        <v>43235</v>
      </c>
      <c r="C92" s="245" t="s">
        <v>880</v>
      </c>
      <c r="D92" s="245" t="s">
        <v>517</v>
      </c>
      <c r="E92" s="245" t="s">
        <v>661</v>
      </c>
      <c r="F92" s="246">
        <v>45</v>
      </c>
      <c r="G92" s="246">
        <v>2.6</v>
      </c>
      <c r="H92" s="246">
        <v>300</v>
      </c>
      <c r="I92" s="246">
        <v>780</v>
      </c>
      <c r="J92" s="245" t="s">
        <v>430</v>
      </c>
      <c r="K92" s="247">
        <v>93.6</v>
      </c>
    </row>
    <row r="93" spans="2:11" ht="18" customHeight="1">
      <c r="B93" s="244">
        <v>43296</v>
      </c>
      <c r="C93" s="245" t="s">
        <v>881</v>
      </c>
      <c r="D93" s="245" t="s">
        <v>523</v>
      </c>
      <c r="E93" s="245" t="s">
        <v>668</v>
      </c>
      <c r="F93" s="246">
        <v>60</v>
      </c>
      <c r="G93" s="246">
        <v>4.0199999999999996</v>
      </c>
      <c r="H93" s="246">
        <v>300</v>
      </c>
      <c r="I93" s="246">
        <v>1206</v>
      </c>
      <c r="J93" s="245" t="s">
        <v>430</v>
      </c>
      <c r="K93" s="247">
        <v>144.72</v>
      </c>
    </row>
    <row r="94" spans="2:11" ht="18" customHeight="1">
      <c r="B94" s="244">
        <v>43296</v>
      </c>
      <c r="C94" s="245" t="s">
        <v>880</v>
      </c>
      <c r="D94" s="245" t="s">
        <v>19</v>
      </c>
      <c r="E94" s="245" t="s">
        <v>664</v>
      </c>
      <c r="F94" s="246">
        <v>45</v>
      </c>
      <c r="G94" s="246">
        <v>7.04</v>
      </c>
      <c r="H94" s="246">
        <v>500</v>
      </c>
      <c r="I94" s="246">
        <v>3520</v>
      </c>
      <c r="J94" s="245" t="s">
        <v>431</v>
      </c>
      <c r="K94" s="247">
        <v>422.4</v>
      </c>
    </row>
    <row r="95" spans="2:11" ht="18" customHeight="1">
      <c r="B95" s="244">
        <v>43296</v>
      </c>
      <c r="C95" s="245" t="s">
        <v>882</v>
      </c>
      <c r="D95" s="245" t="s">
        <v>517</v>
      </c>
      <c r="E95" s="245" t="s">
        <v>672</v>
      </c>
      <c r="F95" s="246">
        <v>45</v>
      </c>
      <c r="G95" s="246">
        <v>4.0199999999999996</v>
      </c>
      <c r="H95" s="246">
        <v>200</v>
      </c>
      <c r="I95" s="246">
        <v>804</v>
      </c>
      <c r="J95" s="245" t="s">
        <v>431</v>
      </c>
      <c r="K95" s="247">
        <v>96.48</v>
      </c>
    </row>
    <row r="96" spans="2:11" ht="18" customHeight="1">
      <c r="B96" s="244">
        <v>43296</v>
      </c>
      <c r="C96" s="245" t="s">
        <v>880</v>
      </c>
      <c r="D96" s="245" t="s">
        <v>523</v>
      </c>
      <c r="E96" s="245" t="s">
        <v>673</v>
      </c>
      <c r="F96" s="246">
        <v>60</v>
      </c>
      <c r="G96" s="246">
        <v>5.56</v>
      </c>
      <c r="H96" s="246">
        <v>100</v>
      </c>
      <c r="I96" s="246">
        <v>556</v>
      </c>
      <c r="J96" s="245" t="s">
        <v>430</v>
      </c>
      <c r="K96" s="247">
        <v>66.72</v>
      </c>
    </row>
    <row r="97" spans="2:11" ht="18" customHeight="1">
      <c r="B97" s="244">
        <v>43245</v>
      </c>
      <c r="C97" s="245" t="s">
        <v>881</v>
      </c>
      <c r="D97" s="245" t="s">
        <v>517</v>
      </c>
      <c r="E97" s="245" t="s">
        <v>668</v>
      </c>
      <c r="F97" s="246">
        <v>45</v>
      </c>
      <c r="G97" s="246">
        <v>4.0199999999999996</v>
      </c>
      <c r="H97" s="246">
        <v>50</v>
      </c>
      <c r="I97" s="246">
        <v>201</v>
      </c>
      <c r="J97" s="245" t="s">
        <v>431</v>
      </c>
      <c r="K97" s="247">
        <v>24.12</v>
      </c>
    </row>
    <row r="98" spans="2:11" ht="18" customHeight="1">
      <c r="B98" s="244">
        <v>43276</v>
      </c>
      <c r="C98" s="245" t="s">
        <v>880</v>
      </c>
      <c r="D98" s="245" t="s">
        <v>19</v>
      </c>
      <c r="E98" s="245" t="s">
        <v>673</v>
      </c>
      <c r="F98" s="246">
        <v>30</v>
      </c>
      <c r="G98" s="246">
        <v>5.56</v>
      </c>
      <c r="H98" s="246">
        <v>200</v>
      </c>
      <c r="I98" s="246">
        <v>1112</v>
      </c>
      <c r="J98" s="245" t="s">
        <v>431</v>
      </c>
      <c r="K98" s="247">
        <v>133.44</v>
      </c>
    </row>
    <row r="99" spans="2:11" ht="18" customHeight="1">
      <c r="B99" s="244">
        <v>43293</v>
      </c>
      <c r="C99" s="245" t="s">
        <v>880</v>
      </c>
      <c r="D99" s="245" t="s">
        <v>517</v>
      </c>
      <c r="E99" s="245" t="s">
        <v>664</v>
      </c>
      <c r="F99" s="246">
        <v>45</v>
      </c>
      <c r="G99" s="246">
        <v>7.04</v>
      </c>
      <c r="H99" s="246">
        <v>1000</v>
      </c>
      <c r="I99" s="246">
        <v>7040</v>
      </c>
      <c r="J99" s="245" t="s">
        <v>666</v>
      </c>
      <c r="K99" s="247">
        <v>844.8</v>
      </c>
    </row>
    <row r="100" spans="2:11" ht="18" customHeight="1">
      <c r="B100" s="244">
        <v>43296</v>
      </c>
      <c r="C100" s="245" t="s">
        <v>882</v>
      </c>
      <c r="D100" s="245" t="s">
        <v>19</v>
      </c>
      <c r="E100" s="245" t="s">
        <v>664</v>
      </c>
      <c r="F100" s="246">
        <v>45</v>
      </c>
      <c r="G100" s="246">
        <v>7.04</v>
      </c>
      <c r="H100" s="246">
        <v>150</v>
      </c>
      <c r="I100" s="246">
        <v>1056</v>
      </c>
      <c r="J100" s="245" t="s">
        <v>666</v>
      </c>
      <c r="K100" s="247">
        <v>126.72</v>
      </c>
    </row>
    <row r="101" spans="2:11" ht="18" customHeight="1">
      <c r="B101" s="244">
        <v>43296</v>
      </c>
      <c r="C101" s="245" t="s">
        <v>880</v>
      </c>
      <c r="D101" s="245" t="s">
        <v>669</v>
      </c>
      <c r="E101" s="245" t="s">
        <v>664</v>
      </c>
      <c r="F101" s="246">
        <v>30</v>
      </c>
      <c r="G101" s="246">
        <v>7.04</v>
      </c>
      <c r="H101" s="246">
        <v>500</v>
      </c>
      <c r="I101" s="246">
        <v>3520</v>
      </c>
      <c r="J101" s="245" t="s">
        <v>666</v>
      </c>
      <c r="K101" s="247">
        <v>422.4</v>
      </c>
    </row>
    <row r="102" spans="2:11" ht="18" customHeight="1">
      <c r="B102" s="244">
        <v>43296</v>
      </c>
      <c r="C102" s="245" t="s">
        <v>881</v>
      </c>
      <c r="D102" s="245" t="s">
        <v>523</v>
      </c>
      <c r="E102" s="245" t="s">
        <v>670</v>
      </c>
      <c r="F102" s="246">
        <v>45</v>
      </c>
      <c r="G102" s="246">
        <v>9.6</v>
      </c>
      <c r="H102" s="246">
        <v>550</v>
      </c>
      <c r="I102" s="246">
        <v>5280</v>
      </c>
      <c r="J102" s="245" t="s">
        <v>671</v>
      </c>
      <c r="K102" s="247">
        <v>633.6</v>
      </c>
    </row>
    <row r="103" spans="2:11" ht="18" customHeight="1">
      <c r="B103" s="244">
        <v>43339</v>
      </c>
      <c r="C103" s="245" t="s">
        <v>880</v>
      </c>
      <c r="D103" s="245" t="s">
        <v>517</v>
      </c>
      <c r="E103" s="245" t="s">
        <v>661</v>
      </c>
      <c r="F103" s="246">
        <v>30</v>
      </c>
      <c r="G103" s="246">
        <v>2.6</v>
      </c>
      <c r="H103" s="246">
        <v>600</v>
      </c>
      <c r="I103" s="246">
        <v>1560</v>
      </c>
      <c r="J103" s="245" t="s">
        <v>431</v>
      </c>
      <c r="K103" s="247">
        <v>187.2</v>
      </c>
    </row>
    <row r="104" spans="2:11" ht="18" customHeight="1">
      <c r="B104" s="244">
        <v>43235</v>
      </c>
      <c r="C104" s="245" t="s">
        <v>882</v>
      </c>
      <c r="D104" s="245" t="s">
        <v>669</v>
      </c>
      <c r="E104" s="245" t="s">
        <v>672</v>
      </c>
      <c r="F104" s="246">
        <v>45</v>
      </c>
      <c r="G104" s="246">
        <v>4.0199999999999996</v>
      </c>
      <c r="H104" s="246">
        <v>100</v>
      </c>
      <c r="I104" s="246">
        <v>402</v>
      </c>
      <c r="J104" s="245" t="s">
        <v>431</v>
      </c>
      <c r="K104" s="247">
        <v>48.24</v>
      </c>
    </row>
    <row r="105" spans="2:11" ht="18" customHeight="1">
      <c r="B105" s="244">
        <v>43327</v>
      </c>
      <c r="C105" s="245" t="s">
        <v>880</v>
      </c>
      <c r="D105" s="245" t="s">
        <v>517</v>
      </c>
      <c r="E105" s="245" t="s">
        <v>661</v>
      </c>
      <c r="F105" s="246">
        <v>45</v>
      </c>
      <c r="G105" s="246">
        <v>2.6</v>
      </c>
      <c r="H105" s="246">
        <v>300</v>
      </c>
      <c r="I105" s="246">
        <v>780</v>
      </c>
      <c r="J105" s="245" t="s">
        <v>430</v>
      </c>
      <c r="K105" s="247">
        <v>93.6</v>
      </c>
    </row>
    <row r="106" spans="2:11" ht="18" customHeight="1">
      <c r="B106" s="244">
        <v>43296</v>
      </c>
      <c r="C106" s="245" t="s">
        <v>881</v>
      </c>
      <c r="D106" s="245" t="s">
        <v>523</v>
      </c>
      <c r="E106" s="245" t="s">
        <v>675</v>
      </c>
      <c r="F106" s="246">
        <v>60</v>
      </c>
      <c r="G106" s="246">
        <v>4.0199999999999996</v>
      </c>
      <c r="H106" s="246">
        <v>300</v>
      </c>
      <c r="I106" s="246">
        <v>1206</v>
      </c>
      <c r="J106" s="245" t="s">
        <v>430</v>
      </c>
      <c r="K106" s="247">
        <v>144.72</v>
      </c>
    </row>
    <row r="107" spans="2:11" ht="18" customHeight="1">
      <c r="B107" s="244">
        <v>43296</v>
      </c>
      <c r="C107" s="245" t="s">
        <v>880</v>
      </c>
      <c r="D107" s="245" t="s">
        <v>19</v>
      </c>
      <c r="E107" s="245" t="s">
        <v>664</v>
      </c>
      <c r="F107" s="246">
        <v>45</v>
      </c>
      <c r="G107" s="246">
        <v>7.04</v>
      </c>
      <c r="H107" s="246">
        <v>500</v>
      </c>
      <c r="I107" s="246">
        <v>3520</v>
      </c>
      <c r="J107" s="245" t="s">
        <v>431</v>
      </c>
      <c r="K107" s="247">
        <v>422.4</v>
      </c>
    </row>
    <row r="108" spans="2:11" ht="18" customHeight="1">
      <c r="B108" s="244">
        <v>43296</v>
      </c>
      <c r="C108" s="245" t="s">
        <v>882</v>
      </c>
      <c r="D108" s="245" t="s">
        <v>517</v>
      </c>
      <c r="E108" s="245" t="s">
        <v>672</v>
      </c>
      <c r="F108" s="246">
        <v>45</v>
      </c>
      <c r="G108" s="246">
        <v>4.0199999999999996</v>
      </c>
      <c r="H108" s="246">
        <v>200</v>
      </c>
      <c r="I108" s="246">
        <v>804</v>
      </c>
      <c r="J108" s="245" t="s">
        <v>431</v>
      </c>
      <c r="K108" s="247">
        <v>96.48</v>
      </c>
    </row>
    <row r="109" spans="2:11" ht="18" customHeight="1">
      <c r="B109" s="244">
        <v>43296</v>
      </c>
      <c r="C109" s="245" t="s">
        <v>880</v>
      </c>
      <c r="D109" s="245" t="s">
        <v>523</v>
      </c>
      <c r="E109" s="245" t="s">
        <v>673</v>
      </c>
      <c r="F109" s="246">
        <v>60</v>
      </c>
      <c r="G109" s="246">
        <v>5.56</v>
      </c>
      <c r="H109" s="246">
        <v>100</v>
      </c>
      <c r="I109" s="246">
        <v>556</v>
      </c>
      <c r="J109" s="245" t="s">
        <v>430</v>
      </c>
      <c r="K109" s="247">
        <v>66.72</v>
      </c>
    </row>
    <row r="110" spans="2:11" ht="18" customHeight="1">
      <c r="B110" s="244">
        <v>43276</v>
      </c>
      <c r="C110" s="245" t="s">
        <v>881</v>
      </c>
      <c r="D110" s="245" t="s">
        <v>517</v>
      </c>
      <c r="E110" s="245" t="s">
        <v>668</v>
      </c>
      <c r="F110" s="246">
        <v>45</v>
      </c>
      <c r="G110" s="246">
        <v>4.0199999999999996</v>
      </c>
      <c r="H110" s="246">
        <v>50</v>
      </c>
      <c r="I110" s="246">
        <v>201</v>
      </c>
      <c r="J110" s="245" t="s">
        <v>431</v>
      </c>
      <c r="K110" s="247">
        <v>24.12</v>
      </c>
    </row>
    <row r="111" spans="2:11" ht="18" customHeight="1">
      <c r="B111" s="244">
        <v>43276</v>
      </c>
      <c r="C111" s="245" t="s">
        <v>880</v>
      </c>
      <c r="D111" s="245" t="s">
        <v>19</v>
      </c>
      <c r="E111" s="245" t="s">
        <v>668</v>
      </c>
      <c r="F111" s="246">
        <v>45</v>
      </c>
      <c r="G111" s="246">
        <v>5.56</v>
      </c>
      <c r="H111" s="246">
        <v>200</v>
      </c>
      <c r="I111" s="246">
        <v>1112</v>
      </c>
      <c r="J111" s="245" t="s">
        <v>431</v>
      </c>
      <c r="K111" s="247">
        <v>133.44</v>
      </c>
    </row>
    <row r="112" spans="2:11" ht="18" customHeight="1">
      <c r="B112" s="244">
        <v>43247</v>
      </c>
      <c r="C112" s="245" t="s">
        <v>882</v>
      </c>
      <c r="D112" s="245" t="s">
        <v>517</v>
      </c>
      <c r="E112" s="245" t="s">
        <v>674</v>
      </c>
      <c r="F112" s="246">
        <v>45</v>
      </c>
      <c r="G112" s="246">
        <v>2.77</v>
      </c>
      <c r="H112" s="246">
        <v>40</v>
      </c>
      <c r="I112" s="246">
        <v>110.8</v>
      </c>
      <c r="J112" s="245" t="s">
        <v>431</v>
      </c>
      <c r="K112" s="247">
        <v>13.295999999999999</v>
      </c>
    </row>
    <row r="113" spans="2:11" ht="18" customHeight="1">
      <c r="B113" s="244">
        <v>43296</v>
      </c>
      <c r="C113" s="245" t="s">
        <v>882</v>
      </c>
      <c r="D113" s="245" t="s">
        <v>669</v>
      </c>
      <c r="E113" s="245" t="s">
        <v>668</v>
      </c>
      <c r="F113" s="246">
        <v>30</v>
      </c>
      <c r="G113" s="246">
        <v>4.0199999999999996</v>
      </c>
      <c r="H113" s="246">
        <v>100</v>
      </c>
      <c r="I113" s="246">
        <v>402</v>
      </c>
      <c r="J113" s="245" t="s">
        <v>431</v>
      </c>
      <c r="K113" s="247">
        <v>48.24</v>
      </c>
    </row>
    <row r="114" spans="2:11" ht="18" customHeight="1">
      <c r="B114" s="244">
        <v>43327</v>
      </c>
      <c r="C114" s="245" t="s">
        <v>880</v>
      </c>
      <c r="D114" s="245" t="s">
        <v>517</v>
      </c>
      <c r="E114" s="245" t="s">
        <v>661</v>
      </c>
      <c r="F114" s="246">
        <v>45</v>
      </c>
      <c r="G114" s="246">
        <v>2.6</v>
      </c>
      <c r="H114" s="246">
        <v>300</v>
      </c>
      <c r="I114" s="246">
        <v>780</v>
      </c>
      <c r="J114" s="245" t="s">
        <v>430</v>
      </c>
      <c r="K114" s="247">
        <v>93.6</v>
      </c>
    </row>
    <row r="115" spans="2:11" ht="18" customHeight="1">
      <c r="B115" s="244">
        <v>43296</v>
      </c>
      <c r="C115" s="245" t="s">
        <v>881</v>
      </c>
      <c r="D115" s="245" t="s">
        <v>523</v>
      </c>
      <c r="E115" s="245" t="s">
        <v>668</v>
      </c>
      <c r="F115" s="246">
        <v>45</v>
      </c>
      <c r="G115" s="246">
        <v>4.0199999999999996</v>
      </c>
      <c r="H115" s="246">
        <v>300</v>
      </c>
      <c r="I115" s="246">
        <v>1206</v>
      </c>
      <c r="J115" s="245" t="s">
        <v>430</v>
      </c>
      <c r="K115" s="247">
        <v>144.72</v>
      </c>
    </row>
    <row r="116" spans="2:11" ht="18" customHeight="1">
      <c r="B116" s="244">
        <v>43235</v>
      </c>
      <c r="C116" s="245" t="s">
        <v>880</v>
      </c>
      <c r="D116" s="245" t="s">
        <v>19</v>
      </c>
      <c r="E116" s="245" t="s">
        <v>664</v>
      </c>
      <c r="F116" s="246">
        <v>60</v>
      </c>
      <c r="G116" s="246">
        <v>7.04</v>
      </c>
      <c r="H116" s="246">
        <v>500</v>
      </c>
      <c r="I116" s="246">
        <v>3520</v>
      </c>
      <c r="J116" s="245" t="s">
        <v>431</v>
      </c>
      <c r="K116" s="247">
        <v>422.4</v>
      </c>
    </row>
    <row r="117" spans="2:11" ht="18" customHeight="1">
      <c r="B117" s="244">
        <v>43235</v>
      </c>
      <c r="C117" s="245" t="s">
        <v>882</v>
      </c>
      <c r="D117" s="245" t="s">
        <v>517</v>
      </c>
      <c r="E117" s="245" t="s">
        <v>672</v>
      </c>
      <c r="F117" s="246">
        <v>45</v>
      </c>
      <c r="G117" s="246">
        <v>4.0199999999999996</v>
      </c>
      <c r="H117" s="246">
        <v>200</v>
      </c>
      <c r="I117" s="246">
        <v>804</v>
      </c>
      <c r="J117" s="245" t="s">
        <v>431</v>
      </c>
      <c r="K117" s="247">
        <v>96.48</v>
      </c>
    </row>
    <row r="118" spans="2:11" ht="18" customHeight="1">
      <c r="B118" s="244">
        <v>43339</v>
      </c>
      <c r="C118" s="245" t="s">
        <v>880</v>
      </c>
      <c r="D118" s="245" t="s">
        <v>517</v>
      </c>
      <c r="E118" s="245" t="s">
        <v>661</v>
      </c>
      <c r="F118" s="246">
        <v>60</v>
      </c>
      <c r="G118" s="246">
        <v>2.6</v>
      </c>
      <c r="H118" s="246">
        <v>600</v>
      </c>
      <c r="I118" s="246">
        <v>1560</v>
      </c>
      <c r="J118" s="245" t="s">
        <v>431</v>
      </c>
      <c r="K118" s="247">
        <v>187.2</v>
      </c>
    </row>
    <row r="119" spans="2:11" ht="18" customHeight="1">
      <c r="B119" s="244">
        <v>43235</v>
      </c>
      <c r="C119" s="245" t="s">
        <v>882</v>
      </c>
      <c r="D119" s="245" t="s">
        <v>669</v>
      </c>
      <c r="E119" s="245" t="s">
        <v>672</v>
      </c>
      <c r="F119" s="246">
        <v>45</v>
      </c>
      <c r="G119" s="246">
        <v>4.0199999999999996</v>
      </c>
      <c r="H119" s="246">
        <v>100</v>
      </c>
      <c r="I119" s="246">
        <v>402</v>
      </c>
      <c r="J119" s="245" t="s">
        <v>431</v>
      </c>
      <c r="K119" s="247">
        <v>48.24</v>
      </c>
    </row>
    <row r="120" spans="2:11" ht="18" customHeight="1" thickBot="1">
      <c r="B120" s="248">
        <v>43327</v>
      </c>
      <c r="C120" s="249" t="s">
        <v>880</v>
      </c>
      <c r="D120" s="249" t="s">
        <v>517</v>
      </c>
      <c r="E120" s="249" t="s">
        <v>661</v>
      </c>
      <c r="F120" s="250">
        <v>45</v>
      </c>
      <c r="G120" s="250">
        <v>2.6</v>
      </c>
      <c r="H120" s="250">
        <v>300</v>
      </c>
      <c r="I120" s="250">
        <v>780</v>
      </c>
      <c r="J120" s="249" t="s">
        <v>430</v>
      </c>
      <c r="K120" s="251">
        <v>93.6</v>
      </c>
    </row>
    <row r="122" spans="2:11" s="252" customFormat="1" ht="18" customHeight="1" thickBot="1"/>
    <row r="123" spans="2:11" ht="18" customHeight="1">
      <c r="B123" s="236" t="s">
        <v>677</v>
      </c>
      <c r="C123" s="253"/>
      <c r="D123" s="253"/>
      <c r="E123" s="253"/>
      <c r="F123" s="253"/>
      <c r="G123" s="253"/>
      <c r="H123" s="253"/>
      <c r="I123" s="253"/>
      <c r="J123" s="253"/>
      <c r="K123" s="254"/>
    </row>
    <row r="124" spans="2:11" ht="18" customHeight="1" thickBot="1">
      <c r="B124" s="255" t="s">
        <v>565</v>
      </c>
      <c r="C124" s="256" t="s">
        <v>678</v>
      </c>
      <c r="D124" s="256" t="s">
        <v>676</v>
      </c>
      <c r="E124" s="256" t="s">
        <v>546</v>
      </c>
      <c r="F124" s="256" t="s">
        <v>679</v>
      </c>
      <c r="G124" s="256" t="s">
        <v>680</v>
      </c>
      <c r="H124" s="256" t="s">
        <v>681</v>
      </c>
      <c r="I124" s="256" t="s">
        <v>682</v>
      </c>
      <c r="J124" s="256" t="s">
        <v>683</v>
      </c>
      <c r="K124" s="257" t="s">
        <v>684</v>
      </c>
    </row>
    <row r="126" spans="2:11" s="258" customFormat="1" ht="18" customHeight="1"/>
    <row r="127" spans="2:11" ht="18" customHeight="1">
      <c r="B127" s="845" t="s">
        <v>685</v>
      </c>
      <c r="C127" s="845"/>
      <c r="D127" s="845"/>
      <c r="E127" s="845"/>
      <c r="F127" s="845"/>
      <c r="G127" s="845"/>
    </row>
    <row r="128" spans="2:11" ht="18" customHeight="1">
      <c r="B128" s="845"/>
      <c r="C128" s="845"/>
      <c r="D128" s="845"/>
      <c r="E128" s="845"/>
      <c r="F128" s="845"/>
      <c r="G128" s="845"/>
    </row>
    <row r="129" spans="2:5" ht="18" customHeight="1" thickBot="1"/>
    <row r="130" spans="2:5" ht="18" customHeight="1">
      <c r="B130" s="236" t="s">
        <v>598</v>
      </c>
      <c r="C130" s="237" t="s">
        <v>0</v>
      </c>
      <c r="D130" s="238" t="s">
        <v>112</v>
      </c>
      <c r="E130" s="259" t="s">
        <v>330</v>
      </c>
    </row>
    <row r="131" spans="2:5" ht="18" customHeight="1">
      <c r="B131" s="240">
        <f ca="1">INT(TODAY() - (100 * RAND()))</f>
        <v>45969</v>
      </c>
      <c r="C131" s="241" t="str">
        <f ca="1">CHOOSE(1 + FLOOR(COLUMNS($B$124:$F$124) * RAND(), 1), $B$124, $C$124, $D$124, $E$124, $F$124)</f>
        <v>Alice</v>
      </c>
      <c r="D131" s="260">
        <f ca="1">INT(200 + (80 * RAND()))</f>
        <v>252</v>
      </c>
      <c r="E131" s="261">
        <f ca="1" xml:space="preserve"> ROUND(40000 + (10000 * RAND()), 2)</f>
        <v>48674.41</v>
      </c>
    </row>
    <row r="132" spans="2:5" ht="18" customHeight="1">
      <c r="B132" s="244">
        <f ca="1">B131 + 1</f>
        <v>45970</v>
      </c>
      <c r="C132" s="245" t="str">
        <f t="shared" ref="C132:C145" ca="1" si="0">CHOOSE(1 + FLOOR(COLUMNS($B$124:$F$124) * RAND(), 1), $B$124, $C$124, $D$124, $E$124, $F$124)</f>
        <v>Carlos</v>
      </c>
      <c r="D132" s="262">
        <f t="shared" ref="D132:D145" ca="1" si="1">INT(200 + (80 * RAND()))</f>
        <v>274</v>
      </c>
      <c r="E132" s="263">
        <f t="shared" ref="E132:E145" ca="1" si="2" xml:space="preserve"> ROUND(40000 + (10000 * RAND()), 2)</f>
        <v>48244.79</v>
      </c>
    </row>
    <row r="133" spans="2:5" ht="18" customHeight="1">
      <c r="B133" s="244">
        <f t="shared" ref="B133:B145" ca="1" si="3">B132 + 1</f>
        <v>45971</v>
      </c>
      <c r="C133" s="245" t="str">
        <f t="shared" ca="1" si="0"/>
        <v>Alice</v>
      </c>
      <c r="D133" s="262">
        <f t="shared" ca="1" si="1"/>
        <v>248</v>
      </c>
      <c r="E133" s="263">
        <f t="shared" ca="1" si="2"/>
        <v>48607.24</v>
      </c>
    </row>
    <row r="134" spans="2:5" ht="18" customHeight="1">
      <c r="B134" s="244">
        <f t="shared" ca="1" si="3"/>
        <v>45972</v>
      </c>
      <c r="C134" s="245" t="str">
        <f t="shared" ca="1" si="0"/>
        <v>David</v>
      </c>
      <c r="D134" s="262">
        <f t="shared" ca="1" si="1"/>
        <v>216</v>
      </c>
      <c r="E134" s="263">
        <f t="shared" ca="1" si="2"/>
        <v>46003.44</v>
      </c>
    </row>
    <row r="135" spans="2:5" ht="18" customHeight="1">
      <c r="B135" s="244">
        <f t="shared" ca="1" si="3"/>
        <v>45973</v>
      </c>
      <c r="C135" s="245" t="str">
        <f t="shared" ca="1" si="0"/>
        <v>Ana</v>
      </c>
      <c r="D135" s="262">
        <f t="shared" ca="1" si="1"/>
        <v>219</v>
      </c>
      <c r="E135" s="263">
        <f t="shared" ca="1" si="2"/>
        <v>41413.03</v>
      </c>
    </row>
    <row r="136" spans="2:5" ht="18" customHeight="1">
      <c r="B136" s="244">
        <f t="shared" ca="1" si="3"/>
        <v>45974</v>
      </c>
      <c r="C136" s="245" t="str">
        <f t="shared" ca="1" si="0"/>
        <v>David</v>
      </c>
      <c r="D136" s="262">
        <f t="shared" ca="1" si="1"/>
        <v>227</v>
      </c>
      <c r="E136" s="263">
        <f t="shared" ca="1" si="2"/>
        <v>40455.75</v>
      </c>
    </row>
    <row r="137" spans="2:5" ht="18" customHeight="1">
      <c r="B137" s="244">
        <f t="shared" ca="1" si="3"/>
        <v>45975</v>
      </c>
      <c r="C137" s="245" t="str">
        <f t="shared" ca="1" si="0"/>
        <v>David</v>
      </c>
      <c r="D137" s="262">
        <f t="shared" ca="1" si="1"/>
        <v>211</v>
      </c>
      <c r="E137" s="263">
        <f t="shared" ca="1" si="2"/>
        <v>44858.46</v>
      </c>
    </row>
    <row r="138" spans="2:5" ht="18" customHeight="1">
      <c r="B138" s="244">
        <f t="shared" ca="1" si="3"/>
        <v>45976</v>
      </c>
      <c r="C138" s="245" t="str">
        <f t="shared" ca="1" si="0"/>
        <v>Carlos</v>
      </c>
      <c r="D138" s="262">
        <f t="shared" ca="1" si="1"/>
        <v>269</v>
      </c>
      <c r="E138" s="263">
        <f t="shared" ca="1" si="2"/>
        <v>44375.58</v>
      </c>
    </row>
    <row r="139" spans="2:5" ht="18" customHeight="1">
      <c r="B139" s="244">
        <f t="shared" ca="1" si="3"/>
        <v>45977</v>
      </c>
      <c r="C139" s="245" t="str">
        <f t="shared" ca="1" si="0"/>
        <v>Alice</v>
      </c>
      <c r="D139" s="262">
        <f t="shared" ca="1" si="1"/>
        <v>230</v>
      </c>
      <c r="E139" s="263">
        <f t="shared" ca="1" si="2"/>
        <v>45591.72</v>
      </c>
    </row>
    <row r="140" spans="2:5" ht="18" customHeight="1">
      <c r="B140" s="244">
        <f t="shared" ca="1" si="3"/>
        <v>45978</v>
      </c>
      <c r="C140" s="245" t="str">
        <f t="shared" ca="1" si="0"/>
        <v>Alice</v>
      </c>
      <c r="D140" s="262">
        <f t="shared" ca="1" si="1"/>
        <v>201</v>
      </c>
      <c r="E140" s="263">
        <f t="shared" ca="1" si="2"/>
        <v>46722.23</v>
      </c>
    </row>
    <row r="141" spans="2:5" ht="18" customHeight="1">
      <c r="B141" s="244">
        <f t="shared" ca="1" si="3"/>
        <v>45979</v>
      </c>
      <c r="C141" s="245" t="str">
        <f t="shared" ca="1" si="0"/>
        <v>Ana</v>
      </c>
      <c r="D141" s="262">
        <f t="shared" ca="1" si="1"/>
        <v>214</v>
      </c>
      <c r="E141" s="263">
        <f t="shared" ca="1" si="2"/>
        <v>49609.32</v>
      </c>
    </row>
    <row r="142" spans="2:5" ht="18" customHeight="1">
      <c r="B142" s="244">
        <f t="shared" ca="1" si="3"/>
        <v>45980</v>
      </c>
      <c r="C142" s="245" t="str">
        <f t="shared" ca="1" si="0"/>
        <v>David</v>
      </c>
      <c r="D142" s="262">
        <f t="shared" ca="1" si="1"/>
        <v>213</v>
      </c>
      <c r="E142" s="263">
        <f t="shared" ca="1" si="2"/>
        <v>49414.41</v>
      </c>
    </row>
    <row r="143" spans="2:5" ht="18" customHeight="1">
      <c r="B143" s="244">
        <f t="shared" ca="1" si="3"/>
        <v>45981</v>
      </c>
      <c r="C143" s="245" t="str">
        <f t="shared" ca="1" si="0"/>
        <v>Carlos</v>
      </c>
      <c r="D143" s="262">
        <f t="shared" ca="1" si="1"/>
        <v>254</v>
      </c>
      <c r="E143" s="263">
        <f t="shared" ca="1" si="2"/>
        <v>46377.18</v>
      </c>
    </row>
    <row r="144" spans="2:5" ht="18" customHeight="1">
      <c r="B144" s="244">
        <f t="shared" ca="1" si="3"/>
        <v>45982</v>
      </c>
      <c r="C144" s="245" t="str">
        <f t="shared" ca="1" si="0"/>
        <v>Alice</v>
      </c>
      <c r="D144" s="262">
        <f t="shared" ca="1" si="1"/>
        <v>222</v>
      </c>
      <c r="E144" s="263">
        <f t="shared" ca="1" si="2"/>
        <v>46548.44</v>
      </c>
    </row>
    <row r="145" spans="2:5" ht="18" customHeight="1" thickBot="1">
      <c r="B145" s="248">
        <f t="shared" ca="1" si="3"/>
        <v>45983</v>
      </c>
      <c r="C145" s="249" t="str">
        <f t="shared" ca="1" si="0"/>
        <v>Carlos</v>
      </c>
      <c r="D145" s="264">
        <f t="shared" ca="1" si="1"/>
        <v>257</v>
      </c>
      <c r="E145" s="265">
        <f t="shared" ca="1" si="2"/>
        <v>41124.620000000003</v>
      </c>
    </row>
  </sheetData>
  <mergeCells count="1">
    <mergeCell ref="B127:G128"/>
  </mergeCells>
  <printOptions gridLines="1"/>
  <pageMargins left="0.23622047244094491" right="0.23622047244094491" top="0.74803149606299213" bottom="0.74803149606299213" header="0.31496062992125984" footer="0.31496062992125984"/>
  <pageSetup paperSize="9" scale="18" orientation="landscape" r:id="rId1"/>
  <headerFooter alignWithMargins="0"/>
  <picture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4621-5C30-4157-B1A8-50B88100E82C}">
  <sheetPr>
    <tabColor rgb="FF0070C0"/>
  </sheetPr>
  <dimension ref="A1:J142"/>
  <sheetViews>
    <sheetView workbookViewId="0">
      <selection activeCell="A2" sqref="A2"/>
    </sheetView>
  </sheetViews>
  <sheetFormatPr defaultRowHeight="18" customHeight="1"/>
  <cols>
    <col min="1" max="10" width="12.140625" style="235" customWidth="1"/>
    <col min="11" max="11" width="3.42578125" style="235" customWidth="1"/>
    <col min="12" max="255" width="9.140625" style="235"/>
    <col min="256" max="256" width="3.42578125" style="235" customWidth="1"/>
    <col min="257" max="266" width="12.140625" style="235" customWidth="1"/>
    <col min="267" max="267" width="3.42578125" style="235" customWidth="1"/>
    <col min="268" max="511" width="9.140625" style="235"/>
    <col min="512" max="512" width="3.42578125" style="235" customWidth="1"/>
    <col min="513" max="522" width="12.140625" style="235" customWidth="1"/>
    <col min="523" max="523" width="3.42578125" style="235" customWidth="1"/>
    <col min="524" max="767" width="9.140625" style="235"/>
    <col min="768" max="768" width="3.42578125" style="235" customWidth="1"/>
    <col min="769" max="778" width="12.140625" style="235" customWidth="1"/>
    <col min="779" max="779" width="3.42578125" style="235" customWidth="1"/>
    <col min="780" max="1023" width="9.140625" style="235"/>
    <col min="1024" max="1024" width="3.42578125" style="235" customWidth="1"/>
    <col min="1025" max="1034" width="12.140625" style="235" customWidth="1"/>
    <col min="1035" max="1035" width="3.42578125" style="235" customWidth="1"/>
    <col min="1036" max="1279" width="9.140625" style="235"/>
    <col min="1280" max="1280" width="3.42578125" style="235" customWidth="1"/>
    <col min="1281" max="1290" width="12.140625" style="235" customWidth="1"/>
    <col min="1291" max="1291" width="3.42578125" style="235" customWidth="1"/>
    <col min="1292" max="1535" width="9.140625" style="235"/>
    <col min="1536" max="1536" width="3.42578125" style="235" customWidth="1"/>
    <col min="1537" max="1546" width="12.140625" style="235" customWidth="1"/>
    <col min="1547" max="1547" width="3.42578125" style="235" customWidth="1"/>
    <col min="1548" max="1791" width="9.140625" style="235"/>
    <col min="1792" max="1792" width="3.42578125" style="235" customWidth="1"/>
    <col min="1793" max="1802" width="12.140625" style="235" customWidth="1"/>
    <col min="1803" max="1803" width="3.42578125" style="235" customWidth="1"/>
    <col min="1804" max="2047" width="9.140625" style="235"/>
    <col min="2048" max="2048" width="3.42578125" style="235" customWidth="1"/>
    <col min="2049" max="2058" width="12.140625" style="235" customWidth="1"/>
    <col min="2059" max="2059" width="3.42578125" style="235" customWidth="1"/>
    <col min="2060" max="2303" width="9.140625" style="235"/>
    <col min="2304" max="2304" width="3.42578125" style="235" customWidth="1"/>
    <col min="2305" max="2314" width="12.140625" style="235" customWidth="1"/>
    <col min="2315" max="2315" width="3.42578125" style="235" customWidth="1"/>
    <col min="2316" max="2559" width="9.140625" style="235"/>
    <col min="2560" max="2560" width="3.42578125" style="235" customWidth="1"/>
    <col min="2561" max="2570" width="12.140625" style="235" customWidth="1"/>
    <col min="2571" max="2571" width="3.42578125" style="235" customWidth="1"/>
    <col min="2572" max="2815" width="9.140625" style="235"/>
    <col min="2816" max="2816" width="3.42578125" style="235" customWidth="1"/>
    <col min="2817" max="2826" width="12.140625" style="235" customWidth="1"/>
    <col min="2827" max="2827" width="3.42578125" style="235" customWidth="1"/>
    <col min="2828" max="3071" width="9.140625" style="235"/>
    <col min="3072" max="3072" width="3.42578125" style="235" customWidth="1"/>
    <col min="3073" max="3082" width="12.140625" style="235" customWidth="1"/>
    <col min="3083" max="3083" width="3.42578125" style="235" customWidth="1"/>
    <col min="3084" max="3327" width="9.140625" style="235"/>
    <col min="3328" max="3328" width="3.42578125" style="235" customWidth="1"/>
    <col min="3329" max="3338" width="12.140625" style="235" customWidth="1"/>
    <col min="3339" max="3339" width="3.42578125" style="235" customWidth="1"/>
    <col min="3340" max="3583" width="9.140625" style="235"/>
    <col min="3584" max="3584" width="3.42578125" style="235" customWidth="1"/>
    <col min="3585" max="3594" width="12.140625" style="235" customWidth="1"/>
    <col min="3595" max="3595" width="3.42578125" style="235" customWidth="1"/>
    <col min="3596" max="3839" width="9.140625" style="235"/>
    <col min="3840" max="3840" width="3.42578125" style="235" customWidth="1"/>
    <col min="3841" max="3850" width="12.140625" style="235" customWidth="1"/>
    <col min="3851" max="3851" width="3.42578125" style="235" customWidth="1"/>
    <col min="3852" max="4095" width="9.140625" style="235"/>
    <col min="4096" max="4096" width="3.42578125" style="235" customWidth="1"/>
    <col min="4097" max="4106" width="12.140625" style="235" customWidth="1"/>
    <col min="4107" max="4107" width="3.42578125" style="235" customWidth="1"/>
    <col min="4108" max="4351" width="9.140625" style="235"/>
    <col min="4352" max="4352" width="3.42578125" style="235" customWidth="1"/>
    <col min="4353" max="4362" width="12.140625" style="235" customWidth="1"/>
    <col min="4363" max="4363" width="3.42578125" style="235" customWidth="1"/>
    <col min="4364" max="4607" width="9.140625" style="235"/>
    <col min="4608" max="4608" width="3.42578125" style="235" customWidth="1"/>
    <col min="4609" max="4618" width="12.140625" style="235" customWidth="1"/>
    <col min="4619" max="4619" width="3.42578125" style="235" customWidth="1"/>
    <col min="4620" max="4863" width="9.140625" style="235"/>
    <col min="4864" max="4864" width="3.42578125" style="235" customWidth="1"/>
    <col min="4865" max="4874" width="12.140625" style="235" customWidth="1"/>
    <col min="4875" max="4875" width="3.42578125" style="235" customWidth="1"/>
    <col min="4876" max="5119" width="9.140625" style="235"/>
    <col min="5120" max="5120" width="3.42578125" style="235" customWidth="1"/>
    <col min="5121" max="5130" width="12.140625" style="235" customWidth="1"/>
    <col min="5131" max="5131" width="3.42578125" style="235" customWidth="1"/>
    <col min="5132" max="5375" width="9.140625" style="235"/>
    <col min="5376" max="5376" width="3.42578125" style="235" customWidth="1"/>
    <col min="5377" max="5386" width="12.140625" style="235" customWidth="1"/>
    <col min="5387" max="5387" width="3.42578125" style="235" customWidth="1"/>
    <col min="5388" max="5631" width="9.140625" style="235"/>
    <col min="5632" max="5632" width="3.42578125" style="235" customWidth="1"/>
    <col min="5633" max="5642" width="12.140625" style="235" customWidth="1"/>
    <col min="5643" max="5643" width="3.42578125" style="235" customWidth="1"/>
    <col min="5644" max="5887" width="9.140625" style="235"/>
    <col min="5888" max="5888" width="3.42578125" style="235" customWidth="1"/>
    <col min="5889" max="5898" width="12.140625" style="235" customWidth="1"/>
    <col min="5899" max="5899" width="3.42578125" style="235" customWidth="1"/>
    <col min="5900" max="6143" width="9.140625" style="235"/>
    <col min="6144" max="6144" width="3.42578125" style="235" customWidth="1"/>
    <col min="6145" max="6154" width="12.140625" style="235" customWidth="1"/>
    <col min="6155" max="6155" width="3.42578125" style="235" customWidth="1"/>
    <col min="6156" max="6399" width="9.140625" style="235"/>
    <col min="6400" max="6400" width="3.42578125" style="235" customWidth="1"/>
    <col min="6401" max="6410" width="12.140625" style="235" customWidth="1"/>
    <col min="6411" max="6411" width="3.42578125" style="235" customWidth="1"/>
    <col min="6412" max="6655" width="9.140625" style="235"/>
    <col min="6656" max="6656" width="3.42578125" style="235" customWidth="1"/>
    <col min="6657" max="6666" width="12.140625" style="235" customWidth="1"/>
    <col min="6667" max="6667" width="3.42578125" style="235" customWidth="1"/>
    <col min="6668" max="6911" width="9.140625" style="235"/>
    <col min="6912" max="6912" width="3.42578125" style="235" customWidth="1"/>
    <col min="6913" max="6922" width="12.140625" style="235" customWidth="1"/>
    <col min="6923" max="6923" width="3.42578125" style="235" customWidth="1"/>
    <col min="6924" max="7167" width="9.140625" style="235"/>
    <col min="7168" max="7168" width="3.42578125" style="235" customWidth="1"/>
    <col min="7169" max="7178" width="12.140625" style="235" customWidth="1"/>
    <col min="7179" max="7179" width="3.42578125" style="235" customWidth="1"/>
    <col min="7180" max="7423" width="9.140625" style="235"/>
    <col min="7424" max="7424" width="3.42578125" style="235" customWidth="1"/>
    <col min="7425" max="7434" width="12.140625" style="235" customWidth="1"/>
    <col min="7435" max="7435" width="3.42578125" style="235" customWidth="1"/>
    <col min="7436" max="7679" width="9.140625" style="235"/>
    <col min="7680" max="7680" width="3.42578125" style="235" customWidth="1"/>
    <col min="7681" max="7690" width="12.140625" style="235" customWidth="1"/>
    <col min="7691" max="7691" width="3.42578125" style="235" customWidth="1"/>
    <col min="7692" max="7935" width="9.140625" style="235"/>
    <col min="7936" max="7936" width="3.42578125" style="235" customWidth="1"/>
    <col min="7937" max="7946" width="12.140625" style="235" customWidth="1"/>
    <col min="7947" max="7947" width="3.42578125" style="235" customWidth="1"/>
    <col min="7948" max="8191" width="9.140625" style="235"/>
    <col min="8192" max="8192" width="3.42578125" style="235" customWidth="1"/>
    <col min="8193" max="8202" width="12.140625" style="235" customWidth="1"/>
    <col min="8203" max="8203" width="3.42578125" style="235" customWidth="1"/>
    <col min="8204" max="8447" width="9.140625" style="235"/>
    <col min="8448" max="8448" width="3.42578125" style="235" customWidth="1"/>
    <col min="8449" max="8458" width="12.140625" style="235" customWidth="1"/>
    <col min="8459" max="8459" width="3.42578125" style="235" customWidth="1"/>
    <col min="8460" max="8703" width="9.140625" style="235"/>
    <col min="8704" max="8704" width="3.42578125" style="235" customWidth="1"/>
    <col min="8705" max="8714" width="12.140625" style="235" customWidth="1"/>
    <col min="8715" max="8715" width="3.42578125" style="235" customWidth="1"/>
    <col min="8716" max="8959" width="9.140625" style="235"/>
    <col min="8960" max="8960" width="3.42578125" style="235" customWidth="1"/>
    <col min="8961" max="8970" width="12.140625" style="235" customWidth="1"/>
    <col min="8971" max="8971" width="3.42578125" style="235" customWidth="1"/>
    <col min="8972" max="9215" width="9.140625" style="235"/>
    <col min="9216" max="9216" width="3.42578125" style="235" customWidth="1"/>
    <col min="9217" max="9226" width="12.140625" style="235" customWidth="1"/>
    <col min="9227" max="9227" width="3.42578125" style="235" customWidth="1"/>
    <col min="9228" max="9471" width="9.140625" style="235"/>
    <col min="9472" max="9472" width="3.42578125" style="235" customWidth="1"/>
    <col min="9473" max="9482" width="12.140625" style="235" customWidth="1"/>
    <col min="9483" max="9483" width="3.42578125" style="235" customWidth="1"/>
    <col min="9484" max="9727" width="9.140625" style="235"/>
    <col min="9728" max="9728" width="3.42578125" style="235" customWidth="1"/>
    <col min="9729" max="9738" width="12.140625" style="235" customWidth="1"/>
    <col min="9739" max="9739" width="3.42578125" style="235" customWidth="1"/>
    <col min="9740" max="9983" width="9.140625" style="235"/>
    <col min="9984" max="9984" width="3.42578125" style="235" customWidth="1"/>
    <col min="9985" max="9994" width="12.140625" style="235" customWidth="1"/>
    <col min="9995" max="9995" width="3.42578125" style="235" customWidth="1"/>
    <col min="9996" max="10239" width="9.140625" style="235"/>
    <col min="10240" max="10240" width="3.42578125" style="235" customWidth="1"/>
    <col min="10241" max="10250" width="12.140625" style="235" customWidth="1"/>
    <col min="10251" max="10251" width="3.42578125" style="235" customWidth="1"/>
    <col min="10252" max="10495" width="9.140625" style="235"/>
    <col min="10496" max="10496" width="3.42578125" style="235" customWidth="1"/>
    <col min="10497" max="10506" width="12.140625" style="235" customWidth="1"/>
    <col min="10507" max="10507" width="3.42578125" style="235" customWidth="1"/>
    <col min="10508" max="10751" width="9.140625" style="235"/>
    <col min="10752" max="10752" width="3.42578125" style="235" customWidth="1"/>
    <col min="10753" max="10762" width="12.140625" style="235" customWidth="1"/>
    <col min="10763" max="10763" width="3.42578125" style="235" customWidth="1"/>
    <col min="10764" max="11007" width="9.140625" style="235"/>
    <col min="11008" max="11008" width="3.42578125" style="235" customWidth="1"/>
    <col min="11009" max="11018" width="12.140625" style="235" customWidth="1"/>
    <col min="11019" max="11019" width="3.42578125" style="235" customWidth="1"/>
    <col min="11020" max="11263" width="9.140625" style="235"/>
    <col min="11264" max="11264" width="3.42578125" style="235" customWidth="1"/>
    <col min="11265" max="11274" width="12.140625" style="235" customWidth="1"/>
    <col min="11275" max="11275" width="3.42578125" style="235" customWidth="1"/>
    <col min="11276" max="11519" width="9.140625" style="235"/>
    <col min="11520" max="11520" width="3.42578125" style="235" customWidth="1"/>
    <col min="11521" max="11530" width="12.140625" style="235" customWidth="1"/>
    <col min="11531" max="11531" width="3.42578125" style="235" customWidth="1"/>
    <col min="11532" max="11775" width="9.140625" style="235"/>
    <col min="11776" max="11776" width="3.42578125" style="235" customWidth="1"/>
    <col min="11777" max="11786" width="12.140625" style="235" customWidth="1"/>
    <col min="11787" max="11787" width="3.42578125" style="235" customWidth="1"/>
    <col min="11788" max="12031" width="9.140625" style="235"/>
    <col min="12032" max="12032" width="3.42578125" style="235" customWidth="1"/>
    <col min="12033" max="12042" width="12.140625" style="235" customWidth="1"/>
    <col min="12043" max="12043" width="3.42578125" style="235" customWidth="1"/>
    <col min="12044" max="12287" width="9.140625" style="235"/>
    <col min="12288" max="12288" width="3.42578125" style="235" customWidth="1"/>
    <col min="12289" max="12298" width="12.140625" style="235" customWidth="1"/>
    <col min="12299" max="12299" width="3.42578125" style="235" customWidth="1"/>
    <col min="12300" max="12543" width="9.140625" style="235"/>
    <col min="12544" max="12544" width="3.42578125" style="235" customWidth="1"/>
    <col min="12545" max="12554" width="12.140625" style="235" customWidth="1"/>
    <col min="12555" max="12555" width="3.42578125" style="235" customWidth="1"/>
    <col min="12556" max="12799" width="9.140625" style="235"/>
    <col min="12800" max="12800" width="3.42578125" style="235" customWidth="1"/>
    <col min="12801" max="12810" width="12.140625" style="235" customWidth="1"/>
    <col min="12811" max="12811" width="3.42578125" style="235" customWidth="1"/>
    <col min="12812" max="13055" width="9.140625" style="235"/>
    <col min="13056" max="13056" width="3.42578125" style="235" customWidth="1"/>
    <col min="13057" max="13066" width="12.140625" style="235" customWidth="1"/>
    <col min="13067" max="13067" width="3.42578125" style="235" customWidth="1"/>
    <col min="13068" max="13311" width="9.140625" style="235"/>
    <col min="13312" max="13312" width="3.42578125" style="235" customWidth="1"/>
    <col min="13313" max="13322" width="12.140625" style="235" customWidth="1"/>
    <col min="13323" max="13323" width="3.42578125" style="235" customWidth="1"/>
    <col min="13324" max="13567" width="9.140625" style="235"/>
    <col min="13568" max="13568" width="3.42578125" style="235" customWidth="1"/>
    <col min="13569" max="13578" width="12.140625" style="235" customWidth="1"/>
    <col min="13579" max="13579" width="3.42578125" style="235" customWidth="1"/>
    <col min="13580" max="13823" width="9.140625" style="235"/>
    <col min="13824" max="13824" width="3.42578125" style="235" customWidth="1"/>
    <col min="13825" max="13834" width="12.140625" style="235" customWidth="1"/>
    <col min="13835" max="13835" width="3.42578125" style="235" customWidth="1"/>
    <col min="13836" max="14079" width="9.140625" style="235"/>
    <col min="14080" max="14080" width="3.42578125" style="235" customWidth="1"/>
    <col min="14081" max="14090" width="12.140625" style="235" customWidth="1"/>
    <col min="14091" max="14091" width="3.42578125" style="235" customWidth="1"/>
    <col min="14092" max="14335" width="9.140625" style="235"/>
    <col min="14336" max="14336" width="3.42578125" style="235" customWidth="1"/>
    <col min="14337" max="14346" width="12.140625" style="235" customWidth="1"/>
    <col min="14347" max="14347" width="3.42578125" style="235" customWidth="1"/>
    <col min="14348" max="14591" width="9.140625" style="235"/>
    <col min="14592" max="14592" width="3.42578125" style="235" customWidth="1"/>
    <col min="14593" max="14602" width="12.140625" style="235" customWidth="1"/>
    <col min="14603" max="14603" width="3.42578125" style="235" customWidth="1"/>
    <col min="14604" max="14847" width="9.140625" style="235"/>
    <col min="14848" max="14848" width="3.42578125" style="235" customWidth="1"/>
    <col min="14849" max="14858" width="12.140625" style="235" customWidth="1"/>
    <col min="14859" max="14859" width="3.42578125" style="235" customWidth="1"/>
    <col min="14860" max="15103" width="9.140625" style="235"/>
    <col min="15104" max="15104" width="3.42578125" style="235" customWidth="1"/>
    <col min="15105" max="15114" width="12.140625" style="235" customWidth="1"/>
    <col min="15115" max="15115" width="3.42578125" style="235" customWidth="1"/>
    <col min="15116" max="15359" width="9.140625" style="235"/>
    <col min="15360" max="15360" width="3.42578125" style="235" customWidth="1"/>
    <col min="15361" max="15370" width="12.140625" style="235" customWidth="1"/>
    <col min="15371" max="15371" width="3.42578125" style="235" customWidth="1"/>
    <col min="15372" max="15615" width="9.140625" style="235"/>
    <col min="15616" max="15616" width="3.42578125" style="235" customWidth="1"/>
    <col min="15617" max="15626" width="12.140625" style="235" customWidth="1"/>
    <col min="15627" max="15627" width="3.42578125" style="235" customWidth="1"/>
    <col min="15628" max="15871" width="9.140625" style="235"/>
    <col min="15872" max="15872" width="3.42578125" style="235" customWidth="1"/>
    <col min="15873" max="15882" width="12.140625" style="235" customWidth="1"/>
    <col min="15883" max="15883" width="3.42578125" style="235" customWidth="1"/>
    <col min="15884" max="16127" width="9.140625" style="235"/>
    <col min="16128" max="16128" width="3.42578125" style="235" customWidth="1"/>
    <col min="16129" max="16138" width="12.140625" style="235" customWidth="1"/>
    <col min="16139" max="16139" width="3.42578125" style="235" customWidth="1"/>
    <col min="16140" max="16384" width="9.140625" style="235"/>
  </cols>
  <sheetData>
    <row r="1" spans="1:10" ht="18" customHeight="1" thickBot="1"/>
    <row r="2" spans="1:10" ht="18" customHeight="1">
      <c r="A2" s="236" t="s">
        <v>654</v>
      </c>
      <c r="B2" s="237" t="s">
        <v>445</v>
      </c>
      <c r="C2" s="237" t="s">
        <v>1</v>
      </c>
      <c r="D2" s="237" t="s">
        <v>111</v>
      </c>
      <c r="E2" s="238" t="s">
        <v>655</v>
      </c>
      <c r="F2" s="238" t="s">
        <v>656</v>
      </c>
      <c r="G2" s="238" t="s">
        <v>657</v>
      </c>
      <c r="H2" s="238" t="s">
        <v>658</v>
      </c>
      <c r="I2" s="237" t="s">
        <v>99</v>
      </c>
      <c r="J2" s="239" t="s">
        <v>659</v>
      </c>
    </row>
    <row r="3" spans="1:10" ht="18" customHeight="1">
      <c r="A3" s="240">
        <v>43230</v>
      </c>
      <c r="B3" s="241" t="s">
        <v>881</v>
      </c>
      <c r="C3" s="241" t="s">
        <v>669</v>
      </c>
      <c r="D3" s="241" t="s">
        <v>675</v>
      </c>
      <c r="E3" s="242">
        <v>45</v>
      </c>
      <c r="F3" s="242">
        <v>9.6</v>
      </c>
      <c r="G3" s="242">
        <v>500</v>
      </c>
      <c r="H3" s="242">
        <v>4800</v>
      </c>
      <c r="I3" s="241" t="s">
        <v>666</v>
      </c>
      <c r="J3" s="243">
        <v>576</v>
      </c>
    </row>
    <row r="4" spans="1:10" ht="18" customHeight="1">
      <c r="A4" s="244">
        <v>43235</v>
      </c>
      <c r="B4" s="245" t="s">
        <v>880</v>
      </c>
      <c r="C4" s="245" t="s">
        <v>19</v>
      </c>
      <c r="D4" s="245" t="s">
        <v>664</v>
      </c>
      <c r="E4" s="246">
        <v>45</v>
      </c>
      <c r="F4" s="246">
        <v>7.04</v>
      </c>
      <c r="G4" s="246">
        <v>500</v>
      </c>
      <c r="H4" s="246">
        <v>3520</v>
      </c>
      <c r="I4" s="245" t="s">
        <v>431</v>
      </c>
      <c r="J4" s="247">
        <v>422.4</v>
      </c>
    </row>
    <row r="5" spans="1:10" ht="18" customHeight="1">
      <c r="A5" s="244">
        <v>43235</v>
      </c>
      <c r="B5" s="245" t="s">
        <v>882</v>
      </c>
      <c r="C5" s="245" t="s">
        <v>517</v>
      </c>
      <c r="D5" s="245" t="s">
        <v>672</v>
      </c>
      <c r="E5" s="246">
        <v>45</v>
      </c>
      <c r="F5" s="246">
        <v>4.0199999999999996</v>
      </c>
      <c r="G5" s="246">
        <v>200</v>
      </c>
      <c r="H5" s="246">
        <v>804</v>
      </c>
      <c r="I5" s="245" t="s">
        <v>431</v>
      </c>
      <c r="J5" s="247">
        <v>96.48</v>
      </c>
    </row>
    <row r="6" spans="1:10" ht="18" customHeight="1">
      <c r="A6" s="244">
        <v>43235</v>
      </c>
      <c r="B6" s="245" t="s">
        <v>880</v>
      </c>
      <c r="C6" s="245" t="s">
        <v>517</v>
      </c>
      <c r="D6" s="245" t="s">
        <v>672</v>
      </c>
      <c r="E6" s="246">
        <v>30</v>
      </c>
      <c r="F6" s="246">
        <v>4.0199999999999996</v>
      </c>
      <c r="G6" s="246">
        <v>100</v>
      </c>
      <c r="H6" s="246">
        <v>402</v>
      </c>
      <c r="I6" s="245" t="s">
        <v>431</v>
      </c>
      <c r="J6" s="247">
        <v>48.24</v>
      </c>
    </row>
    <row r="7" spans="1:10" ht="18" customHeight="1">
      <c r="A7" s="244">
        <v>43235</v>
      </c>
      <c r="B7" s="245" t="s">
        <v>880</v>
      </c>
      <c r="C7" s="245" t="s">
        <v>517</v>
      </c>
      <c r="D7" s="245" t="s">
        <v>661</v>
      </c>
      <c r="E7" s="246">
        <v>45</v>
      </c>
      <c r="F7" s="246">
        <v>2.6</v>
      </c>
      <c r="G7" s="246">
        <v>300</v>
      </c>
      <c r="H7" s="246">
        <v>780</v>
      </c>
      <c r="I7" s="245" t="s">
        <v>430</v>
      </c>
      <c r="J7" s="247">
        <v>93.6</v>
      </c>
    </row>
    <row r="8" spans="1:10" ht="18" customHeight="1">
      <c r="A8" s="244">
        <v>43235</v>
      </c>
      <c r="B8" s="245" t="s">
        <v>882</v>
      </c>
      <c r="C8" s="245" t="s">
        <v>669</v>
      </c>
      <c r="D8" s="245" t="s">
        <v>672</v>
      </c>
      <c r="E8" s="246">
        <v>45</v>
      </c>
      <c r="F8" s="246">
        <v>4.0199999999999996</v>
      </c>
      <c r="G8" s="246">
        <v>100</v>
      </c>
      <c r="H8" s="246">
        <v>402</v>
      </c>
      <c r="I8" s="245" t="s">
        <v>431</v>
      </c>
      <c r="J8" s="247">
        <v>48.24</v>
      </c>
    </row>
    <row r="9" spans="1:10" ht="18" customHeight="1">
      <c r="A9" s="244">
        <v>43235</v>
      </c>
      <c r="B9" s="245" t="s">
        <v>880</v>
      </c>
      <c r="C9" s="245" t="s">
        <v>19</v>
      </c>
      <c r="D9" s="245" t="s">
        <v>664</v>
      </c>
      <c r="E9" s="246">
        <v>60</v>
      </c>
      <c r="F9" s="246">
        <v>7.04</v>
      </c>
      <c r="G9" s="246">
        <v>500</v>
      </c>
      <c r="H9" s="246">
        <v>3520</v>
      </c>
      <c r="I9" s="245" t="s">
        <v>431</v>
      </c>
      <c r="J9" s="247">
        <v>422.4</v>
      </c>
    </row>
    <row r="10" spans="1:10" ht="18" customHeight="1">
      <c r="A10" s="244">
        <v>43235</v>
      </c>
      <c r="B10" s="245" t="s">
        <v>882</v>
      </c>
      <c r="C10" s="245" t="s">
        <v>517</v>
      </c>
      <c r="D10" s="245" t="s">
        <v>672</v>
      </c>
      <c r="E10" s="246">
        <v>45</v>
      </c>
      <c r="F10" s="246">
        <v>4.0199999999999996</v>
      </c>
      <c r="G10" s="246">
        <v>200</v>
      </c>
      <c r="H10" s="246">
        <v>804</v>
      </c>
      <c r="I10" s="245" t="s">
        <v>431</v>
      </c>
      <c r="J10" s="247">
        <v>96.48</v>
      </c>
    </row>
    <row r="11" spans="1:10" ht="18" customHeight="1">
      <c r="A11" s="244">
        <v>43235</v>
      </c>
      <c r="B11" s="245" t="s">
        <v>882</v>
      </c>
      <c r="C11" s="245" t="s">
        <v>669</v>
      </c>
      <c r="D11" s="245" t="s">
        <v>672</v>
      </c>
      <c r="E11" s="246">
        <v>45</v>
      </c>
      <c r="F11" s="246">
        <v>4.0199999999999996</v>
      </c>
      <c r="G11" s="246">
        <v>100</v>
      </c>
      <c r="H11" s="246">
        <v>402</v>
      </c>
      <c r="I11" s="245" t="s">
        <v>431</v>
      </c>
      <c r="J11" s="247">
        <v>48.24</v>
      </c>
    </row>
    <row r="12" spans="1:10" ht="18" customHeight="1">
      <c r="A12" s="244">
        <v>43245</v>
      </c>
      <c r="B12" s="245" t="s">
        <v>880</v>
      </c>
      <c r="C12" s="245" t="s">
        <v>19</v>
      </c>
      <c r="D12" s="245" t="s">
        <v>664</v>
      </c>
      <c r="E12" s="246">
        <v>45</v>
      </c>
      <c r="F12" s="246">
        <v>7.04</v>
      </c>
      <c r="G12" s="246">
        <v>400</v>
      </c>
      <c r="H12" s="246">
        <v>2816</v>
      </c>
      <c r="I12" s="245" t="s">
        <v>666</v>
      </c>
      <c r="J12" s="247">
        <v>337.92</v>
      </c>
    </row>
    <row r="13" spans="1:10" ht="18" customHeight="1">
      <c r="A13" s="244">
        <v>43245</v>
      </c>
      <c r="B13" s="245" t="s">
        <v>880</v>
      </c>
      <c r="C13" s="245" t="s">
        <v>19</v>
      </c>
      <c r="D13" s="245" t="s">
        <v>664</v>
      </c>
      <c r="E13" s="246">
        <v>45</v>
      </c>
      <c r="F13" s="246">
        <v>7.04</v>
      </c>
      <c r="G13" s="246">
        <v>400</v>
      </c>
      <c r="H13" s="246">
        <v>2816</v>
      </c>
      <c r="I13" s="245" t="s">
        <v>666</v>
      </c>
      <c r="J13" s="247">
        <v>337.92</v>
      </c>
    </row>
    <row r="14" spans="1:10" ht="18" customHeight="1">
      <c r="A14" s="244">
        <v>43245</v>
      </c>
      <c r="B14" s="245" t="s">
        <v>881</v>
      </c>
      <c r="C14" s="245" t="s">
        <v>517</v>
      </c>
      <c r="D14" s="245" t="s">
        <v>668</v>
      </c>
      <c r="E14" s="246">
        <v>45</v>
      </c>
      <c r="F14" s="246">
        <v>4.0199999999999996</v>
      </c>
      <c r="G14" s="246">
        <v>50</v>
      </c>
      <c r="H14" s="246">
        <v>201</v>
      </c>
      <c r="I14" s="245" t="s">
        <v>431</v>
      </c>
      <c r="J14" s="247">
        <v>24.12</v>
      </c>
    </row>
    <row r="15" spans="1:10" ht="18" customHeight="1">
      <c r="A15" s="244">
        <v>43247</v>
      </c>
      <c r="B15" s="245" t="s">
        <v>882</v>
      </c>
      <c r="C15" s="245" t="s">
        <v>19</v>
      </c>
      <c r="D15" s="245" t="s">
        <v>668</v>
      </c>
      <c r="E15" s="246">
        <v>45</v>
      </c>
      <c r="F15" s="246">
        <v>2.77</v>
      </c>
      <c r="G15" s="246">
        <v>1000</v>
      </c>
      <c r="H15" s="246">
        <v>2770</v>
      </c>
      <c r="I15" s="245" t="s">
        <v>431</v>
      </c>
      <c r="J15" s="247">
        <v>332.4</v>
      </c>
    </row>
    <row r="16" spans="1:10" ht="18" customHeight="1">
      <c r="A16" s="244">
        <v>43247</v>
      </c>
      <c r="B16" s="245" t="s">
        <v>882</v>
      </c>
      <c r="C16" s="245" t="s">
        <v>517</v>
      </c>
      <c r="D16" s="245" t="s">
        <v>673</v>
      </c>
      <c r="E16" s="246">
        <v>45</v>
      </c>
      <c r="F16" s="246">
        <v>5.56</v>
      </c>
      <c r="G16" s="246">
        <v>1500</v>
      </c>
      <c r="H16" s="246">
        <v>8340</v>
      </c>
      <c r="I16" s="245" t="s">
        <v>431</v>
      </c>
      <c r="J16" s="247">
        <v>1000.8</v>
      </c>
    </row>
    <row r="17" spans="1:10" ht="18" customHeight="1">
      <c r="A17" s="244">
        <v>43247</v>
      </c>
      <c r="B17" s="245" t="s">
        <v>880</v>
      </c>
      <c r="C17" s="245" t="s">
        <v>517</v>
      </c>
      <c r="D17" s="245" t="s">
        <v>672</v>
      </c>
      <c r="E17" s="246">
        <v>45</v>
      </c>
      <c r="F17" s="246">
        <v>4.0199999999999996</v>
      </c>
      <c r="G17" s="246">
        <v>600</v>
      </c>
      <c r="H17" s="246">
        <v>2412</v>
      </c>
      <c r="I17" s="245" t="s">
        <v>431</v>
      </c>
      <c r="J17" s="247">
        <v>289.44</v>
      </c>
    </row>
    <row r="18" spans="1:10" ht="18" customHeight="1">
      <c r="A18" s="244">
        <v>43247</v>
      </c>
      <c r="B18" s="245" t="s">
        <v>882</v>
      </c>
      <c r="C18" s="245" t="s">
        <v>517</v>
      </c>
      <c r="D18" s="245" t="s">
        <v>674</v>
      </c>
      <c r="E18" s="246">
        <v>45</v>
      </c>
      <c r="F18" s="246">
        <v>2.77</v>
      </c>
      <c r="G18" s="246">
        <v>40</v>
      </c>
      <c r="H18" s="246">
        <v>110.8</v>
      </c>
      <c r="I18" s="245" t="s">
        <v>431</v>
      </c>
      <c r="J18" s="247">
        <v>13.295999999999999</v>
      </c>
    </row>
    <row r="19" spans="1:10" ht="18" customHeight="1">
      <c r="A19" s="244">
        <v>43276</v>
      </c>
      <c r="B19" s="245" t="s">
        <v>881</v>
      </c>
      <c r="C19" s="245" t="s">
        <v>517</v>
      </c>
      <c r="D19" s="245" t="s">
        <v>672</v>
      </c>
      <c r="E19" s="246">
        <v>45</v>
      </c>
      <c r="F19" s="246">
        <v>4.0199999999999996</v>
      </c>
      <c r="G19" s="246">
        <v>50</v>
      </c>
      <c r="H19" s="246">
        <v>201</v>
      </c>
      <c r="I19" s="245" t="s">
        <v>431</v>
      </c>
      <c r="J19" s="247">
        <v>24.12</v>
      </c>
    </row>
    <row r="20" spans="1:10" ht="18" customHeight="1">
      <c r="A20" s="244">
        <v>43276</v>
      </c>
      <c r="B20" s="245" t="s">
        <v>880</v>
      </c>
      <c r="C20" s="245" t="s">
        <v>19</v>
      </c>
      <c r="D20" s="245" t="s">
        <v>668</v>
      </c>
      <c r="E20" s="246">
        <v>45</v>
      </c>
      <c r="F20" s="246">
        <v>5.56</v>
      </c>
      <c r="G20" s="246">
        <v>200</v>
      </c>
      <c r="H20" s="246">
        <v>1112</v>
      </c>
      <c r="I20" s="245" t="s">
        <v>431</v>
      </c>
      <c r="J20" s="247">
        <v>133.44</v>
      </c>
    </row>
    <row r="21" spans="1:10" ht="18" customHeight="1">
      <c r="A21" s="244">
        <v>43276</v>
      </c>
      <c r="B21" s="245" t="s">
        <v>880</v>
      </c>
      <c r="C21" s="245" t="s">
        <v>517</v>
      </c>
      <c r="D21" s="245" t="s">
        <v>674</v>
      </c>
      <c r="E21" s="246">
        <v>60</v>
      </c>
      <c r="F21" s="246">
        <v>2.77</v>
      </c>
      <c r="G21" s="246">
        <v>1100</v>
      </c>
      <c r="H21" s="246">
        <v>3047</v>
      </c>
      <c r="I21" s="245" t="s">
        <v>431</v>
      </c>
      <c r="J21" s="247">
        <v>365.64</v>
      </c>
    </row>
    <row r="22" spans="1:10" ht="18" customHeight="1">
      <c r="A22" s="244">
        <v>43276</v>
      </c>
      <c r="B22" s="245" t="s">
        <v>880</v>
      </c>
      <c r="C22" s="245" t="s">
        <v>19</v>
      </c>
      <c r="D22" s="245" t="s">
        <v>675</v>
      </c>
      <c r="E22" s="246">
        <v>60</v>
      </c>
      <c r="F22" s="246">
        <v>2.6</v>
      </c>
      <c r="G22" s="246">
        <v>500</v>
      </c>
      <c r="H22" s="246">
        <v>1300</v>
      </c>
      <c r="I22" s="245" t="s">
        <v>431</v>
      </c>
      <c r="J22" s="247">
        <v>156</v>
      </c>
    </row>
    <row r="23" spans="1:10" ht="18" customHeight="1">
      <c r="A23" s="244">
        <v>43276</v>
      </c>
      <c r="B23" s="245" t="s">
        <v>881</v>
      </c>
      <c r="C23" s="245" t="s">
        <v>517</v>
      </c>
      <c r="D23" s="245" t="s">
        <v>661</v>
      </c>
      <c r="E23" s="246">
        <v>30</v>
      </c>
      <c r="F23" s="246">
        <v>2.6</v>
      </c>
      <c r="G23" s="246">
        <v>600</v>
      </c>
      <c r="H23" s="246">
        <v>1560</v>
      </c>
      <c r="I23" s="245" t="s">
        <v>431</v>
      </c>
      <c r="J23" s="247">
        <v>187.2</v>
      </c>
    </row>
    <row r="24" spans="1:10" ht="18" customHeight="1">
      <c r="A24" s="244">
        <v>43276</v>
      </c>
      <c r="B24" s="245" t="s">
        <v>880</v>
      </c>
      <c r="C24" s="245" t="s">
        <v>523</v>
      </c>
      <c r="D24" s="245" t="s">
        <v>661</v>
      </c>
      <c r="E24" s="246">
        <v>45</v>
      </c>
      <c r="F24" s="246">
        <v>2.6</v>
      </c>
      <c r="G24" s="246">
        <v>600</v>
      </c>
      <c r="H24" s="246">
        <v>1560</v>
      </c>
      <c r="I24" s="245" t="s">
        <v>666</v>
      </c>
      <c r="J24" s="247">
        <v>187.2</v>
      </c>
    </row>
    <row r="25" spans="1:10" ht="18" customHeight="1">
      <c r="A25" s="244">
        <v>43276</v>
      </c>
      <c r="B25" s="245" t="s">
        <v>881</v>
      </c>
      <c r="C25" s="245" t="s">
        <v>517</v>
      </c>
      <c r="D25" s="245" t="s">
        <v>661</v>
      </c>
      <c r="E25" s="246">
        <v>60</v>
      </c>
      <c r="F25" s="246">
        <v>2.6</v>
      </c>
      <c r="G25" s="246">
        <v>750</v>
      </c>
      <c r="H25" s="246">
        <v>1950</v>
      </c>
      <c r="I25" s="245" t="s">
        <v>431</v>
      </c>
      <c r="J25" s="247">
        <v>234</v>
      </c>
    </row>
    <row r="26" spans="1:10" ht="18" customHeight="1">
      <c r="A26" s="244">
        <v>43276</v>
      </c>
      <c r="B26" s="245" t="s">
        <v>880</v>
      </c>
      <c r="C26" s="245" t="s">
        <v>517</v>
      </c>
      <c r="D26" s="245" t="s">
        <v>674</v>
      </c>
      <c r="E26" s="246">
        <v>45</v>
      </c>
      <c r="F26" s="246">
        <v>2.77</v>
      </c>
      <c r="G26" s="246">
        <v>180</v>
      </c>
      <c r="H26" s="246">
        <v>498.6</v>
      </c>
      <c r="I26" s="245" t="s">
        <v>430</v>
      </c>
      <c r="J26" s="247">
        <v>59.832000000000001</v>
      </c>
    </row>
    <row r="27" spans="1:10" ht="18" customHeight="1">
      <c r="A27" s="244">
        <v>43276</v>
      </c>
      <c r="B27" s="245" t="s">
        <v>882</v>
      </c>
      <c r="C27" s="245" t="s">
        <v>517</v>
      </c>
      <c r="D27" s="245" t="s">
        <v>661</v>
      </c>
      <c r="E27" s="246">
        <v>45</v>
      </c>
      <c r="F27" s="246">
        <v>2.6</v>
      </c>
      <c r="G27" s="246">
        <v>300</v>
      </c>
      <c r="H27" s="246">
        <v>780</v>
      </c>
      <c r="I27" s="245" t="s">
        <v>431</v>
      </c>
      <c r="J27" s="247">
        <v>93.6</v>
      </c>
    </row>
    <row r="28" spans="1:10" ht="18" customHeight="1">
      <c r="A28" s="244">
        <v>43276</v>
      </c>
      <c r="B28" s="245" t="s">
        <v>880</v>
      </c>
      <c r="C28" s="245" t="s">
        <v>19</v>
      </c>
      <c r="D28" s="245" t="s">
        <v>661</v>
      </c>
      <c r="E28" s="246">
        <v>60</v>
      </c>
      <c r="F28" s="246">
        <v>2.6</v>
      </c>
      <c r="G28" s="246">
        <v>900</v>
      </c>
      <c r="H28" s="246">
        <v>2340</v>
      </c>
      <c r="I28" s="245" t="s">
        <v>431</v>
      </c>
      <c r="J28" s="247">
        <v>280.8</v>
      </c>
    </row>
    <row r="29" spans="1:10" ht="18" customHeight="1">
      <c r="A29" s="244">
        <v>43276</v>
      </c>
      <c r="B29" s="245" t="s">
        <v>881</v>
      </c>
      <c r="C29" s="245" t="s">
        <v>517</v>
      </c>
      <c r="D29" s="245" t="s">
        <v>668</v>
      </c>
      <c r="E29" s="246">
        <v>60</v>
      </c>
      <c r="F29" s="246">
        <v>4.0199999999999996</v>
      </c>
      <c r="G29" s="246">
        <v>800</v>
      </c>
      <c r="H29" s="246">
        <v>3216</v>
      </c>
      <c r="I29" s="245" t="s">
        <v>676</v>
      </c>
      <c r="J29" s="247">
        <v>385.92</v>
      </c>
    </row>
    <row r="30" spans="1:10" ht="18" customHeight="1">
      <c r="A30" s="244">
        <v>43276</v>
      </c>
      <c r="B30" s="245" t="s">
        <v>880</v>
      </c>
      <c r="C30" s="245" t="s">
        <v>517</v>
      </c>
      <c r="D30" s="245" t="s">
        <v>664</v>
      </c>
      <c r="E30" s="246">
        <v>45</v>
      </c>
      <c r="F30" s="246">
        <v>7.04</v>
      </c>
      <c r="G30" s="246">
        <v>680</v>
      </c>
      <c r="H30" s="246">
        <v>4787.2</v>
      </c>
      <c r="I30" s="245" t="s">
        <v>431</v>
      </c>
      <c r="J30" s="247">
        <v>574.46399999999994</v>
      </c>
    </row>
    <row r="31" spans="1:10" ht="18" customHeight="1">
      <c r="A31" s="244">
        <v>43276</v>
      </c>
      <c r="B31" s="245" t="s">
        <v>882</v>
      </c>
      <c r="C31" s="245" t="s">
        <v>517</v>
      </c>
      <c r="D31" s="245" t="s">
        <v>672</v>
      </c>
      <c r="E31" s="246">
        <v>45</v>
      </c>
      <c r="F31" s="246">
        <v>4.0199999999999996</v>
      </c>
      <c r="G31" s="246">
        <v>660</v>
      </c>
      <c r="H31" s="246">
        <v>2653.2</v>
      </c>
      <c r="I31" s="245" t="s">
        <v>431</v>
      </c>
      <c r="J31" s="247">
        <v>318.38399999999996</v>
      </c>
    </row>
    <row r="32" spans="1:10" ht="18" customHeight="1">
      <c r="A32" s="244">
        <v>43276</v>
      </c>
      <c r="B32" s="245" t="s">
        <v>881</v>
      </c>
      <c r="C32" s="245" t="s">
        <v>517</v>
      </c>
      <c r="D32" s="245" t="s">
        <v>668</v>
      </c>
      <c r="E32" s="246">
        <v>45</v>
      </c>
      <c r="F32" s="246">
        <v>2.77</v>
      </c>
      <c r="G32" s="246">
        <v>1200</v>
      </c>
      <c r="H32" s="246">
        <v>3324</v>
      </c>
      <c r="I32" s="245" t="s">
        <v>666</v>
      </c>
      <c r="J32" s="247">
        <v>398.88</v>
      </c>
    </row>
    <row r="33" spans="1:10" ht="18" customHeight="1">
      <c r="A33" s="244">
        <v>43276</v>
      </c>
      <c r="B33" s="245" t="s">
        <v>880</v>
      </c>
      <c r="C33" s="245" t="s">
        <v>523</v>
      </c>
      <c r="D33" s="245" t="s">
        <v>661</v>
      </c>
      <c r="E33" s="246">
        <v>60</v>
      </c>
      <c r="F33" s="246">
        <v>2.6</v>
      </c>
      <c r="G33" s="246">
        <v>600</v>
      </c>
      <c r="H33" s="246">
        <v>1560</v>
      </c>
      <c r="I33" s="245" t="s">
        <v>666</v>
      </c>
      <c r="J33" s="247">
        <v>187.2</v>
      </c>
    </row>
    <row r="34" spans="1:10" ht="18" customHeight="1">
      <c r="A34" s="244">
        <v>43276</v>
      </c>
      <c r="B34" s="245" t="s">
        <v>881</v>
      </c>
      <c r="C34" s="245" t="s">
        <v>517</v>
      </c>
      <c r="D34" s="245" t="s">
        <v>661</v>
      </c>
      <c r="E34" s="246">
        <v>45</v>
      </c>
      <c r="F34" s="246">
        <v>2.6</v>
      </c>
      <c r="G34" s="246">
        <v>750</v>
      </c>
      <c r="H34" s="246">
        <v>1950</v>
      </c>
      <c r="I34" s="245" t="s">
        <v>431</v>
      </c>
      <c r="J34" s="247">
        <v>234</v>
      </c>
    </row>
    <row r="35" spans="1:10" ht="18" customHeight="1">
      <c r="A35" s="244">
        <v>43276</v>
      </c>
      <c r="B35" s="245" t="s">
        <v>880</v>
      </c>
      <c r="C35" s="245" t="s">
        <v>517</v>
      </c>
      <c r="D35" s="245" t="s">
        <v>668</v>
      </c>
      <c r="E35" s="246">
        <v>45</v>
      </c>
      <c r="F35" s="246">
        <v>2.77</v>
      </c>
      <c r="G35" s="246">
        <v>180</v>
      </c>
      <c r="H35" s="246">
        <v>498.6</v>
      </c>
      <c r="I35" s="245" t="s">
        <v>430</v>
      </c>
      <c r="J35" s="247">
        <v>59.832000000000001</v>
      </c>
    </row>
    <row r="36" spans="1:10" ht="18" customHeight="1">
      <c r="A36" s="244">
        <v>43276</v>
      </c>
      <c r="B36" s="245" t="s">
        <v>882</v>
      </c>
      <c r="C36" s="245" t="s">
        <v>517</v>
      </c>
      <c r="D36" s="245" t="s">
        <v>675</v>
      </c>
      <c r="E36" s="246">
        <v>60</v>
      </c>
      <c r="F36" s="246">
        <v>2.6</v>
      </c>
      <c r="G36" s="246">
        <v>300</v>
      </c>
      <c r="H36" s="246">
        <v>780</v>
      </c>
      <c r="I36" s="245" t="s">
        <v>431</v>
      </c>
      <c r="J36" s="247">
        <v>93.6</v>
      </c>
    </row>
    <row r="37" spans="1:10" ht="18" customHeight="1">
      <c r="A37" s="244">
        <v>43276</v>
      </c>
      <c r="B37" s="245" t="s">
        <v>880</v>
      </c>
      <c r="C37" s="245" t="s">
        <v>19</v>
      </c>
      <c r="D37" s="245" t="s">
        <v>673</v>
      </c>
      <c r="E37" s="246">
        <v>30</v>
      </c>
      <c r="F37" s="246">
        <v>5.56</v>
      </c>
      <c r="G37" s="246">
        <v>200</v>
      </c>
      <c r="H37" s="246">
        <v>1112</v>
      </c>
      <c r="I37" s="245" t="s">
        <v>431</v>
      </c>
      <c r="J37" s="247">
        <v>133.44</v>
      </c>
    </row>
    <row r="38" spans="1:10" ht="18" customHeight="1">
      <c r="A38" s="244">
        <v>43276</v>
      </c>
      <c r="B38" s="245" t="s">
        <v>881</v>
      </c>
      <c r="C38" s="245" t="s">
        <v>517</v>
      </c>
      <c r="D38" s="245" t="s">
        <v>668</v>
      </c>
      <c r="E38" s="246">
        <v>45</v>
      </c>
      <c r="F38" s="246">
        <v>4.0199999999999996</v>
      </c>
      <c r="G38" s="246">
        <v>50</v>
      </c>
      <c r="H38" s="246">
        <v>201</v>
      </c>
      <c r="I38" s="245" t="s">
        <v>431</v>
      </c>
      <c r="J38" s="247">
        <v>24.12</v>
      </c>
    </row>
    <row r="39" spans="1:10" ht="18" customHeight="1">
      <c r="A39" s="244">
        <v>43276</v>
      </c>
      <c r="B39" s="245" t="s">
        <v>880</v>
      </c>
      <c r="C39" s="245" t="s">
        <v>19</v>
      </c>
      <c r="D39" s="245" t="s">
        <v>668</v>
      </c>
      <c r="E39" s="246">
        <v>45</v>
      </c>
      <c r="F39" s="246">
        <v>5.56</v>
      </c>
      <c r="G39" s="246">
        <v>200</v>
      </c>
      <c r="H39" s="246">
        <v>1112</v>
      </c>
      <c r="I39" s="245" t="s">
        <v>431</v>
      </c>
      <c r="J39" s="247">
        <v>133.44</v>
      </c>
    </row>
    <row r="40" spans="1:10" ht="18" customHeight="1">
      <c r="A40" s="244">
        <v>43291</v>
      </c>
      <c r="B40" s="245" t="s">
        <v>879</v>
      </c>
      <c r="C40" s="245" t="s">
        <v>19</v>
      </c>
      <c r="D40" s="245" t="s">
        <v>661</v>
      </c>
      <c r="E40" s="246">
        <v>60</v>
      </c>
      <c r="F40" s="246">
        <v>2.66</v>
      </c>
      <c r="G40" s="246">
        <v>1000</v>
      </c>
      <c r="H40" s="246">
        <v>2660</v>
      </c>
      <c r="I40" s="245" t="s">
        <v>431</v>
      </c>
      <c r="J40" s="247">
        <v>319.2</v>
      </c>
    </row>
    <row r="41" spans="1:10" ht="18" customHeight="1">
      <c r="A41" s="244">
        <v>43291</v>
      </c>
      <c r="B41" s="245" t="s">
        <v>882</v>
      </c>
      <c r="C41" s="245" t="s">
        <v>517</v>
      </c>
      <c r="D41" s="245" t="s">
        <v>664</v>
      </c>
      <c r="E41" s="246">
        <v>45</v>
      </c>
      <c r="F41" s="246">
        <v>7.04</v>
      </c>
      <c r="G41" s="246">
        <v>800</v>
      </c>
      <c r="H41" s="246">
        <v>5632</v>
      </c>
      <c r="I41" s="245" t="s">
        <v>430</v>
      </c>
      <c r="J41" s="247">
        <v>675.84</v>
      </c>
    </row>
    <row r="42" spans="1:10" ht="18" customHeight="1">
      <c r="A42" s="244">
        <v>43291</v>
      </c>
      <c r="B42" s="245" t="s">
        <v>880</v>
      </c>
      <c r="C42" s="245" t="s">
        <v>523</v>
      </c>
      <c r="D42" s="245" t="s">
        <v>664</v>
      </c>
      <c r="E42" s="246">
        <v>45</v>
      </c>
      <c r="F42" s="246">
        <v>7.04</v>
      </c>
      <c r="G42" s="246">
        <v>300</v>
      </c>
      <c r="H42" s="246">
        <v>2112</v>
      </c>
      <c r="I42" s="245" t="s">
        <v>666</v>
      </c>
      <c r="J42" s="247">
        <v>253.44</v>
      </c>
    </row>
    <row r="43" spans="1:10" ht="18" customHeight="1">
      <c r="A43" s="244">
        <v>43291</v>
      </c>
      <c r="B43" s="245" t="s">
        <v>881</v>
      </c>
      <c r="C43" s="245" t="s">
        <v>517</v>
      </c>
      <c r="D43" s="245" t="s">
        <v>661</v>
      </c>
      <c r="E43" s="246">
        <v>45</v>
      </c>
      <c r="F43" s="246">
        <v>2.6</v>
      </c>
      <c r="G43" s="246">
        <v>800</v>
      </c>
      <c r="H43" s="246">
        <v>2080</v>
      </c>
      <c r="I43" s="245" t="s">
        <v>431</v>
      </c>
      <c r="J43" s="247">
        <v>249.6</v>
      </c>
    </row>
    <row r="44" spans="1:10" ht="18" customHeight="1">
      <c r="A44" s="244">
        <v>43291</v>
      </c>
      <c r="B44" s="245" t="s">
        <v>880</v>
      </c>
      <c r="C44" s="245" t="s">
        <v>517</v>
      </c>
      <c r="D44" s="245" t="s">
        <v>673</v>
      </c>
      <c r="E44" s="246">
        <v>45</v>
      </c>
      <c r="F44" s="246">
        <v>5.56</v>
      </c>
      <c r="G44" s="246">
        <v>600</v>
      </c>
      <c r="H44" s="246">
        <v>3336</v>
      </c>
      <c r="I44" s="245" t="s">
        <v>431</v>
      </c>
      <c r="J44" s="247">
        <v>400.32</v>
      </c>
    </row>
    <row r="45" spans="1:10" ht="18" customHeight="1">
      <c r="A45" s="244">
        <v>43291</v>
      </c>
      <c r="B45" s="245" t="s">
        <v>880</v>
      </c>
      <c r="C45" s="245" t="s">
        <v>19</v>
      </c>
      <c r="D45" s="245" t="s">
        <v>674</v>
      </c>
      <c r="E45" s="246">
        <v>60</v>
      </c>
      <c r="F45" s="246">
        <v>2.77</v>
      </c>
      <c r="G45" s="246">
        <v>1000</v>
      </c>
      <c r="H45" s="246">
        <v>2770</v>
      </c>
      <c r="I45" s="245" t="s">
        <v>431</v>
      </c>
      <c r="J45" s="247">
        <v>332.4</v>
      </c>
    </row>
    <row r="46" spans="1:10" ht="18" customHeight="1">
      <c r="A46" s="244">
        <v>43291</v>
      </c>
      <c r="B46" s="245" t="s">
        <v>880</v>
      </c>
      <c r="C46" s="245" t="s">
        <v>19</v>
      </c>
      <c r="D46" s="245" t="s">
        <v>668</v>
      </c>
      <c r="E46" s="246">
        <v>60</v>
      </c>
      <c r="F46" s="246">
        <v>2.77</v>
      </c>
      <c r="G46" s="246">
        <v>1000</v>
      </c>
      <c r="H46" s="246">
        <v>2770</v>
      </c>
      <c r="I46" s="245" t="s">
        <v>431</v>
      </c>
      <c r="J46" s="247">
        <v>332.4</v>
      </c>
    </row>
    <row r="47" spans="1:10" ht="18" customHeight="1">
      <c r="A47" s="244">
        <v>43292</v>
      </c>
      <c r="B47" s="245" t="s">
        <v>881</v>
      </c>
      <c r="C47" s="245" t="s">
        <v>523</v>
      </c>
      <c r="D47" s="245" t="s">
        <v>668</v>
      </c>
      <c r="E47" s="246">
        <v>60</v>
      </c>
      <c r="F47" s="246">
        <v>7.04</v>
      </c>
      <c r="G47" s="246">
        <v>200</v>
      </c>
      <c r="H47" s="246">
        <v>1408</v>
      </c>
      <c r="I47" s="245" t="s">
        <v>430</v>
      </c>
      <c r="J47" s="247">
        <v>168.96</v>
      </c>
    </row>
    <row r="48" spans="1:10" ht="18" customHeight="1">
      <c r="A48" s="244">
        <v>43293</v>
      </c>
      <c r="B48" s="245" t="s">
        <v>880</v>
      </c>
      <c r="C48" s="245" t="s">
        <v>517</v>
      </c>
      <c r="D48" s="245" t="s">
        <v>668</v>
      </c>
      <c r="E48" s="246">
        <v>45</v>
      </c>
      <c r="F48" s="246">
        <v>7.04</v>
      </c>
      <c r="G48" s="246">
        <v>1000</v>
      </c>
      <c r="H48" s="246">
        <v>7040</v>
      </c>
      <c r="I48" s="245" t="s">
        <v>666</v>
      </c>
      <c r="J48" s="247">
        <v>844.8</v>
      </c>
    </row>
    <row r="49" spans="1:10" ht="18" customHeight="1">
      <c r="A49" s="244">
        <v>43293</v>
      </c>
      <c r="B49" s="245" t="s">
        <v>880</v>
      </c>
      <c r="C49" s="245" t="s">
        <v>517</v>
      </c>
      <c r="D49" s="245" t="s">
        <v>664</v>
      </c>
      <c r="E49" s="246">
        <v>45</v>
      </c>
      <c r="F49" s="246">
        <v>7.04</v>
      </c>
      <c r="G49" s="246">
        <v>1000</v>
      </c>
      <c r="H49" s="246">
        <v>7040</v>
      </c>
      <c r="I49" s="245" t="s">
        <v>666</v>
      </c>
      <c r="J49" s="247">
        <v>844.8</v>
      </c>
    </row>
    <row r="50" spans="1:10" ht="18" customHeight="1">
      <c r="A50" s="244">
        <v>43296</v>
      </c>
      <c r="B50" s="245" t="s">
        <v>882</v>
      </c>
      <c r="C50" s="245" t="s">
        <v>19</v>
      </c>
      <c r="D50" s="245" t="s">
        <v>668</v>
      </c>
      <c r="E50" s="246">
        <v>30</v>
      </c>
      <c r="F50" s="246">
        <v>7.04</v>
      </c>
      <c r="G50" s="246">
        <v>150</v>
      </c>
      <c r="H50" s="246">
        <v>1056</v>
      </c>
      <c r="I50" s="245" t="s">
        <v>666</v>
      </c>
      <c r="J50" s="247">
        <v>126.72</v>
      </c>
    </row>
    <row r="51" spans="1:10" ht="18" customHeight="1">
      <c r="A51" s="244">
        <v>43296</v>
      </c>
      <c r="B51" s="245" t="s">
        <v>880</v>
      </c>
      <c r="C51" s="245" t="s">
        <v>669</v>
      </c>
      <c r="D51" s="245" t="s">
        <v>664</v>
      </c>
      <c r="E51" s="246">
        <v>45</v>
      </c>
      <c r="F51" s="246">
        <v>7.04</v>
      </c>
      <c r="G51" s="246">
        <v>500</v>
      </c>
      <c r="H51" s="246">
        <v>3520</v>
      </c>
      <c r="I51" s="245" t="s">
        <v>666</v>
      </c>
      <c r="J51" s="247">
        <v>422.4</v>
      </c>
    </row>
    <row r="52" spans="1:10" ht="18" customHeight="1">
      <c r="A52" s="244">
        <v>43296</v>
      </c>
      <c r="B52" s="245" t="s">
        <v>881</v>
      </c>
      <c r="C52" s="245" t="s">
        <v>523</v>
      </c>
      <c r="D52" s="245" t="s">
        <v>670</v>
      </c>
      <c r="E52" s="246">
        <v>45</v>
      </c>
      <c r="F52" s="246">
        <v>9.6</v>
      </c>
      <c r="G52" s="246">
        <v>550</v>
      </c>
      <c r="H52" s="246">
        <v>5280</v>
      </c>
      <c r="I52" s="245" t="s">
        <v>671</v>
      </c>
      <c r="J52" s="247">
        <v>633.6</v>
      </c>
    </row>
    <row r="53" spans="1:10" ht="18" customHeight="1">
      <c r="A53" s="244">
        <v>43296</v>
      </c>
      <c r="B53" s="245" t="s">
        <v>882</v>
      </c>
      <c r="C53" s="245" t="s">
        <v>669</v>
      </c>
      <c r="D53" s="245" t="s">
        <v>668</v>
      </c>
      <c r="E53" s="246">
        <v>45</v>
      </c>
      <c r="F53" s="246">
        <v>4.0199999999999996</v>
      </c>
      <c r="G53" s="246">
        <v>100</v>
      </c>
      <c r="H53" s="246">
        <v>402</v>
      </c>
      <c r="I53" s="245" t="s">
        <v>431</v>
      </c>
      <c r="J53" s="247">
        <v>48.24</v>
      </c>
    </row>
    <row r="54" spans="1:10" ht="18" customHeight="1">
      <c r="A54" s="244">
        <v>43296</v>
      </c>
      <c r="B54" s="245" t="s">
        <v>881</v>
      </c>
      <c r="C54" s="245" t="s">
        <v>523</v>
      </c>
      <c r="D54" s="245" t="s">
        <v>668</v>
      </c>
      <c r="E54" s="246">
        <v>30</v>
      </c>
      <c r="F54" s="246">
        <v>4.0199999999999996</v>
      </c>
      <c r="G54" s="246">
        <v>300</v>
      </c>
      <c r="H54" s="246">
        <v>1206</v>
      </c>
      <c r="I54" s="245" t="s">
        <v>430</v>
      </c>
      <c r="J54" s="247">
        <v>144.72</v>
      </c>
    </row>
    <row r="55" spans="1:10" ht="18" customHeight="1">
      <c r="A55" s="244">
        <v>43296</v>
      </c>
      <c r="B55" s="245" t="s">
        <v>880</v>
      </c>
      <c r="C55" s="245" t="s">
        <v>523</v>
      </c>
      <c r="D55" s="245" t="s">
        <v>673</v>
      </c>
      <c r="E55" s="246">
        <v>30</v>
      </c>
      <c r="F55" s="246">
        <v>5.56</v>
      </c>
      <c r="G55" s="246">
        <v>100</v>
      </c>
      <c r="H55" s="246">
        <v>556</v>
      </c>
      <c r="I55" s="245" t="s">
        <v>430</v>
      </c>
      <c r="J55" s="247">
        <v>66.72</v>
      </c>
    </row>
    <row r="56" spans="1:10" ht="18" customHeight="1">
      <c r="A56" s="244">
        <v>43296</v>
      </c>
      <c r="B56" s="245" t="s">
        <v>880</v>
      </c>
      <c r="C56" s="245" t="s">
        <v>19</v>
      </c>
      <c r="D56" s="245" t="s">
        <v>670</v>
      </c>
      <c r="E56" s="246">
        <v>60</v>
      </c>
      <c r="F56" s="246">
        <v>9.6</v>
      </c>
      <c r="G56" s="246">
        <v>2000</v>
      </c>
      <c r="H56" s="246">
        <v>19200</v>
      </c>
      <c r="I56" s="245" t="s">
        <v>671</v>
      </c>
      <c r="J56" s="247">
        <v>2304</v>
      </c>
    </row>
    <row r="57" spans="1:10" ht="18" customHeight="1">
      <c r="A57" s="244">
        <v>43296</v>
      </c>
      <c r="B57" s="245" t="s">
        <v>881</v>
      </c>
      <c r="C57" s="245" t="s">
        <v>669</v>
      </c>
      <c r="D57" s="245" t="s">
        <v>672</v>
      </c>
      <c r="E57" s="246">
        <v>45</v>
      </c>
      <c r="F57" s="246">
        <v>4.0199999999999996</v>
      </c>
      <c r="G57" s="246">
        <v>220</v>
      </c>
      <c r="H57" s="246">
        <v>884.4</v>
      </c>
      <c r="I57" s="245" t="s">
        <v>431</v>
      </c>
      <c r="J57" s="247">
        <v>106.12799999999999</v>
      </c>
    </row>
    <row r="58" spans="1:10" ht="18" customHeight="1">
      <c r="A58" s="244">
        <v>43296</v>
      </c>
      <c r="B58" s="245" t="s">
        <v>880</v>
      </c>
      <c r="C58" s="245" t="s">
        <v>517</v>
      </c>
      <c r="D58" s="245" t="s">
        <v>664</v>
      </c>
      <c r="E58" s="246">
        <v>60</v>
      </c>
      <c r="F58" s="246">
        <v>7.04</v>
      </c>
      <c r="G58" s="246">
        <v>600</v>
      </c>
      <c r="H58" s="246">
        <v>4224</v>
      </c>
      <c r="I58" s="245" t="s">
        <v>431</v>
      </c>
      <c r="J58" s="247">
        <v>506.88</v>
      </c>
    </row>
    <row r="59" spans="1:10" ht="18" customHeight="1">
      <c r="A59" s="244">
        <v>43296</v>
      </c>
      <c r="B59" s="245" t="s">
        <v>880</v>
      </c>
      <c r="C59" s="245" t="s">
        <v>669</v>
      </c>
      <c r="D59" s="245" t="s">
        <v>661</v>
      </c>
      <c r="E59" s="246">
        <v>60</v>
      </c>
      <c r="F59" s="246">
        <v>2.6</v>
      </c>
      <c r="G59" s="246">
        <v>530</v>
      </c>
      <c r="H59" s="246">
        <v>1378</v>
      </c>
      <c r="I59" s="245" t="s">
        <v>431</v>
      </c>
      <c r="J59" s="247">
        <v>165.36</v>
      </c>
    </row>
    <row r="60" spans="1:10" ht="18" customHeight="1">
      <c r="A60" s="244">
        <v>43296</v>
      </c>
      <c r="B60" s="245" t="s">
        <v>881</v>
      </c>
      <c r="C60" s="245" t="s">
        <v>523</v>
      </c>
      <c r="D60" s="245" t="s">
        <v>661</v>
      </c>
      <c r="E60" s="246">
        <v>30</v>
      </c>
      <c r="F60" s="246">
        <v>2.6</v>
      </c>
      <c r="G60" s="246">
        <v>200</v>
      </c>
      <c r="H60" s="246">
        <v>520</v>
      </c>
      <c r="I60" s="245" t="s">
        <v>431</v>
      </c>
      <c r="J60" s="247">
        <v>62.4</v>
      </c>
    </row>
    <row r="61" spans="1:10" ht="18" customHeight="1">
      <c r="A61" s="244">
        <v>43296</v>
      </c>
      <c r="B61" s="245" t="s">
        <v>882</v>
      </c>
      <c r="C61" s="245" t="s">
        <v>517</v>
      </c>
      <c r="D61" s="245" t="s">
        <v>673</v>
      </c>
      <c r="E61" s="246">
        <v>45</v>
      </c>
      <c r="F61" s="246">
        <v>5.56</v>
      </c>
      <c r="G61" s="246">
        <v>300</v>
      </c>
      <c r="H61" s="246">
        <v>1668</v>
      </c>
      <c r="I61" s="245" t="s">
        <v>431</v>
      </c>
      <c r="J61" s="247">
        <v>200.16</v>
      </c>
    </row>
    <row r="62" spans="1:10" ht="18" customHeight="1">
      <c r="A62" s="244">
        <v>43296</v>
      </c>
      <c r="B62" s="245" t="s">
        <v>880</v>
      </c>
      <c r="C62" s="245" t="s">
        <v>517</v>
      </c>
      <c r="D62" s="245" t="s">
        <v>664</v>
      </c>
      <c r="E62" s="246">
        <v>45</v>
      </c>
      <c r="F62" s="246">
        <v>7.04</v>
      </c>
      <c r="G62" s="246">
        <v>600</v>
      </c>
      <c r="H62" s="246">
        <v>4224</v>
      </c>
      <c r="I62" s="245" t="s">
        <v>431</v>
      </c>
      <c r="J62" s="247">
        <v>506.88</v>
      </c>
    </row>
    <row r="63" spans="1:10" ht="18" customHeight="1">
      <c r="A63" s="244">
        <v>43296</v>
      </c>
      <c r="B63" s="245" t="s">
        <v>881</v>
      </c>
      <c r="C63" s="245" t="s">
        <v>523</v>
      </c>
      <c r="D63" s="245" t="s">
        <v>668</v>
      </c>
      <c r="E63" s="246">
        <v>60</v>
      </c>
      <c r="F63" s="246">
        <v>4.0199999999999996</v>
      </c>
      <c r="G63" s="246">
        <v>300</v>
      </c>
      <c r="H63" s="246">
        <v>1206</v>
      </c>
      <c r="I63" s="245" t="s">
        <v>430</v>
      </c>
      <c r="J63" s="247">
        <v>144.72</v>
      </c>
    </row>
    <row r="64" spans="1:10" ht="18" customHeight="1">
      <c r="A64" s="244">
        <v>43296</v>
      </c>
      <c r="B64" s="245" t="s">
        <v>880</v>
      </c>
      <c r="C64" s="245" t="s">
        <v>19</v>
      </c>
      <c r="D64" s="245" t="s">
        <v>664</v>
      </c>
      <c r="E64" s="246">
        <v>45</v>
      </c>
      <c r="F64" s="246">
        <v>7.04</v>
      </c>
      <c r="G64" s="246">
        <v>500</v>
      </c>
      <c r="H64" s="246">
        <v>3520</v>
      </c>
      <c r="I64" s="245" t="s">
        <v>431</v>
      </c>
      <c r="J64" s="247">
        <v>422.4</v>
      </c>
    </row>
    <row r="65" spans="1:10" ht="18" customHeight="1">
      <c r="A65" s="244">
        <v>43296</v>
      </c>
      <c r="B65" s="245" t="s">
        <v>882</v>
      </c>
      <c r="C65" s="245" t="s">
        <v>517</v>
      </c>
      <c r="D65" s="245" t="s">
        <v>672</v>
      </c>
      <c r="E65" s="246">
        <v>45</v>
      </c>
      <c r="F65" s="246">
        <v>4.0199999999999996</v>
      </c>
      <c r="G65" s="246">
        <v>200</v>
      </c>
      <c r="H65" s="246">
        <v>804</v>
      </c>
      <c r="I65" s="245" t="s">
        <v>431</v>
      </c>
      <c r="J65" s="247">
        <v>96.48</v>
      </c>
    </row>
    <row r="66" spans="1:10" ht="18" customHeight="1">
      <c r="A66" s="244">
        <v>43296</v>
      </c>
      <c r="B66" s="245" t="s">
        <v>880</v>
      </c>
      <c r="C66" s="245" t="s">
        <v>523</v>
      </c>
      <c r="D66" s="245" t="s">
        <v>673</v>
      </c>
      <c r="E66" s="246">
        <v>60</v>
      </c>
      <c r="F66" s="246">
        <v>5.56</v>
      </c>
      <c r="G66" s="246">
        <v>100</v>
      </c>
      <c r="H66" s="246">
        <v>556</v>
      </c>
      <c r="I66" s="245" t="s">
        <v>430</v>
      </c>
      <c r="J66" s="247">
        <v>66.72</v>
      </c>
    </row>
    <row r="67" spans="1:10" ht="18" customHeight="1">
      <c r="A67" s="244">
        <v>43296</v>
      </c>
      <c r="B67" s="245" t="s">
        <v>882</v>
      </c>
      <c r="C67" s="245" t="s">
        <v>19</v>
      </c>
      <c r="D67" s="245" t="s">
        <v>664</v>
      </c>
      <c r="E67" s="246">
        <v>45</v>
      </c>
      <c r="F67" s="246">
        <v>7.04</v>
      </c>
      <c r="G67" s="246">
        <v>150</v>
      </c>
      <c r="H67" s="246">
        <v>1056</v>
      </c>
      <c r="I67" s="245" t="s">
        <v>666</v>
      </c>
      <c r="J67" s="247">
        <v>126.72</v>
      </c>
    </row>
    <row r="68" spans="1:10" ht="18" customHeight="1">
      <c r="A68" s="244">
        <v>43296</v>
      </c>
      <c r="B68" s="245" t="s">
        <v>880</v>
      </c>
      <c r="C68" s="245" t="s">
        <v>669</v>
      </c>
      <c r="D68" s="245" t="s">
        <v>664</v>
      </c>
      <c r="E68" s="246">
        <v>30</v>
      </c>
      <c r="F68" s="246">
        <v>7.04</v>
      </c>
      <c r="G68" s="246">
        <v>500</v>
      </c>
      <c r="H68" s="246">
        <v>3520</v>
      </c>
      <c r="I68" s="245" t="s">
        <v>666</v>
      </c>
      <c r="J68" s="247">
        <v>422.4</v>
      </c>
    </row>
    <row r="69" spans="1:10" ht="18" customHeight="1">
      <c r="A69" s="244">
        <v>43296</v>
      </c>
      <c r="B69" s="245" t="s">
        <v>881</v>
      </c>
      <c r="C69" s="245" t="s">
        <v>523</v>
      </c>
      <c r="D69" s="245" t="s">
        <v>670</v>
      </c>
      <c r="E69" s="246">
        <v>45</v>
      </c>
      <c r="F69" s="246">
        <v>9.6</v>
      </c>
      <c r="G69" s="246">
        <v>550</v>
      </c>
      <c r="H69" s="246">
        <v>5280</v>
      </c>
      <c r="I69" s="245" t="s">
        <v>671</v>
      </c>
      <c r="J69" s="247">
        <v>633.6</v>
      </c>
    </row>
    <row r="70" spans="1:10" ht="18" customHeight="1">
      <c r="A70" s="244">
        <v>43296</v>
      </c>
      <c r="B70" s="245" t="s">
        <v>881</v>
      </c>
      <c r="C70" s="245" t="s">
        <v>523</v>
      </c>
      <c r="D70" s="245" t="s">
        <v>675</v>
      </c>
      <c r="E70" s="246">
        <v>60</v>
      </c>
      <c r="F70" s="246">
        <v>4.0199999999999996</v>
      </c>
      <c r="G70" s="246">
        <v>300</v>
      </c>
      <c r="H70" s="246">
        <v>1206</v>
      </c>
      <c r="I70" s="245" t="s">
        <v>430</v>
      </c>
      <c r="J70" s="247">
        <v>144.72</v>
      </c>
    </row>
    <row r="71" spans="1:10" ht="18" customHeight="1">
      <c r="A71" s="244">
        <v>43296</v>
      </c>
      <c r="B71" s="245" t="s">
        <v>880</v>
      </c>
      <c r="C71" s="245" t="s">
        <v>19</v>
      </c>
      <c r="D71" s="245" t="s">
        <v>664</v>
      </c>
      <c r="E71" s="246">
        <v>45</v>
      </c>
      <c r="F71" s="246">
        <v>7.04</v>
      </c>
      <c r="G71" s="246">
        <v>500</v>
      </c>
      <c r="H71" s="246">
        <v>3520</v>
      </c>
      <c r="I71" s="245" t="s">
        <v>431</v>
      </c>
      <c r="J71" s="247">
        <v>422.4</v>
      </c>
    </row>
    <row r="72" spans="1:10" ht="18" customHeight="1">
      <c r="A72" s="244">
        <v>43296</v>
      </c>
      <c r="B72" s="245" t="s">
        <v>882</v>
      </c>
      <c r="C72" s="245" t="s">
        <v>517</v>
      </c>
      <c r="D72" s="245" t="s">
        <v>672</v>
      </c>
      <c r="E72" s="246">
        <v>45</v>
      </c>
      <c r="F72" s="246">
        <v>4.0199999999999996</v>
      </c>
      <c r="G72" s="246">
        <v>200</v>
      </c>
      <c r="H72" s="246">
        <v>804</v>
      </c>
      <c r="I72" s="245" t="s">
        <v>431</v>
      </c>
      <c r="J72" s="247">
        <v>96.48</v>
      </c>
    </row>
    <row r="73" spans="1:10" ht="18" customHeight="1">
      <c r="A73" s="244">
        <v>43296</v>
      </c>
      <c r="B73" s="245" t="s">
        <v>880</v>
      </c>
      <c r="C73" s="245" t="s">
        <v>523</v>
      </c>
      <c r="D73" s="245" t="s">
        <v>673</v>
      </c>
      <c r="E73" s="246">
        <v>60</v>
      </c>
      <c r="F73" s="246">
        <v>5.56</v>
      </c>
      <c r="G73" s="246">
        <v>100</v>
      </c>
      <c r="H73" s="246">
        <v>556</v>
      </c>
      <c r="I73" s="245" t="s">
        <v>430</v>
      </c>
      <c r="J73" s="247">
        <v>66.72</v>
      </c>
    </row>
    <row r="74" spans="1:10" ht="18" customHeight="1">
      <c r="A74" s="244">
        <v>43296</v>
      </c>
      <c r="B74" s="245" t="s">
        <v>882</v>
      </c>
      <c r="C74" s="245" t="s">
        <v>669</v>
      </c>
      <c r="D74" s="245" t="s">
        <v>668</v>
      </c>
      <c r="E74" s="246">
        <v>30</v>
      </c>
      <c r="F74" s="246">
        <v>4.0199999999999996</v>
      </c>
      <c r="G74" s="246">
        <v>100</v>
      </c>
      <c r="H74" s="246">
        <v>402</v>
      </c>
      <c r="I74" s="245" t="s">
        <v>431</v>
      </c>
      <c r="J74" s="247">
        <v>48.24</v>
      </c>
    </row>
    <row r="75" spans="1:10" ht="18" customHeight="1">
      <c r="A75" s="244">
        <v>43296</v>
      </c>
      <c r="B75" s="245" t="s">
        <v>881</v>
      </c>
      <c r="C75" s="245" t="s">
        <v>523</v>
      </c>
      <c r="D75" s="245" t="s">
        <v>668</v>
      </c>
      <c r="E75" s="246">
        <v>45</v>
      </c>
      <c r="F75" s="246">
        <v>4.0199999999999996</v>
      </c>
      <c r="G75" s="246">
        <v>300</v>
      </c>
      <c r="H75" s="246">
        <v>1206</v>
      </c>
      <c r="I75" s="245" t="s">
        <v>430</v>
      </c>
      <c r="J75" s="247">
        <v>144.72</v>
      </c>
    </row>
    <row r="76" spans="1:10" ht="18" customHeight="1">
      <c r="A76" s="244">
        <v>43324</v>
      </c>
      <c r="B76" s="245" t="s">
        <v>880</v>
      </c>
      <c r="C76" s="245" t="s">
        <v>517</v>
      </c>
      <c r="D76" s="245" t="s">
        <v>673</v>
      </c>
      <c r="E76" s="246">
        <v>45</v>
      </c>
      <c r="F76" s="246">
        <v>5.56</v>
      </c>
      <c r="G76" s="246">
        <v>450</v>
      </c>
      <c r="H76" s="246">
        <v>2502</v>
      </c>
      <c r="I76" s="245" t="s">
        <v>431</v>
      </c>
      <c r="J76" s="247">
        <v>300.24</v>
      </c>
    </row>
    <row r="77" spans="1:10" ht="18" customHeight="1">
      <c r="A77" s="244">
        <v>43324</v>
      </c>
      <c r="B77" s="245" t="s">
        <v>880</v>
      </c>
      <c r="C77" s="245" t="s">
        <v>517</v>
      </c>
      <c r="D77" s="245" t="s">
        <v>672</v>
      </c>
      <c r="E77" s="246">
        <v>45</v>
      </c>
      <c r="F77" s="246">
        <v>4.0199999999999996</v>
      </c>
      <c r="G77" s="246">
        <v>1000</v>
      </c>
      <c r="H77" s="246">
        <v>4020</v>
      </c>
      <c r="I77" s="245" t="s">
        <v>431</v>
      </c>
      <c r="J77" s="247">
        <v>482.4</v>
      </c>
    </row>
    <row r="78" spans="1:10" ht="18" customHeight="1">
      <c r="A78" s="244">
        <v>43324</v>
      </c>
      <c r="B78" s="245" t="s">
        <v>882</v>
      </c>
      <c r="C78" s="245" t="s">
        <v>517</v>
      </c>
      <c r="D78" s="245" t="s">
        <v>668</v>
      </c>
      <c r="E78" s="246">
        <v>45</v>
      </c>
      <c r="F78" s="246">
        <v>5.56</v>
      </c>
      <c r="G78" s="246">
        <v>1200</v>
      </c>
      <c r="H78" s="246">
        <v>6672</v>
      </c>
      <c r="I78" s="245" t="s">
        <v>431</v>
      </c>
      <c r="J78" s="247">
        <v>800.64</v>
      </c>
    </row>
    <row r="79" spans="1:10" ht="18" customHeight="1">
      <c r="A79" s="244">
        <v>43327</v>
      </c>
      <c r="B79" s="245" t="s">
        <v>880</v>
      </c>
      <c r="C79" s="245" t="s">
        <v>517</v>
      </c>
      <c r="D79" s="245" t="s">
        <v>661</v>
      </c>
      <c r="E79" s="246">
        <v>30</v>
      </c>
      <c r="F79" s="246">
        <v>2.6</v>
      </c>
      <c r="G79" s="246">
        <v>300</v>
      </c>
      <c r="H79" s="246">
        <v>780</v>
      </c>
      <c r="I79" s="245" t="s">
        <v>430</v>
      </c>
      <c r="J79" s="247">
        <v>93.6</v>
      </c>
    </row>
    <row r="80" spans="1:10" ht="18" customHeight="1">
      <c r="A80" s="244">
        <v>43327</v>
      </c>
      <c r="B80" s="245" t="s">
        <v>882</v>
      </c>
      <c r="C80" s="245" t="s">
        <v>517</v>
      </c>
      <c r="D80" s="245" t="s">
        <v>675</v>
      </c>
      <c r="E80" s="246">
        <v>45</v>
      </c>
      <c r="F80" s="246">
        <v>2.77</v>
      </c>
      <c r="G80" s="246">
        <v>880</v>
      </c>
      <c r="H80" s="246">
        <v>2437.6</v>
      </c>
      <c r="I80" s="245" t="s">
        <v>431</v>
      </c>
      <c r="J80" s="247">
        <v>292.512</v>
      </c>
    </row>
    <row r="81" spans="1:10" ht="18" customHeight="1">
      <c r="A81" s="244">
        <v>43327</v>
      </c>
      <c r="B81" s="245" t="s">
        <v>882</v>
      </c>
      <c r="C81" s="245" t="s">
        <v>517</v>
      </c>
      <c r="D81" s="245" t="s">
        <v>675</v>
      </c>
      <c r="E81" s="246">
        <v>45</v>
      </c>
      <c r="F81" s="246">
        <v>5.56</v>
      </c>
      <c r="G81" s="246">
        <v>450</v>
      </c>
      <c r="H81" s="246">
        <v>2502</v>
      </c>
      <c r="I81" s="245" t="s">
        <v>430</v>
      </c>
      <c r="J81" s="247">
        <v>300.24</v>
      </c>
    </row>
    <row r="82" spans="1:10" ht="18" customHeight="1">
      <c r="A82" s="244">
        <v>43327</v>
      </c>
      <c r="B82" s="245" t="s">
        <v>882</v>
      </c>
      <c r="C82" s="245" t="s">
        <v>517</v>
      </c>
      <c r="D82" s="245" t="s">
        <v>674</v>
      </c>
      <c r="E82" s="246">
        <v>60</v>
      </c>
      <c r="F82" s="246">
        <v>2.77</v>
      </c>
      <c r="G82" s="246">
        <v>500</v>
      </c>
      <c r="H82" s="246">
        <v>1385</v>
      </c>
      <c r="I82" s="245" t="s">
        <v>431</v>
      </c>
      <c r="J82" s="247">
        <v>166.2</v>
      </c>
    </row>
    <row r="83" spans="1:10" ht="18" customHeight="1">
      <c r="A83" s="244">
        <v>43327</v>
      </c>
      <c r="B83" s="245" t="s">
        <v>881</v>
      </c>
      <c r="C83" s="245" t="s">
        <v>19</v>
      </c>
      <c r="D83" s="245" t="s">
        <v>672</v>
      </c>
      <c r="E83" s="246">
        <v>30</v>
      </c>
      <c r="F83" s="246">
        <v>4.0199999999999996</v>
      </c>
      <c r="G83" s="246">
        <v>530</v>
      </c>
      <c r="H83" s="246">
        <v>2130.6</v>
      </c>
      <c r="I83" s="245" t="s">
        <v>431</v>
      </c>
      <c r="J83" s="247">
        <v>255.67199999999997</v>
      </c>
    </row>
    <row r="84" spans="1:10" ht="18" customHeight="1">
      <c r="A84" s="244">
        <v>43327</v>
      </c>
      <c r="B84" s="245" t="s">
        <v>882</v>
      </c>
      <c r="C84" s="245" t="s">
        <v>517</v>
      </c>
      <c r="D84" s="245" t="s">
        <v>674</v>
      </c>
      <c r="E84" s="246">
        <v>30</v>
      </c>
      <c r="F84" s="246">
        <v>2.77</v>
      </c>
      <c r="G84" s="246">
        <v>400</v>
      </c>
      <c r="H84" s="246">
        <v>1108</v>
      </c>
      <c r="I84" s="245" t="s">
        <v>431</v>
      </c>
      <c r="J84" s="247">
        <v>132.96</v>
      </c>
    </row>
    <row r="85" spans="1:10" ht="18" customHeight="1">
      <c r="A85" s="244">
        <v>43327</v>
      </c>
      <c r="B85" s="245" t="s">
        <v>880</v>
      </c>
      <c r="C85" s="245" t="s">
        <v>523</v>
      </c>
      <c r="D85" s="245" t="s">
        <v>675</v>
      </c>
      <c r="E85" s="246">
        <v>30</v>
      </c>
      <c r="F85" s="246">
        <v>9.6</v>
      </c>
      <c r="G85" s="246">
        <v>300</v>
      </c>
      <c r="H85" s="246">
        <v>2880</v>
      </c>
      <c r="I85" s="245" t="s">
        <v>431</v>
      </c>
      <c r="J85" s="247">
        <v>345.6</v>
      </c>
    </row>
    <row r="86" spans="1:10" ht="18" customHeight="1">
      <c r="A86" s="244">
        <v>43327</v>
      </c>
      <c r="B86" s="245" t="s">
        <v>882</v>
      </c>
      <c r="C86" s="245" t="s">
        <v>19</v>
      </c>
      <c r="D86" s="245" t="s">
        <v>664</v>
      </c>
      <c r="E86" s="246">
        <v>30</v>
      </c>
      <c r="F86" s="246">
        <v>7.04</v>
      </c>
      <c r="G86" s="246">
        <v>30</v>
      </c>
      <c r="H86" s="246">
        <v>211.2</v>
      </c>
      <c r="I86" s="245" t="s">
        <v>431</v>
      </c>
      <c r="J86" s="247">
        <v>25.343999999999998</v>
      </c>
    </row>
    <row r="87" spans="1:10" ht="18" customHeight="1">
      <c r="A87" s="244">
        <v>43327</v>
      </c>
      <c r="B87" s="245" t="s">
        <v>880</v>
      </c>
      <c r="C87" s="245" t="s">
        <v>517</v>
      </c>
      <c r="D87" s="245" t="s">
        <v>672</v>
      </c>
      <c r="E87" s="246">
        <v>45</v>
      </c>
      <c r="F87" s="246">
        <v>4.0199999999999996</v>
      </c>
      <c r="G87" s="246">
        <v>220</v>
      </c>
      <c r="H87" s="246">
        <v>884.4</v>
      </c>
      <c r="I87" s="245" t="s">
        <v>666</v>
      </c>
      <c r="J87" s="247">
        <v>106.12799999999999</v>
      </c>
    </row>
    <row r="88" spans="1:10" ht="18" customHeight="1">
      <c r="A88" s="244">
        <v>43327</v>
      </c>
      <c r="B88" s="245" t="s">
        <v>881</v>
      </c>
      <c r="C88" s="245" t="s">
        <v>517</v>
      </c>
      <c r="D88" s="245" t="s">
        <v>673</v>
      </c>
      <c r="E88" s="246">
        <v>45</v>
      </c>
      <c r="F88" s="246">
        <v>5.56</v>
      </c>
      <c r="G88" s="246">
        <v>460</v>
      </c>
      <c r="H88" s="246">
        <v>2557.6</v>
      </c>
      <c r="I88" s="245" t="s">
        <v>430</v>
      </c>
      <c r="J88" s="247">
        <v>306.91199999999998</v>
      </c>
    </row>
    <row r="89" spans="1:10" ht="18" customHeight="1">
      <c r="A89" s="244">
        <v>43327</v>
      </c>
      <c r="B89" s="245" t="s">
        <v>880</v>
      </c>
      <c r="C89" s="245" t="s">
        <v>517</v>
      </c>
      <c r="D89" s="245" t="s">
        <v>674</v>
      </c>
      <c r="E89" s="246">
        <v>45</v>
      </c>
      <c r="F89" s="246">
        <v>2.77</v>
      </c>
      <c r="G89" s="246">
        <v>200</v>
      </c>
      <c r="H89" s="246">
        <v>554</v>
      </c>
      <c r="I89" s="245" t="s">
        <v>430</v>
      </c>
      <c r="J89" s="247">
        <v>66.48</v>
      </c>
    </row>
    <row r="90" spans="1:10" ht="18" customHeight="1">
      <c r="A90" s="244">
        <v>43327</v>
      </c>
      <c r="B90" s="245" t="s">
        <v>880</v>
      </c>
      <c r="C90" s="245" t="s">
        <v>523</v>
      </c>
      <c r="D90" s="245" t="s">
        <v>672</v>
      </c>
      <c r="E90" s="246">
        <v>45</v>
      </c>
      <c r="F90" s="246">
        <v>4.0199999999999996</v>
      </c>
      <c r="G90" s="246">
        <v>380</v>
      </c>
      <c r="H90" s="246">
        <v>1527.6</v>
      </c>
      <c r="I90" s="245" t="s">
        <v>431</v>
      </c>
      <c r="J90" s="247">
        <v>183.31199999999998</v>
      </c>
    </row>
    <row r="91" spans="1:10" ht="18" customHeight="1">
      <c r="A91" s="244">
        <v>43327</v>
      </c>
      <c r="B91" s="245" t="s">
        <v>880</v>
      </c>
      <c r="C91" s="245" t="s">
        <v>523</v>
      </c>
      <c r="D91" s="245" t="s">
        <v>672</v>
      </c>
      <c r="E91" s="246">
        <v>30</v>
      </c>
      <c r="F91" s="246">
        <v>4.0199999999999996</v>
      </c>
      <c r="G91" s="246">
        <v>560</v>
      </c>
      <c r="H91" s="246">
        <v>2251.1999999999998</v>
      </c>
      <c r="I91" s="245" t="s">
        <v>671</v>
      </c>
      <c r="J91" s="247">
        <v>270.14399999999995</v>
      </c>
    </row>
    <row r="92" spans="1:10" ht="18" customHeight="1">
      <c r="A92" s="244">
        <v>43327</v>
      </c>
      <c r="B92" s="245" t="s">
        <v>880</v>
      </c>
      <c r="C92" s="245" t="s">
        <v>19</v>
      </c>
      <c r="D92" s="245" t="s">
        <v>674</v>
      </c>
      <c r="E92" s="246">
        <v>30</v>
      </c>
      <c r="F92" s="246">
        <v>2.77</v>
      </c>
      <c r="G92" s="246">
        <v>800</v>
      </c>
      <c r="H92" s="246">
        <v>2216</v>
      </c>
      <c r="I92" s="245" t="s">
        <v>430</v>
      </c>
      <c r="J92" s="247">
        <v>265.92</v>
      </c>
    </row>
    <row r="93" spans="1:10" ht="18" customHeight="1">
      <c r="A93" s="244">
        <v>43327</v>
      </c>
      <c r="B93" s="245" t="s">
        <v>882</v>
      </c>
      <c r="C93" s="245" t="s">
        <v>517</v>
      </c>
      <c r="D93" s="245" t="s">
        <v>670</v>
      </c>
      <c r="E93" s="246">
        <v>45</v>
      </c>
      <c r="F93" s="246">
        <v>9.6</v>
      </c>
      <c r="G93" s="246">
        <v>500</v>
      </c>
      <c r="H93" s="246">
        <v>4800</v>
      </c>
      <c r="I93" s="245" t="s">
        <v>431</v>
      </c>
      <c r="J93" s="247">
        <v>576</v>
      </c>
    </row>
    <row r="94" spans="1:10" ht="18" customHeight="1">
      <c r="A94" s="244">
        <v>43327</v>
      </c>
      <c r="B94" s="245" t="s">
        <v>882</v>
      </c>
      <c r="C94" s="245" t="s">
        <v>517</v>
      </c>
      <c r="D94" s="245" t="s">
        <v>675</v>
      </c>
      <c r="E94" s="246">
        <v>60</v>
      </c>
      <c r="F94" s="246">
        <v>5.56</v>
      </c>
      <c r="G94" s="246">
        <v>450</v>
      </c>
      <c r="H94" s="246">
        <v>2502</v>
      </c>
      <c r="I94" s="245" t="s">
        <v>430</v>
      </c>
      <c r="J94" s="247">
        <v>300.24</v>
      </c>
    </row>
    <row r="95" spans="1:10" ht="18" customHeight="1">
      <c r="A95" s="244">
        <v>43327</v>
      </c>
      <c r="B95" s="245" t="s">
        <v>880</v>
      </c>
      <c r="C95" s="245" t="s">
        <v>517</v>
      </c>
      <c r="D95" s="245" t="s">
        <v>661</v>
      </c>
      <c r="E95" s="246">
        <v>45</v>
      </c>
      <c r="F95" s="246">
        <v>2.6</v>
      </c>
      <c r="G95" s="246">
        <v>300</v>
      </c>
      <c r="H95" s="246">
        <v>780</v>
      </c>
      <c r="I95" s="245" t="s">
        <v>430</v>
      </c>
      <c r="J95" s="247">
        <v>93.6</v>
      </c>
    </row>
    <row r="96" spans="1:10" ht="18" customHeight="1">
      <c r="A96" s="244">
        <v>43327</v>
      </c>
      <c r="B96" s="245" t="s">
        <v>880</v>
      </c>
      <c r="C96" s="245" t="s">
        <v>517</v>
      </c>
      <c r="D96" s="245" t="s">
        <v>661</v>
      </c>
      <c r="E96" s="246">
        <v>45</v>
      </c>
      <c r="F96" s="246">
        <v>2.6</v>
      </c>
      <c r="G96" s="246">
        <v>300</v>
      </c>
      <c r="H96" s="246">
        <v>780</v>
      </c>
      <c r="I96" s="245" t="s">
        <v>430</v>
      </c>
      <c r="J96" s="247">
        <v>93.6</v>
      </c>
    </row>
    <row r="97" spans="1:10" ht="18" customHeight="1">
      <c r="A97" s="244">
        <v>43327</v>
      </c>
      <c r="B97" s="245" t="s">
        <v>880</v>
      </c>
      <c r="C97" s="245" t="s">
        <v>517</v>
      </c>
      <c r="D97" s="245" t="s">
        <v>661</v>
      </c>
      <c r="E97" s="246">
        <v>45</v>
      </c>
      <c r="F97" s="246">
        <v>2.6</v>
      </c>
      <c r="G97" s="246">
        <v>300</v>
      </c>
      <c r="H97" s="246">
        <v>780</v>
      </c>
      <c r="I97" s="245" t="s">
        <v>430</v>
      </c>
      <c r="J97" s="247">
        <v>93.6</v>
      </c>
    </row>
    <row r="98" spans="1:10" ht="18" customHeight="1">
      <c r="A98" s="244">
        <v>43339</v>
      </c>
      <c r="B98" s="245" t="s">
        <v>880</v>
      </c>
      <c r="C98" s="245" t="s">
        <v>517</v>
      </c>
      <c r="D98" s="245" t="s">
        <v>661</v>
      </c>
      <c r="E98" s="246">
        <v>30</v>
      </c>
      <c r="F98" s="246">
        <v>2.6</v>
      </c>
      <c r="G98" s="246">
        <v>600</v>
      </c>
      <c r="H98" s="246">
        <v>1560</v>
      </c>
      <c r="I98" s="245" t="s">
        <v>431</v>
      </c>
      <c r="J98" s="247">
        <v>187.2</v>
      </c>
    </row>
    <row r="99" spans="1:10" ht="18" customHeight="1">
      <c r="A99" s="244">
        <v>43339</v>
      </c>
      <c r="B99" s="245" t="s">
        <v>882</v>
      </c>
      <c r="C99" s="245" t="s">
        <v>517</v>
      </c>
      <c r="D99" s="245" t="s">
        <v>674</v>
      </c>
      <c r="E99" s="246">
        <v>45</v>
      </c>
      <c r="F99" s="246">
        <v>2.77</v>
      </c>
      <c r="G99" s="246">
        <v>40</v>
      </c>
      <c r="H99" s="246">
        <v>110.8</v>
      </c>
      <c r="I99" s="245" t="s">
        <v>431</v>
      </c>
      <c r="J99" s="247">
        <v>13.295999999999999</v>
      </c>
    </row>
    <row r="100" spans="1:10" ht="18" customHeight="1">
      <c r="A100" s="244">
        <v>43339</v>
      </c>
      <c r="B100" s="245" t="s">
        <v>880</v>
      </c>
      <c r="C100" s="245" t="s">
        <v>517</v>
      </c>
      <c r="D100" s="245" t="s">
        <v>672</v>
      </c>
      <c r="E100" s="246">
        <v>60</v>
      </c>
      <c r="F100" s="246">
        <v>4.0199999999999996</v>
      </c>
      <c r="G100" s="246">
        <v>600</v>
      </c>
      <c r="H100" s="246">
        <v>2412</v>
      </c>
      <c r="I100" s="245" t="s">
        <v>431</v>
      </c>
      <c r="J100" s="247">
        <v>289.44</v>
      </c>
    </row>
    <row r="101" spans="1:10" ht="18" customHeight="1">
      <c r="A101" s="244">
        <v>43339</v>
      </c>
      <c r="B101" s="245" t="s">
        <v>880</v>
      </c>
      <c r="C101" s="245" t="s">
        <v>517</v>
      </c>
      <c r="D101" s="245" t="s">
        <v>670</v>
      </c>
      <c r="E101" s="246">
        <v>60</v>
      </c>
      <c r="F101" s="246">
        <v>9.6</v>
      </c>
      <c r="G101" s="246">
        <v>500</v>
      </c>
      <c r="H101" s="246">
        <v>4800</v>
      </c>
      <c r="I101" s="245" t="s">
        <v>431</v>
      </c>
      <c r="J101" s="247">
        <v>576</v>
      </c>
    </row>
    <row r="102" spans="1:10" ht="18" customHeight="1">
      <c r="A102" s="244">
        <v>43339</v>
      </c>
      <c r="B102" s="245" t="s">
        <v>880</v>
      </c>
      <c r="C102" s="245" t="s">
        <v>523</v>
      </c>
      <c r="D102" s="245" t="s">
        <v>668</v>
      </c>
      <c r="E102" s="246">
        <v>45</v>
      </c>
      <c r="F102" s="246">
        <v>4.0199999999999996</v>
      </c>
      <c r="G102" s="246">
        <v>450</v>
      </c>
      <c r="H102" s="246">
        <v>1809</v>
      </c>
      <c r="I102" s="245" t="s">
        <v>431</v>
      </c>
      <c r="J102" s="247">
        <v>217.08</v>
      </c>
    </row>
    <row r="103" spans="1:10" ht="18" customHeight="1">
      <c r="A103" s="244">
        <v>43339</v>
      </c>
      <c r="B103" s="245" t="s">
        <v>881</v>
      </c>
      <c r="C103" s="245" t="s">
        <v>523</v>
      </c>
      <c r="D103" s="245" t="s">
        <v>673</v>
      </c>
      <c r="E103" s="246">
        <v>45</v>
      </c>
      <c r="F103" s="246">
        <v>5.56</v>
      </c>
      <c r="G103" s="246">
        <v>400</v>
      </c>
      <c r="H103" s="246">
        <v>2224</v>
      </c>
      <c r="I103" s="245" t="s">
        <v>431</v>
      </c>
      <c r="J103" s="247">
        <v>266.88</v>
      </c>
    </row>
    <row r="104" spans="1:10" ht="18" customHeight="1">
      <c r="A104" s="244">
        <v>43339</v>
      </c>
      <c r="B104" s="245" t="s">
        <v>880</v>
      </c>
      <c r="C104" s="245" t="s">
        <v>517</v>
      </c>
      <c r="D104" s="245" t="s">
        <v>674</v>
      </c>
      <c r="E104" s="246">
        <v>30</v>
      </c>
      <c r="F104" s="246">
        <v>2.77</v>
      </c>
      <c r="G104" s="246">
        <v>200</v>
      </c>
      <c r="H104" s="246">
        <v>554</v>
      </c>
      <c r="I104" s="245" t="s">
        <v>431</v>
      </c>
      <c r="J104" s="247">
        <v>66.48</v>
      </c>
    </row>
    <row r="105" spans="1:10" ht="18" customHeight="1">
      <c r="A105" s="244">
        <v>43339</v>
      </c>
      <c r="B105" s="245" t="s">
        <v>881</v>
      </c>
      <c r="C105" s="245" t="s">
        <v>523</v>
      </c>
      <c r="D105" s="245" t="s">
        <v>668</v>
      </c>
      <c r="E105" s="246">
        <v>30</v>
      </c>
      <c r="F105" s="246">
        <v>5.56</v>
      </c>
      <c r="G105" s="246">
        <v>1300</v>
      </c>
      <c r="H105" s="246">
        <v>7228</v>
      </c>
      <c r="I105" s="245" t="s">
        <v>431</v>
      </c>
      <c r="J105" s="247">
        <v>867.36</v>
      </c>
    </row>
    <row r="106" spans="1:10" ht="18" customHeight="1">
      <c r="A106" s="244">
        <v>43339</v>
      </c>
      <c r="B106" s="245" t="s">
        <v>880</v>
      </c>
      <c r="C106" s="245" t="s">
        <v>517</v>
      </c>
      <c r="D106" s="245" t="s">
        <v>674</v>
      </c>
      <c r="E106" s="246">
        <v>45</v>
      </c>
      <c r="F106" s="246">
        <v>2.77</v>
      </c>
      <c r="G106" s="246">
        <v>460</v>
      </c>
      <c r="H106" s="246">
        <v>1274.2</v>
      </c>
      <c r="I106" s="245" t="s">
        <v>431</v>
      </c>
      <c r="J106" s="247">
        <v>152.904</v>
      </c>
    </row>
    <row r="107" spans="1:10" ht="18" customHeight="1">
      <c r="A107" s="244">
        <v>43339</v>
      </c>
      <c r="B107" s="245" t="s">
        <v>882</v>
      </c>
      <c r="C107" s="245" t="s">
        <v>19</v>
      </c>
      <c r="D107" s="245" t="s">
        <v>670</v>
      </c>
      <c r="E107" s="246">
        <v>45</v>
      </c>
      <c r="F107" s="246">
        <v>9.6</v>
      </c>
      <c r="G107" s="246">
        <v>450</v>
      </c>
      <c r="H107" s="246">
        <v>4320</v>
      </c>
      <c r="I107" s="245" t="s">
        <v>431</v>
      </c>
      <c r="J107" s="247">
        <v>518.4</v>
      </c>
    </row>
    <row r="108" spans="1:10" ht="18" customHeight="1">
      <c r="A108" s="244">
        <v>43339</v>
      </c>
      <c r="B108" s="245" t="s">
        <v>881</v>
      </c>
      <c r="C108" s="245" t="s">
        <v>517</v>
      </c>
      <c r="D108" s="245" t="s">
        <v>674</v>
      </c>
      <c r="E108" s="246">
        <v>45</v>
      </c>
      <c r="F108" s="246">
        <v>2.77</v>
      </c>
      <c r="G108" s="246">
        <v>1000</v>
      </c>
      <c r="H108" s="246">
        <v>2770</v>
      </c>
      <c r="I108" s="245" t="s">
        <v>431</v>
      </c>
      <c r="J108" s="247">
        <v>332.4</v>
      </c>
    </row>
    <row r="109" spans="1:10" ht="18" customHeight="1">
      <c r="A109" s="244">
        <v>43339</v>
      </c>
      <c r="B109" s="245" t="s">
        <v>880</v>
      </c>
      <c r="C109" s="245" t="s">
        <v>517</v>
      </c>
      <c r="D109" s="245" t="s">
        <v>670</v>
      </c>
      <c r="E109" s="246">
        <v>45</v>
      </c>
      <c r="F109" s="246">
        <v>9.6</v>
      </c>
      <c r="G109" s="246">
        <v>500</v>
      </c>
      <c r="H109" s="246">
        <v>4800</v>
      </c>
      <c r="I109" s="245" t="s">
        <v>431</v>
      </c>
      <c r="J109" s="247">
        <v>576</v>
      </c>
    </row>
    <row r="110" spans="1:10" ht="18" customHeight="1">
      <c r="A110" s="244">
        <v>43339</v>
      </c>
      <c r="B110" s="245" t="s">
        <v>882</v>
      </c>
      <c r="C110" s="245" t="s">
        <v>19</v>
      </c>
      <c r="D110" s="245" t="s">
        <v>668</v>
      </c>
      <c r="E110" s="246">
        <v>30</v>
      </c>
      <c r="F110" s="246">
        <v>2.77</v>
      </c>
      <c r="G110" s="246">
        <v>450</v>
      </c>
      <c r="H110" s="246">
        <v>1246.5</v>
      </c>
      <c r="I110" s="245" t="s">
        <v>430</v>
      </c>
      <c r="J110" s="247">
        <v>149.58000000000001</v>
      </c>
    </row>
    <row r="111" spans="1:10" ht="18" customHeight="1">
      <c r="A111" s="244">
        <v>43339</v>
      </c>
      <c r="B111" s="245" t="s">
        <v>880</v>
      </c>
      <c r="C111" s="245" t="s">
        <v>517</v>
      </c>
      <c r="D111" s="245" t="s">
        <v>674</v>
      </c>
      <c r="E111" s="246">
        <v>30</v>
      </c>
      <c r="F111" s="246">
        <v>2.77</v>
      </c>
      <c r="G111" s="246">
        <v>650</v>
      </c>
      <c r="H111" s="246">
        <v>1800.5</v>
      </c>
      <c r="I111" s="245" t="s">
        <v>431</v>
      </c>
      <c r="J111" s="247">
        <v>216.06</v>
      </c>
    </row>
    <row r="112" spans="1:10" ht="18" customHeight="1">
      <c r="A112" s="244">
        <v>43339</v>
      </c>
      <c r="B112" s="245" t="s">
        <v>881</v>
      </c>
      <c r="C112" s="245" t="s">
        <v>19</v>
      </c>
      <c r="D112" s="245" t="s">
        <v>673</v>
      </c>
      <c r="E112" s="246">
        <v>45</v>
      </c>
      <c r="F112" s="246">
        <v>5.56</v>
      </c>
      <c r="G112" s="246">
        <v>750</v>
      </c>
      <c r="H112" s="246">
        <v>4170</v>
      </c>
      <c r="I112" s="245" t="s">
        <v>431</v>
      </c>
      <c r="J112" s="247">
        <v>500.4</v>
      </c>
    </row>
    <row r="113" spans="1:10" ht="18" customHeight="1">
      <c r="A113" s="244">
        <v>43339</v>
      </c>
      <c r="B113" s="245" t="s">
        <v>880</v>
      </c>
      <c r="C113" s="245" t="s">
        <v>517</v>
      </c>
      <c r="D113" s="245" t="s">
        <v>672</v>
      </c>
      <c r="E113" s="246">
        <v>45</v>
      </c>
      <c r="F113" s="246">
        <v>4.0199999999999996</v>
      </c>
      <c r="G113" s="246">
        <v>600</v>
      </c>
      <c r="H113" s="246">
        <v>2412</v>
      </c>
      <c r="I113" s="245" t="s">
        <v>431</v>
      </c>
      <c r="J113" s="247">
        <v>289.44</v>
      </c>
    </row>
    <row r="114" spans="1:10" ht="18" customHeight="1">
      <c r="A114" s="244">
        <v>43339</v>
      </c>
      <c r="B114" s="245" t="s">
        <v>881</v>
      </c>
      <c r="C114" s="245" t="s">
        <v>19</v>
      </c>
      <c r="D114" s="245" t="s">
        <v>674</v>
      </c>
      <c r="E114" s="246">
        <v>60</v>
      </c>
      <c r="F114" s="246">
        <v>2.77</v>
      </c>
      <c r="G114" s="246">
        <v>300</v>
      </c>
      <c r="H114" s="246">
        <v>831</v>
      </c>
      <c r="I114" s="245" t="s">
        <v>431</v>
      </c>
      <c r="J114" s="247">
        <v>99.72</v>
      </c>
    </row>
    <row r="115" spans="1:10" ht="18" customHeight="1">
      <c r="A115" s="244">
        <v>43339</v>
      </c>
      <c r="B115" s="245" t="s">
        <v>882</v>
      </c>
      <c r="C115" s="245" t="s">
        <v>19</v>
      </c>
      <c r="D115" s="245" t="s">
        <v>674</v>
      </c>
      <c r="E115" s="246">
        <v>45</v>
      </c>
      <c r="F115" s="246">
        <v>2.77</v>
      </c>
      <c r="G115" s="246">
        <v>1000</v>
      </c>
      <c r="H115" s="246">
        <v>2770</v>
      </c>
      <c r="I115" s="245" t="s">
        <v>431</v>
      </c>
      <c r="J115" s="247">
        <v>332.4</v>
      </c>
    </row>
    <row r="116" spans="1:10" ht="18" customHeight="1">
      <c r="A116" s="244">
        <v>43339</v>
      </c>
      <c r="B116" s="245" t="s">
        <v>880</v>
      </c>
      <c r="C116" s="245" t="s">
        <v>517</v>
      </c>
      <c r="D116" s="245" t="s">
        <v>661</v>
      </c>
      <c r="E116" s="246">
        <v>30</v>
      </c>
      <c r="F116" s="246">
        <v>2.6</v>
      </c>
      <c r="G116" s="246">
        <v>600</v>
      </c>
      <c r="H116" s="246">
        <v>1560</v>
      </c>
      <c r="I116" s="245" t="s">
        <v>431</v>
      </c>
      <c r="J116" s="247">
        <v>187.2</v>
      </c>
    </row>
    <row r="117" spans="1:10" ht="18" customHeight="1" thickBot="1">
      <c r="A117" s="248">
        <v>43339</v>
      </c>
      <c r="B117" s="249" t="s">
        <v>880</v>
      </c>
      <c r="C117" s="249" t="s">
        <v>517</v>
      </c>
      <c r="D117" s="249" t="s">
        <v>661</v>
      </c>
      <c r="E117" s="250">
        <v>60</v>
      </c>
      <c r="F117" s="250">
        <v>2.6</v>
      </c>
      <c r="G117" s="250">
        <v>600</v>
      </c>
      <c r="H117" s="250">
        <v>1560</v>
      </c>
      <c r="I117" s="249" t="s">
        <v>431</v>
      </c>
      <c r="J117" s="251">
        <v>187.2</v>
      </c>
    </row>
    <row r="119" spans="1:10" s="252" customFormat="1" ht="18" customHeight="1" thickBot="1"/>
    <row r="120" spans="1:10" ht="18" customHeight="1">
      <c r="A120" s="236" t="s">
        <v>677</v>
      </c>
      <c r="B120" s="253"/>
      <c r="C120" s="253"/>
      <c r="D120" s="253"/>
      <c r="E120" s="253"/>
      <c r="F120" s="253"/>
      <c r="G120" s="253"/>
      <c r="H120" s="253"/>
      <c r="I120" s="253"/>
      <c r="J120" s="254"/>
    </row>
    <row r="121" spans="1:10" ht="18" customHeight="1" thickBot="1">
      <c r="A121" s="255" t="s">
        <v>565</v>
      </c>
      <c r="B121" s="256" t="s">
        <v>678</v>
      </c>
      <c r="C121" s="256" t="s">
        <v>676</v>
      </c>
      <c r="D121" s="256" t="s">
        <v>546</v>
      </c>
      <c r="E121" s="256" t="s">
        <v>679</v>
      </c>
      <c r="F121" s="256" t="s">
        <v>680</v>
      </c>
      <c r="G121" s="256" t="s">
        <v>681</v>
      </c>
      <c r="H121" s="256" t="s">
        <v>682</v>
      </c>
      <c r="I121" s="256" t="s">
        <v>683</v>
      </c>
      <c r="J121" s="257" t="s">
        <v>684</v>
      </c>
    </row>
    <row r="123" spans="1:10" s="258" customFormat="1" ht="18" customHeight="1"/>
    <row r="124" spans="1:10" ht="18" customHeight="1">
      <c r="A124" s="845" t="s">
        <v>685</v>
      </c>
      <c r="B124" s="845"/>
      <c r="C124" s="845"/>
      <c r="D124" s="845"/>
      <c r="E124" s="845"/>
      <c r="F124" s="845"/>
    </row>
    <row r="125" spans="1:10" ht="18" customHeight="1">
      <c r="A125" s="845"/>
      <c r="B125" s="845"/>
      <c r="C125" s="845"/>
      <c r="D125" s="845"/>
      <c r="E125" s="845"/>
      <c r="F125" s="845"/>
    </row>
    <row r="126" spans="1:10" ht="18" customHeight="1" thickBot="1"/>
    <row r="127" spans="1:10" ht="18" customHeight="1">
      <c r="A127" s="236" t="s">
        <v>598</v>
      </c>
      <c r="B127" s="237" t="s">
        <v>0</v>
      </c>
      <c r="C127" s="238" t="s">
        <v>112</v>
      </c>
      <c r="D127" s="259" t="s">
        <v>330</v>
      </c>
    </row>
    <row r="128" spans="1:10" ht="18" customHeight="1">
      <c r="A128" s="240">
        <f ca="1">INT(TODAY() - (100 * RAND()))</f>
        <v>46043</v>
      </c>
      <c r="B128" s="241" t="str">
        <f ca="1">CHOOSE(1 + FLOOR(COLUMNS($A$121:$E$121) * RAND(), 1), $A$121, $B$121, $C$121, $D$121, $E$121)</f>
        <v>Carolina</v>
      </c>
      <c r="C128" s="260">
        <f ca="1">INT(200 + (80 * RAND()))</f>
        <v>242</v>
      </c>
      <c r="D128" s="261">
        <f ca="1" xml:space="preserve"> ROUND(40000 + (10000 * RAND()), 2)</f>
        <v>40087.019999999997</v>
      </c>
    </row>
    <row r="129" spans="1:4" ht="18" customHeight="1">
      <c r="A129" s="244">
        <f ca="1">A128 + 1</f>
        <v>46044</v>
      </c>
      <c r="B129" s="245" t="str">
        <f t="shared" ref="B129:B142" ca="1" si="0">CHOOSE(1 + FLOOR(COLUMNS($A$121:$E$121) * RAND(), 1), $A$121, $B$121, $C$121, $D$121, $E$121)</f>
        <v>Alice</v>
      </c>
      <c r="C129" s="262">
        <f t="shared" ref="C129:C142" ca="1" si="1">INT(200 + (80 * RAND()))</f>
        <v>271</v>
      </c>
      <c r="D129" s="263">
        <f t="shared" ref="D129:D142" ca="1" si="2" xml:space="preserve"> ROUND(40000 + (10000 * RAND()), 2)</f>
        <v>46817.85</v>
      </c>
    </row>
    <row r="130" spans="1:4" ht="18" customHeight="1">
      <c r="A130" s="244">
        <f t="shared" ref="A130:A142" ca="1" si="3">A129 + 1</f>
        <v>46045</v>
      </c>
      <c r="B130" s="245" t="str">
        <f t="shared" ca="1" si="0"/>
        <v>Alice</v>
      </c>
      <c r="C130" s="262">
        <f t="shared" ca="1" si="1"/>
        <v>245</v>
      </c>
      <c r="D130" s="263">
        <f t="shared" ca="1" si="2"/>
        <v>43136.91</v>
      </c>
    </row>
    <row r="131" spans="1:4" ht="18" customHeight="1">
      <c r="A131" s="244">
        <f t="shared" ca="1" si="3"/>
        <v>46046</v>
      </c>
      <c r="B131" s="245" t="str">
        <f t="shared" ca="1" si="0"/>
        <v>Carolina</v>
      </c>
      <c r="C131" s="262">
        <f t="shared" ca="1" si="1"/>
        <v>267</v>
      </c>
      <c r="D131" s="263">
        <f t="shared" ca="1" si="2"/>
        <v>49096.99</v>
      </c>
    </row>
    <row r="132" spans="1:4" ht="18" customHeight="1">
      <c r="A132" s="244">
        <f t="shared" ca="1" si="3"/>
        <v>46047</v>
      </c>
      <c r="B132" s="245" t="str">
        <f t="shared" ca="1" si="0"/>
        <v>Carlos</v>
      </c>
      <c r="C132" s="262">
        <f t="shared" ca="1" si="1"/>
        <v>207</v>
      </c>
      <c r="D132" s="263">
        <f t="shared" ca="1" si="2"/>
        <v>42176.75</v>
      </c>
    </row>
    <row r="133" spans="1:4" ht="18" customHeight="1">
      <c r="A133" s="244">
        <f t="shared" ca="1" si="3"/>
        <v>46048</v>
      </c>
      <c r="B133" s="245" t="str">
        <f t="shared" ca="1" si="0"/>
        <v>Carolina</v>
      </c>
      <c r="C133" s="262">
        <f t="shared" ca="1" si="1"/>
        <v>239</v>
      </c>
      <c r="D133" s="263">
        <f t="shared" ca="1" si="2"/>
        <v>40766.800000000003</v>
      </c>
    </row>
    <row r="134" spans="1:4" ht="18" customHeight="1">
      <c r="A134" s="244">
        <f t="shared" ca="1" si="3"/>
        <v>46049</v>
      </c>
      <c r="B134" s="245" t="str">
        <f t="shared" ca="1" si="0"/>
        <v>David</v>
      </c>
      <c r="C134" s="262">
        <f t="shared" ca="1" si="1"/>
        <v>209</v>
      </c>
      <c r="D134" s="263">
        <f t="shared" ca="1" si="2"/>
        <v>42669.78</v>
      </c>
    </row>
    <row r="135" spans="1:4" ht="18" customHeight="1">
      <c r="A135" s="244">
        <f t="shared" ca="1" si="3"/>
        <v>46050</v>
      </c>
      <c r="B135" s="245" t="str">
        <f t="shared" ca="1" si="0"/>
        <v>David</v>
      </c>
      <c r="C135" s="262">
        <f t="shared" ca="1" si="1"/>
        <v>246</v>
      </c>
      <c r="D135" s="263">
        <f t="shared" ca="1" si="2"/>
        <v>44663.67</v>
      </c>
    </row>
    <row r="136" spans="1:4" ht="18" customHeight="1">
      <c r="A136" s="244">
        <f t="shared" ca="1" si="3"/>
        <v>46051</v>
      </c>
      <c r="B136" s="245" t="str">
        <f t="shared" ca="1" si="0"/>
        <v>Alice</v>
      </c>
      <c r="C136" s="262">
        <f t="shared" ca="1" si="1"/>
        <v>227</v>
      </c>
      <c r="D136" s="263">
        <f t="shared" ca="1" si="2"/>
        <v>40926.35</v>
      </c>
    </row>
    <row r="137" spans="1:4" ht="18" customHeight="1">
      <c r="A137" s="244">
        <f t="shared" ca="1" si="3"/>
        <v>46052</v>
      </c>
      <c r="B137" s="245" t="str">
        <f t="shared" ca="1" si="0"/>
        <v>David</v>
      </c>
      <c r="C137" s="262">
        <f t="shared" ca="1" si="1"/>
        <v>274</v>
      </c>
      <c r="D137" s="263">
        <f t="shared" ca="1" si="2"/>
        <v>43695.95</v>
      </c>
    </row>
    <row r="138" spans="1:4" ht="18" customHeight="1">
      <c r="A138" s="244">
        <f t="shared" ca="1" si="3"/>
        <v>46053</v>
      </c>
      <c r="B138" s="245" t="str">
        <f t="shared" ca="1" si="0"/>
        <v>Carolina</v>
      </c>
      <c r="C138" s="262">
        <f t="shared" ca="1" si="1"/>
        <v>227</v>
      </c>
      <c r="D138" s="263">
        <f t="shared" ca="1" si="2"/>
        <v>45927.44</v>
      </c>
    </row>
    <row r="139" spans="1:4" ht="18" customHeight="1">
      <c r="A139" s="244">
        <f t="shared" ca="1" si="3"/>
        <v>46054</v>
      </c>
      <c r="B139" s="245" t="str">
        <f t="shared" ca="1" si="0"/>
        <v>Carlos</v>
      </c>
      <c r="C139" s="262">
        <f t="shared" ca="1" si="1"/>
        <v>273</v>
      </c>
      <c r="D139" s="263">
        <f t="shared" ca="1" si="2"/>
        <v>44477.57</v>
      </c>
    </row>
    <row r="140" spans="1:4" ht="18" customHeight="1">
      <c r="A140" s="244">
        <f t="shared" ca="1" si="3"/>
        <v>46055</v>
      </c>
      <c r="B140" s="245" t="str">
        <f t="shared" ca="1" si="0"/>
        <v>Ana</v>
      </c>
      <c r="C140" s="262">
        <f t="shared" ca="1" si="1"/>
        <v>201</v>
      </c>
      <c r="D140" s="263">
        <f t="shared" ca="1" si="2"/>
        <v>47024.07</v>
      </c>
    </row>
    <row r="141" spans="1:4" ht="18" customHeight="1">
      <c r="A141" s="244">
        <f t="shared" ca="1" si="3"/>
        <v>46056</v>
      </c>
      <c r="B141" s="245" t="str">
        <f t="shared" ca="1" si="0"/>
        <v>Carlos</v>
      </c>
      <c r="C141" s="262">
        <f t="shared" ca="1" si="1"/>
        <v>257</v>
      </c>
      <c r="D141" s="263">
        <f t="shared" ca="1" si="2"/>
        <v>45564.88</v>
      </c>
    </row>
    <row r="142" spans="1:4" ht="18" customHeight="1" thickBot="1">
      <c r="A142" s="248">
        <f t="shared" ca="1" si="3"/>
        <v>46057</v>
      </c>
      <c r="B142" s="249" t="str">
        <f t="shared" ca="1" si="0"/>
        <v>Carolina</v>
      </c>
      <c r="C142" s="264">
        <f t="shared" ca="1" si="1"/>
        <v>201</v>
      </c>
      <c r="D142" s="265">
        <f t="shared" ca="1" si="2"/>
        <v>44065.09</v>
      </c>
    </row>
  </sheetData>
  <sortState xmlns:xlrd2="http://schemas.microsoft.com/office/spreadsheetml/2017/richdata2" ref="A3:J117">
    <sortCondition ref="A3"/>
  </sortState>
  <mergeCells count="1">
    <mergeCell ref="A124:F125"/>
  </mergeCells>
  <pageMargins left="0.78740157499999996" right="0.78740157499999996" top="0.984251969" bottom="0.984251969" header="0.5" footer="0.5"/>
  <pageSetup paperSize="9" orientation="portrait" r:id="rId1"/>
  <headerFooter alignWithMargins="0"/>
  <rowBreaks count="1" manualBreakCount="1">
    <brk id="11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D164-9BE8-495A-8F5C-CAC8E60AD88F}">
  <sheetPr>
    <tabColor rgb="FF0070C0"/>
  </sheetPr>
  <dimension ref="A1:K145"/>
  <sheetViews>
    <sheetView workbookViewId="0">
      <selection activeCell="B6" sqref="B6"/>
    </sheetView>
  </sheetViews>
  <sheetFormatPr defaultRowHeight="18" customHeight="1"/>
  <cols>
    <col min="1" max="1" width="3.42578125" style="235" customWidth="1"/>
    <col min="2" max="11" width="12.140625" style="235" customWidth="1"/>
    <col min="12" max="12" width="3.42578125" style="235" customWidth="1"/>
    <col min="13" max="256" width="9.140625" style="235"/>
    <col min="257" max="257" width="3.42578125" style="235" customWidth="1"/>
    <col min="258" max="267" width="12.140625" style="235" customWidth="1"/>
    <col min="268" max="268" width="3.42578125" style="235" customWidth="1"/>
    <col min="269" max="512" width="9.140625" style="235"/>
    <col min="513" max="513" width="3.42578125" style="235" customWidth="1"/>
    <col min="514" max="523" width="12.140625" style="235" customWidth="1"/>
    <col min="524" max="524" width="3.42578125" style="235" customWidth="1"/>
    <col min="525" max="768" width="9.140625" style="235"/>
    <col min="769" max="769" width="3.42578125" style="235" customWidth="1"/>
    <col min="770" max="779" width="12.140625" style="235" customWidth="1"/>
    <col min="780" max="780" width="3.42578125" style="235" customWidth="1"/>
    <col min="781" max="1024" width="9.140625" style="235"/>
    <col min="1025" max="1025" width="3.42578125" style="235" customWidth="1"/>
    <col min="1026" max="1035" width="12.140625" style="235" customWidth="1"/>
    <col min="1036" max="1036" width="3.42578125" style="235" customWidth="1"/>
    <col min="1037" max="1280" width="9.140625" style="235"/>
    <col min="1281" max="1281" width="3.42578125" style="235" customWidth="1"/>
    <col min="1282" max="1291" width="12.140625" style="235" customWidth="1"/>
    <col min="1292" max="1292" width="3.42578125" style="235" customWidth="1"/>
    <col min="1293" max="1536" width="9.140625" style="235"/>
    <col min="1537" max="1537" width="3.42578125" style="235" customWidth="1"/>
    <col min="1538" max="1547" width="12.140625" style="235" customWidth="1"/>
    <col min="1548" max="1548" width="3.42578125" style="235" customWidth="1"/>
    <col min="1549" max="1792" width="9.140625" style="235"/>
    <col min="1793" max="1793" width="3.42578125" style="235" customWidth="1"/>
    <col min="1794" max="1803" width="12.140625" style="235" customWidth="1"/>
    <col min="1804" max="1804" width="3.42578125" style="235" customWidth="1"/>
    <col min="1805" max="2048" width="9.140625" style="235"/>
    <col min="2049" max="2049" width="3.42578125" style="235" customWidth="1"/>
    <col min="2050" max="2059" width="12.140625" style="235" customWidth="1"/>
    <col min="2060" max="2060" width="3.42578125" style="235" customWidth="1"/>
    <col min="2061" max="2304" width="9.140625" style="235"/>
    <col min="2305" max="2305" width="3.42578125" style="235" customWidth="1"/>
    <col min="2306" max="2315" width="12.140625" style="235" customWidth="1"/>
    <col min="2316" max="2316" width="3.42578125" style="235" customWidth="1"/>
    <col min="2317" max="2560" width="9.140625" style="235"/>
    <col min="2561" max="2561" width="3.42578125" style="235" customWidth="1"/>
    <col min="2562" max="2571" width="12.140625" style="235" customWidth="1"/>
    <col min="2572" max="2572" width="3.42578125" style="235" customWidth="1"/>
    <col min="2573" max="2816" width="9.140625" style="235"/>
    <col min="2817" max="2817" width="3.42578125" style="235" customWidth="1"/>
    <col min="2818" max="2827" width="12.140625" style="235" customWidth="1"/>
    <col min="2828" max="2828" width="3.42578125" style="235" customWidth="1"/>
    <col min="2829" max="3072" width="9.140625" style="235"/>
    <col min="3073" max="3073" width="3.42578125" style="235" customWidth="1"/>
    <col min="3074" max="3083" width="12.140625" style="235" customWidth="1"/>
    <col min="3084" max="3084" width="3.42578125" style="235" customWidth="1"/>
    <col min="3085" max="3328" width="9.140625" style="235"/>
    <col min="3329" max="3329" width="3.42578125" style="235" customWidth="1"/>
    <col min="3330" max="3339" width="12.140625" style="235" customWidth="1"/>
    <col min="3340" max="3340" width="3.42578125" style="235" customWidth="1"/>
    <col min="3341" max="3584" width="9.140625" style="235"/>
    <col min="3585" max="3585" width="3.42578125" style="235" customWidth="1"/>
    <col min="3586" max="3595" width="12.140625" style="235" customWidth="1"/>
    <col min="3596" max="3596" width="3.42578125" style="235" customWidth="1"/>
    <col min="3597" max="3840" width="9.140625" style="235"/>
    <col min="3841" max="3841" width="3.42578125" style="235" customWidth="1"/>
    <col min="3842" max="3851" width="12.140625" style="235" customWidth="1"/>
    <col min="3852" max="3852" width="3.42578125" style="235" customWidth="1"/>
    <col min="3853" max="4096" width="9.140625" style="235"/>
    <col min="4097" max="4097" width="3.42578125" style="235" customWidth="1"/>
    <col min="4098" max="4107" width="12.140625" style="235" customWidth="1"/>
    <col min="4108" max="4108" width="3.42578125" style="235" customWidth="1"/>
    <col min="4109" max="4352" width="9.140625" style="235"/>
    <col min="4353" max="4353" width="3.42578125" style="235" customWidth="1"/>
    <col min="4354" max="4363" width="12.140625" style="235" customWidth="1"/>
    <col min="4364" max="4364" width="3.42578125" style="235" customWidth="1"/>
    <col min="4365" max="4608" width="9.140625" style="235"/>
    <col min="4609" max="4609" width="3.42578125" style="235" customWidth="1"/>
    <col min="4610" max="4619" width="12.140625" style="235" customWidth="1"/>
    <col min="4620" max="4620" width="3.42578125" style="235" customWidth="1"/>
    <col min="4621" max="4864" width="9.140625" style="235"/>
    <col min="4865" max="4865" width="3.42578125" style="235" customWidth="1"/>
    <col min="4866" max="4875" width="12.140625" style="235" customWidth="1"/>
    <col min="4876" max="4876" width="3.42578125" style="235" customWidth="1"/>
    <col min="4877" max="5120" width="9.140625" style="235"/>
    <col min="5121" max="5121" width="3.42578125" style="235" customWidth="1"/>
    <col min="5122" max="5131" width="12.140625" style="235" customWidth="1"/>
    <col min="5132" max="5132" width="3.42578125" style="235" customWidth="1"/>
    <col min="5133" max="5376" width="9.140625" style="235"/>
    <col min="5377" max="5377" width="3.42578125" style="235" customWidth="1"/>
    <col min="5378" max="5387" width="12.140625" style="235" customWidth="1"/>
    <col min="5388" max="5388" width="3.42578125" style="235" customWidth="1"/>
    <col min="5389" max="5632" width="9.140625" style="235"/>
    <col min="5633" max="5633" width="3.42578125" style="235" customWidth="1"/>
    <col min="5634" max="5643" width="12.140625" style="235" customWidth="1"/>
    <col min="5644" max="5644" width="3.42578125" style="235" customWidth="1"/>
    <col min="5645" max="5888" width="9.140625" style="235"/>
    <col min="5889" max="5889" width="3.42578125" style="235" customWidth="1"/>
    <col min="5890" max="5899" width="12.140625" style="235" customWidth="1"/>
    <col min="5900" max="5900" width="3.42578125" style="235" customWidth="1"/>
    <col min="5901" max="6144" width="9.140625" style="235"/>
    <col min="6145" max="6145" width="3.42578125" style="235" customWidth="1"/>
    <col min="6146" max="6155" width="12.140625" style="235" customWidth="1"/>
    <col min="6156" max="6156" width="3.42578125" style="235" customWidth="1"/>
    <col min="6157" max="6400" width="9.140625" style="235"/>
    <col min="6401" max="6401" width="3.42578125" style="235" customWidth="1"/>
    <col min="6402" max="6411" width="12.140625" style="235" customWidth="1"/>
    <col min="6412" max="6412" width="3.42578125" style="235" customWidth="1"/>
    <col min="6413" max="6656" width="9.140625" style="235"/>
    <col min="6657" max="6657" width="3.42578125" style="235" customWidth="1"/>
    <col min="6658" max="6667" width="12.140625" style="235" customWidth="1"/>
    <col min="6668" max="6668" width="3.42578125" style="235" customWidth="1"/>
    <col min="6669" max="6912" width="9.140625" style="235"/>
    <col min="6913" max="6913" width="3.42578125" style="235" customWidth="1"/>
    <col min="6914" max="6923" width="12.140625" style="235" customWidth="1"/>
    <col min="6924" max="6924" width="3.42578125" style="235" customWidth="1"/>
    <col min="6925" max="7168" width="9.140625" style="235"/>
    <col min="7169" max="7169" width="3.42578125" style="235" customWidth="1"/>
    <col min="7170" max="7179" width="12.140625" style="235" customWidth="1"/>
    <col min="7180" max="7180" width="3.42578125" style="235" customWidth="1"/>
    <col min="7181" max="7424" width="9.140625" style="235"/>
    <col min="7425" max="7425" width="3.42578125" style="235" customWidth="1"/>
    <col min="7426" max="7435" width="12.140625" style="235" customWidth="1"/>
    <col min="7436" max="7436" width="3.42578125" style="235" customWidth="1"/>
    <col min="7437" max="7680" width="9.140625" style="235"/>
    <col min="7681" max="7681" width="3.42578125" style="235" customWidth="1"/>
    <col min="7682" max="7691" width="12.140625" style="235" customWidth="1"/>
    <col min="7692" max="7692" width="3.42578125" style="235" customWidth="1"/>
    <col min="7693" max="7936" width="9.140625" style="235"/>
    <col min="7937" max="7937" width="3.42578125" style="235" customWidth="1"/>
    <col min="7938" max="7947" width="12.140625" style="235" customWidth="1"/>
    <col min="7948" max="7948" width="3.42578125" style="235" customWidth="1"/>
    <col min="7949" max="8192" width="9.140625" style="235"/>
    <col min="8193" max="8193" width="3.42578125" style="235" customWidth="1"/>
    <col min="8194" max="8203" width="12.140625" style="235" customWidth="1"/>
    <col min="8204" max="8204" width="3.42578125" style="235" customWidth="1"/>
    <col min="8205" max="8448" width="9.140625" style="235"/>
    <col min="8449" max="8449" width="3.42578125" style="235" customWidth="1"/>
    <col min="8450" max="8459" width="12.140625" style="235" customWidth="1"/>
    <col min="8460" max="8460" width="3.42578125" style="235" customWidth="1"/>
    <col min="8461" max="8704" width="9.140625" style="235"/>
    <col min="8705" max="8705" width="3.42578125" style="235" customWidth="1"/>
    <col min="8706" max="8715" width="12.140625" style="235" customWidth="1"/>
    <col min="8716" max="8716" width="3.42578125" style="235" customWidth="1"/>
    <col min="8717" max="8960" width="9.140625" style="235"/>
    <col min="8961" max="8961" width="3.42578125" style="235" customWidth="1"/>
    <col min="8962" max="8971" width="12.140625" style="235" customWidth="1"/>
    <col min="8972" max="8972" width="3.42578125" style="235" customWidth="1"/>
    <col min="8973" max="9216" width="9.140625" style="235"/>
    <col min="9217" max="9217" width="3.42578125" style="235" customWidth="1"/>
    <col min="9218" max="9227" width="12.140625" style="235" customWidth="1"/>
    <col min="9228" max="9228" width="3.42578125" style="235" customWidth="1"/>
    <col min="9229" max="9472" width="9.140625" style="235"/>
    <col min="9473" max="9473" width="3.42578125" style="235" customWidth="1"/>
    <col min="9474" max="9483" width="12.140625" style="235" customWidth="1"/>
    <col min="9484" max="9484" width="3.42578125" style="235" customWidth="1"/>
    <col min="9485" max="9728" width="9.140625" style="235"/>
    <col min="9729" max="9729" width="3.42578125" style="235" customWidth="1"/>
    <col min="9730" max="9739" width="12.140625" style="235" customWidth="1"/>
    <col min="9740" max="9740" width="3.42578125" style="235" customWidth="1"/>
    <col min="9741" max="9984" width="9.140625" style="235"/>
    <col min="9985" max="9985" width="3.42578125" style="235" customWidth="1"/>
    <col min="9986" max="9995" width="12.140625" style="235" customWidth="1"/>
    <col min="9996" max="9996" width="3.42578125" style="235" customWidth="1"/>
    <col min="9997" max="10240" width="9.140625" style="235"/>
    <col min="10241" max="10241" width="3.42578125" style="235" customWidth="1"/>
    <col min="10242" max="10251" width="12.140625" style="235" customWidth="1"/>
    <col min="10252" max="10252" width="3.42578125" style="235" customWidth="1"/>
    <col min="10253" max="10496" width="9.140625" style="235"/>
    <col min="10497" max="10497" width="3.42578125" style="235" customWidth="1"/>
    <col min="10498" max="10507" width="12.140625" style="235" customWidth="1"/>
    <col min="10508" max="10508" width="3.42578125" style="235" customWidth="1"/>
    <col min="10509" max="10752" width="9.140625" style="235"/>
    <col min="10753" max="10753" width="3.42578125" style="235" customWidth="1"/>
    <col min="10754" max="10763" width="12.140625" style="235" customWidth="1"/>
    <col min="10764" max="10764" width="3.42578125" style="235" customWidth="1"/>
    <col min="10765" max="11008" width="9.140625" style="235"/>
    <col min="11009" max="11009" width="3.42578125" style="235" customWidth="1"/>
    <col min="11010" max="11019" width="12.140625" style="235" customWidth="1"/>
    <col min="11020" max="11020" width="3.42578125" style="235" customWidth="1"/>
    <col min="11021" max="11264" width="9.140625" style="235"/>
    <col min="11265" max="11265" width="3.42578125" style="235" customWidth="1"/>
    <col min="11266" max="11275" width="12.140625" style="235" customWidth="1"/>
    <col min="11276" max="11276" width="3.42578125" style="235" customWidth="1"/>
    <col min="11277" max="11520" width="9.140625" style="235"/>
    <col min="11521" max="11521" width="3.42578125" style="235" customWidth="1"/>
    <col min="11522" max="11531" width="12.140625" style="235" customWidth="1"/>
    <col min="11532" max="11532" width="3.42578125" style="235" customWidth="1"/>
    <col min="11533" max="11776" width="9.140625" style="235"/>
    <col min="11777" max="11777" width="3.42578125" style="235" customWidth="1"/>
    <col min="11778" max="11787" width="12.140625" style="235" customWidth="1"/>
    <col min="11788" max="11788" width="3.42578125" style="235" customWidth="1"/>
    <col min="11789" max="12032" width="9.140625" style="235"/>
    <col min="12033" max="12033" width="3.42578125" style="235" customWidth="1"/>
    <col min="12034" max="12043" width="12.140625" style="235" customWidth="1"/>
    <col min="12044" max="12044" width="3.42578125" style="235" customWidth="1"/>
    <col min="12045" max="12288" width="9.140625" style="235"/>
    <col min="12289" max="12289" width="3.42578125" style="235" customWidth="1"/>
    <col min="12290" max="12299" width="12.140625" style="235" customWidth="1"/>
    <col min="12300" max="12300" width="3.42578125" style="235" customWidth="1"/>
    <col min="12301" max="12544" width="9.140625" style="235"/>
    <col min="12545" max="12545" width="3.42578125" style="235" customWidth="1"/>
    <col min="12546" max="12555" width="12.140625" style="235" customWidth="1"/>
    <col min="12556" max="12556" width="3.42578125" style="235" customWidth="1"/>
    <col min="12557" max="12800" width="9.140625" style="235"/>
    <col min="12801" max="12801" width="3.42578125" style="235" customWidth="1"/>
    <col min="12802" max="12811" width="12.140625" style="235" customWidth="1"/>
    <col min="12812" max="12812" width="3.42578125" style="235" customWidth="1"/>
    <col min="12813" max="13056" width="9.140625" style="235"/>
    <col min="13057" max="13057" width="3.42578125" style="235" customWidth="1"/>
    <col min="13058" max="13067" width="12.140625" style="235" customWidth="1"/>
    <col min="13068" max="13068" width="3.42578125" style="235" customWidth="1"/>
    <col min="13069" max="13312" width="9.140625" style="235"/>
    <col min="13313" max="13313" width="3.42578125" style="235" customWidth="1"/>
    <col min="13314" max="13323" width="12.140625" style="235" customWidth="1"/>
    <col min="13324" max="13324" width="3.42578125" style="235" customWidth="1"/>
    <col min="13325" max="13568" width="9.140625" style="235"/>
    <col min="13569" max="13569" width="3.42578125" style="235" customWidth="1"/>
    <col min="13570" max="13579" width="12.140625" style="235" customWidth="1"/>
    <col min="13580" max="13580" width="3.42578125" style="235" customWidth="1"/>
    <col min="13581" max="13824" width="9.140625" style="235"/>
    <col min="13825" max="13825" width="3.42578125" style="235" customWidth="1"/>
    <col min="13826" max="13835" width="12.140625" style="235" customWidth="1"/>
    <col min="13836" max="13836" width="3.42578125" style="235" customWidth="1"/>
    <col min="13837" max="14080" width="9.140625" style="235"/>
    <col min="14081" max="14081" width="3.42578125" style="235" customWidth="1"/>
    <col min="14082" max="14091" width="12.140625" style="235" customWidth="1"/>
    <col min="14092" max="14092" width="3.42578125" style="235" customWidth="1"/>
    <col min="14093" max="14336" width="9.140625" style="235"/>
    <col min="14337" max="14337" width="3.42578125" style="235" customWidth="1"/>
    <col min="14338" max="14347" width="12.140625" style="235" customWidth="1"/>
    <col min="14348" max="14348" width="3.42578125" style="235" customWidth="1"/>
    <col min="14349" max="14592" width="9.140625" style="235"/>
    <col min="14593" max="14593" width="3.42578125" style="235" customWidth="1"/>
    <col min="14594" max="14603" width="12.140625" style="235" customWidth="1"/>
    <col min="14604" max="14604" width="3.42578125" style="235" customWidth="1"/>
    <col min="14605" max="14848" width="9.140625" style="235"/>
    <col min="14849" max="14849" width="3.42578125" style="235" customWidth="1"/>
    <col min="14850" max="14859" width="12.140625" style="235" customWidth="1"/>
    <col min="14860" max="14860" width="3.42578125" style="235" customWidth="1"/>
    <col min="14861" max="15104" width="9.140625" style="235"/>
    <col min="15105" max="15105" width="3.42578125" style="235" customWidth="1"/>
    <col min="15106" max="15115" width="12.140625" style="235" customWidth="1"/>
    <col min="15116" max="15116" width="3.42578125" style="235" customWidth="1"/>
    <col min="15117" max="15360" width="9.140625" style="235"/>
    <col min="15361" max="15361" width="3.42578125" style="235" customWidth="1"/>
    <col min="15362" max="15371" width="12.140625" style="235" customWidth="1"/>
    <col min="15372" max="15372" width="3.42578125" style="235" customWidth="1"/>
    <col min="15373" max="15616" width="9.140625" style="235"/>
    <col min="15617" max="15617" width="3.42578125" style="235" customWidth="1"/>
    <col min="15618" max="15627" width="12.140625" style="235" customWidth="1"/>
    <col min="15628" max="15628" width="3.42578125" style="235" customWidth="1"/>
    <col min="15629" max="15872" width="9.140625" style="235"/>
    <col min="15873" max="15873" width="3.42578125" style="235" customWidth="1"/>
    <col min="15874" max="15883" width="12.140625" style="235" customWidth="1"/>
    <col min="15884" max="15884" width="3.42578125" style="235" customWidth="1"/>
    <col min="15885" max="16128" width="9.140625" style="235"/>
    <col min="16129" max="16129" width="3.42578125" style="235" customWidth="1"/>
    <col min="16130" max="16139" width="12.140625" style="235" customWidth="1"/>
    <col min="16140" max="16140" width="3.42578125" style="235" customWidth="1"/>
    <col min="16141" max="16384" width="9.140625" style="235"/>
  </cols>
  <sheetData>
    <row r="1" spans="1:11" s="234" customFormat="1" ht="30" customHeight="1" thickBot="1">
      <c r="A1" s="233" t="s">
        <v>652</v>
      </c>
    </row>
    <row r="3" spans="1:11" ht="18" customHeight="1">
      <c r="B3" s="235" t="s">
        <v>653</v>
      </c>
    </row>
    <row r="4" spans="1:11" ht="18" customHeight="1" thickBot="1"/>
    <row r="5" spans="1:11" ht="18" customHeight="1">
      <c r="B5" s="236" t="s">
        <v>654</v>
      </c>
      <c r="C5" s="237" t="s">
        <v>445</v>
      </c>
      <c r="D5" s="237" t="s">
        <v>1</v>
      </c>
      <c r="E5" s="237" t="s">
        <v>111</v>
      </c>
      <c r="F5" s="238" t="s">
        <v>655</v>
      </c>
      <c r="G5" s="238" t="s">
        <v>656</v>
      </c>
      <c r="H5" s="238" t="s">
        <v>657</v>
      </c>
      <c r="I5" s="238" t="s">
        <v>658</v>
      </c>
      <c r="J5" s="237" t="s">
        <v>99</v>
      </c>
      <c r="K5" s="239" t="s">
        <v>659</v>
      </c>
    </row>
    <row r="6" spans="1:11" ht="18" customHeight="1">
      <c r="B6" s="240">
        <v>43291</v>
      </c>
      <c r="C6" s="241" t="s">
        <v>879</v>
      </c>
      <c r="D6" s="241" t="s">
        <v>19</v>
      </c>
      <c r="E6" s="241" t="s">
        <v>661</v>
      </c>
      <c r="F6" s="242">
        <v>60</v>
      </c>
      <c r="G6" s="242">
        <v>2.66</v>
      </c>
      <c r="H6" s="242">
        <v>1000</v>
      </c>
      <c r="I6" s="242">
        <v>2660</v>
      </c>
      <c r="J6" s="241" t="s">
        <v>539</v>
      </c>
      <c r="K6" s="243">
        <v>319.2</v>
      </c>
    </row>
    <row r="7" spans="1:11" ht="18" customHeight="1">
      <c r="B7" s="244">
        <v>43291</v>
      </c>
      <c r="C7" s="245" t="s">
        <v>882</v>
      </c>
      <c r="D7" s="245" t="s">
        <v>517</v>
      </c>
      <c r="E7" s="245" t="s">
        <v>664</v>
      </c>
      <c r="F7" s="246">
        <v>45</v>
      </c>
      <c r="G7" s="246">
        <v>7.04</v>
      </c>
      <c r="H7" s="246">
        <v>800</v>
      </c>
      <c r="I7" s="246">
        <v>5632</v>
      </c>
      <c r="J7" s="245" t="s">
        <v>430</v>
      </c>
      <c r="K7" s="247">
        <v>675.84</v>
      </c>
    </row>
    <row r="8" spans="1:11" ht="18" customHeight="1">
      <c r="B8" s="244">
        <v>43291</v>
      </c>
      <c r="C8" s="245" t="s">
        <v>880</v>
      </c>
      <c r="D8" s="245" t="s">
        <v>523</v>
      </c>
      <c r="E8" s="245" t="s">
        <v>664</v>
      </c>
      <c r="F8" s="246">
        <v>45</v>
      </c>
      <c r="G8" s="246">
        <v>7.04</v>
      </c>
      <c r="H8" s="246">
        <v>300</v>
      </c>
      <c r="I8" s="246">
        <v>2112</v>
      </c>
      <c r="J8" s="245" t="s">
        <v>666</v>
      </c>
      <c r="K8" s="247">
        <v>253.44</v>
      </c>
    </row>
    <row r="9" spans="1:11" ht="18" customHeight="1">
      <c r="B9" s="244">
        <v>43292</v>
      </c>
      <c r="C9" s="245" t="s">
        <v>881</v>
      </c>
      <c r="D9" s="245" t="s">
        <v>523</v>
      </c>
      <c r="E9" s="245" t="s">
        <v>668</v>
      </c>
      <c r="F9" s="246">
        <v>60</v>
      </c>
      <c r="G9" s="246">
        <v>7.04</v>
      </c>
      <c r="H9" s="246">
        <v>200</v>
      </c>
      <c r="I9" s="246">
        <v>1408</v>
      </c>
      <c r="J9" s="245" t="s">
        <v>430</v>
      </c>
      <c r="K9" s="247">
        <v>168.96</v>
      </c>
    </row>
    <row r="10" spans="1:11" ht="18" customHeight="1">
      <c r="B10" s="244">
        <v>43293</v>
      </c>
      <c r="C10" s="245" t="s">
        <v>880</v>
      </c>
      <c r="D10" s="245" t="s">
        <v>517</v>
      </c>
      <c r="E10" s="245" t="s">
        <v>668</v>
      </c>
      <c r="F10" s="246">
        <v>45</v>
      </c>
      <c r="G10" s="246">
        <v>7.04</v>
      </c>
      <c r="H10" s="246">
        <v>1000</v>
      </c>
      <c r="I10" s="246">
        <v>7040</v>
      </c>
      <c r="J10" s="245" t="s">
        <v>666</v>
      </c>
      <c r="K10" s="247">
        <v>844.8</v>
      </c>
    </row>
    <row r="11" spans="1:11" ht="18" customHeight="1">
      <c r="B11" s="244">
        <v>43296</v>
      </c>
      <c r="C11" s="245" t="s">
        <v>882</v>
      </c>
      <c r="D11" s="245" t="s">
        <v>19</v>
      </c>
      <c r="E11" s="245" t="s">
        <v>668</v>
      </c>
      <c r="F11" s="246">
        <v>30</v>
      </c>
      <c r="G11" s="246">
        <v>7.04</v>
      </c>
      <c r="H11" s="246">
        <v>150</v>
      </c>
      <c r="I11" s="246">
        <v>1056</v>
      </c>
      <c r="J11" s="245" t="s">
        <v>666</v>
      </c>
      <c r="K11" s="247">
        <v>126.72</v>
      </c>
    </row>
    <row r="12" spans="1:11" ht="18" customHeight="1">
      <c r="B12" s="244">
        <v>43296</v>
      </c>
      <c r="C12" s="245" t="s">
        <v>880</v>
      </c>
      <c r="D12" s="245" t="s">
        <v>669</v>
      </c>
      <c r="E12" s="245" t="s">
        <v>664</v>
      </c>
      <c r="F12" s="246">
        <v>45</v>
      </c>
      <c r="G12" s="246">
        <v>7.04</v>
      </c>
      <c r="H12" s="246">
        <v>500</v>
      </c>
      <c r="I12" s="246">
        <v>3520</v>
      </c>
      <c r="J12" s="245" t="s">
        <v>666</v>
      </c>
      <c r="K12" s="247">
        <v>422.4</v>
      </c>
    </row>
    <row r="13" spans="1:11" ht="18" customHeight="1">
      <c r="B13" s="244">
        <v>43296</v>
      </c>
      <c r="C13" s="245" t="s">
        <v>881</v>
      </c>
      <c r="D13" s="245" t="s">
        <v>523</v>
      </c>
      <c r="E13" s="245" t="s">
        <v>670</v>
      </c>
      <c r="F13" s="246">
        <v>45</v>
      </c>
      <c r="G13" s="246">
        <v>9.6</v>
      </c>
      <c r="H13" s="246">
        <v>550</v>
      </c>
      <c r="I13" s="246">
        <v>5280</v>
      </c>
      <c r="J13" s="245" t="s">
        <v>671</v>
      </c>
      <c r="K13" s="247">
        <v>633.6</v>
      </c>
    </row>
    <row r="14" spans="1:11" ht="18" customHeight="1">
      <c r="B14" s="244">
        <v>43339</v>
      </c>
      <c r="C14" s="245" t="s">
        <v>880</v>
      </c>
      <c r="D14" s="245" t="s">
        <v>517</v>
      </c>
      <c r="E14" s="245" t="s">
        <v>661</v>
      </c>
      <c r="F14" s="246">
        <v>30</v>
      </c>
      <c r="G14" s="246">
        <v>2.6</v>
      </c>
      <c r="H14" s="246">
        <v>600</v>
      </c>
      <c r="I14" s="246">
        <v>1560</v>
      </c>
      <c r="J14" s="245" t="s">
        <v>539</v>
      </c>
      <c r="K14" s="247">
        <v>187.2</v>
      </c>
    </row>
    <row r="15" spans="1:11" ht="18" customHeight="1">
      <c r="B15" s="244">
        <v>43296</v>
      </c>
      <c r="C15" s="245" t="s">
        <v>882</v>
      </c>
      <c r="D15" s="245" t="s">
        <v>669</v>
      </c>
      <c r="E15" s="245" t="s">
        <v>668</v>
      </c>
      <c r="F15" s="246">
        <v>45</v>
      </c>
      <c r="G15" s="246">
        <v>4.0199999999999996</v>
      </c>
      <c r="H15" s="246">
        <v>100</v>
      </c>
      <c r="I15" s="246">
        <v>402</v>
      </c>
      <c r="J15" s="245" t="s">
        <v>539</v>
      </c>
      <c r="K15" s="247">
        <v>48.24</v>
      </c>
    </row>
    <row r="16" spans="1:11" ht="18" customHeight="1">
      <c r="B16" s="244">
        <v>43327</v>
      </c>
      <c r="C16" s="245" t="s">
        <v>880</v>
      </c>
      <c r="D16" s="245" t="s">
        <v>517</v>
      </c>
      <c r="E16" s="245" t="s">
        <v>661</v>
      </c>
      <c r="F16" s="246">
        <v>30</v>
      </c>
      <c r="G16" s="246">
        <v>2.6</v>
      </c>
      <c r="H16" s="246">
        <v>300</v>
      </c>
      <c r="I16" s="246">
        <v>780</v>
      </c>
      <c r="J16" s="245" t="s">
        <v>430</v>
      </c>
      <c r="K16" s="247">
        <v>93.6</v>
      </c>
    </row>
    <row r="17" spans="2:11" ht="18" customHeight="1">
      <c r="B17" s="244">
        <v>43296</v>
      </c>
      <c r="C17" s="245" t="s">
        <v>881</v>
      </c>
      <c r="D17" s="245" t="s">
        <v>523</v>
      </c>
      <c r="E17" s="245" t="s">
        <v>668</v>
      </c>
      <c r="F17" s="246">
        <v>30</v>
      </c>
      <c r="G17" s="246">
        <v>4.0199999999999996</v>
      </c>
      <c r="H17" s="246">
        <v>300</v>
      </c>
      <c r="I17" s="246">
        <v>1206</v>
      </c>
      <c r="J17" s="245" t="s">
        <v>430</v>
      </c>
      <c r="K17" s="247">
        <v>144.72</v>
      </c>
    </row>
    <row r="18" spans="2:11" ht="18" customHeight="1">
      <c r="B18" s="244">
        <v>43235</v>
      </c>
      <c r="C18" s="245" t="s">
        <v>880</v>
      </c>
      <c r="D18" s="245" t="s">
        <v>19</v>
      </c>
      <c r="E18" s="245" t="s">
        <v>664</v>
      </c>
      <c r="F18" s="246">
        <v>45</v>
      </c>
      <c r="G18" s="246">
        <v>7.04</v>
      </c>
      <c r="H18" s="246">
        <v>500</v>
      </c>
      <c r="I18" s="246">
        <v>3520</v>
      </c>
      <c r="J18" s="245" t="s">
        <v>539</v>
      </c>
      <c r="K18" s="247">
        <v>422.4</v>
      </c>
    </row>
    <row r="19" spans="2:11" ht="18" customHeight="1">
      <c r="B19" s="244">
        <v>43235</v>
      </c>
      <c r="C19" s="245" t="s">
        <v>882</v>
      </c>
      <c r="D19" s="245" t="s">
        <v>517</v>
      </c>
      <c r="E19" s="245" t="s">
        <v>672</v>
      </c>
      <c r="F19" s="246">
        <v>45</v>
      </c>
      <c r="G19" s="246">
        <v>4.0199999999999996</v>
      </c>
      <c r="H19" s="246">
        <v>200</v>
      </c>
      <c r="I19" s="246">
        <v>804</v>
      </c>
      <c r="J19" s="245" t="s">
        <v>539</v>
      </c>
      <c r="K19" s="247">
        <v>96.48</v>
      </c>
    </row>
    <row r="20" spans="2:11" ht="18" customHeight="1">
      <c r="B20" s="244">
        <v>43296</v>
      </c>
      <c r="C20" s="245" t="s">
        <v>880</v>
      </c>
      <c r="D20" s="245" t="s">
        <v>523</v>
      </c>
      <c r="E20" s="245" t="s">
        <v>673</v>
      </c>
      <c r="F20" s="246">
        <v>30</v>
      </c>
      <c r="G20" s="246">
        <v>5.56</v>
      </c>
      <c r="H20" s="246">
        <v>100</v>
      </c>
      <c r="I20" s="246">
        <v>556</v>
      </c>
      <c r="J20" s="245" t="s">
        <v>430</v>
      </c>
      <c r="K20" s="247">
        <v>66.72</v>
      </c>
    </row>
    <row r="21" spans="2:11" ht="18" customHeight="1">
      <c r="B21" s="244">
        <v>43276</v>
      </c>
      <c r="C21" s="245" t="s">
        <v>881</v>
      </c>
      <c r="D21" s="245" t="s">
        <v>517</v>
      </c>
      <c r="E21" s="245" t="s">
        <v>672</v>
      </c>
      <c r="F21" s="246">
        <v>45</v>
      </c>
      <c r="G21" s="246">
        <v>4.0199999999999996</v>
      </c>
      <c r="H21" s="246">
        <v>50</v>
      </c>
      <c r="I21" s="246">
        <v>201</v>
      </c>
      <c r="J21" s="245" t="s">
        <v>539</v>
      </c>
      <c r="K21" s="247">
        <v>24.12</v>
      </c>
    </row>
    <row r="22" spans="2:11" ht="18" customHeight="1">
      <c r="B22" s="244">
        <v>43276</v>
      </c>
      <c r="C22" s="245" t="s">
        <v>880</v>
      </c>
      <c r="D22" s="245" t="s">
        <v>19</v>
      </c>
      <c r="E22" s="245" t="s">
        <v>668</v>
      </c>
      <c r="F22" s="246">
        <v>45</v>
      </c>
      <c r="G22" s="246">
        <v>5.56</v>
      </c>
      <c r="H22" s="246">
        <v>200</v>
      </c>
      <c r="I22" s="246">
        <v>1112</v>
      </c>
      <c r="J22" s="245" t="s">
        <v>539</v>
      </c>
      <c r="K22" s="247">
        <v>133.44</v>
      </c>
    </row>
    <row r="23" spans="2:11" ht="18" customHeight="1">
      <c r="B23" s="244">
        <v>43339</v>
      </c>
      <c r="C23" s="245" t="s">
        <v>882</v>
      </c>
      <c r="D23" s="245" t="s">
        <v>517</v>
      </c>
      <c r="E23" s="245" t="s">
        <v>674</v>
      </c>
      <c r="F23" s="246">
        <v>45</v>
      </c>
      <c r="G23" s="246">
        <v>2.77</v>
      </c>
      <c r="H23" s="246">
        <v>40</v>
      </c>
      <c r="I23" s="246">
        <v>110.8</v>
      </c>
      <c r="J23" s="245" t="s">
        <v>539</v>
      </c>
      <c r="K23" s="247">
        <v>13.295999999999999</v>
      </c>
    </row>
    <row r="24" spans="2:11" ht="18" customHeight="1">
      <c r="B24" s="244">
        <v>43296</v>
      </c>
      <c r="C24" s="245" t="s">
        <v>880</v>
      </c>
      <c r="D24" s="245" t="s">
        <v>19</v>
      </c>
      <c r="E24" s="245" t="s">
        <v>670</v>
      </c>
      <c r="F24" s="246">
        <v>60</v>
      </c>
      <c r="G24" s="246">
        <v>9.6</v>
      </c>
      <c r="H24" s="246">
        <v>2000</v>
      </c>
      <c r="I24" s="246">
        <v>19200</v>
      </c>
      <c r="J24" s="245" t="s">
        <v>671</v>
      </c>
      <c r="K24" s="247">
        <v>2304</v>
      </c>
    </row>
    <row r="25" spans="2:11" ht="18" customHeight="1">
      <c r="B25" s="244">
        <v>43296</v>
      </c>
      <c r="C25" s="245" t="s">
        <v>881</v>
      </c>
      <c r="D25" s="245" t="s">
        <v>669</v>
      </c>
      <c r="E25" s="245" t="s">
        <v>672</v>
      </c>
      <c r="F25" s="246">
        <v>45</v>
      </c>
      <c r="G25" s="246">
        <v>4.0199999999999996</v>
      </c>
      <c r="H25" s="246">
        <v>220</v>
      </c>
      <c r="I25" s="246">
        <v>884.4</v>
      </c>
      <c r="J25" s="245" t="s">
        <v>539</v>
      </c>
      <c r="K25" s="247">
        <v>106.12799999999999</v>
      </c>
    </row>
    <row r="26" spans="2:11" ht="18" customHeight="1">
      <c r="B26" s="244">
        <v>43276</v>
      </c>
      <c r="C26" s="245" t="s">
        <v>880</v>
      </c>
      <c r="D26" s="245" t="s">
        <v>517</v>
      </c>
      <c r="E26" s="245" t="s">
        <v>674</v>
      </c>
      <c r="F26" s="246">
        <v>60</v>
      </c>
      <c r="G26" s="246">
        <v>2.77</v>
      </c>
      <c r="H26" s="246">
        <v>1100</v>
      </c>
      <c r="I26" s="246">
        <v>3047</v>
      </c>
      <c r="J26" s="245" t="s">
        <v>539</v>
      </c>
      <c r="K26" s="247">
        <v>365.64</v>
      </c>
    </row>
    <row r="27" spans="2:11" ht="18" customHeight="1">
      <c r="B27" s="244">
        <v>43327</v>
      </c>
      <c r="C27" s="245" t="s">
        <v>882</v>
      </c>
      <c r="D27" s="245" t="s">
        <v>517</v>
      </c>
      <c r="E27" s="245" t="s">
        <v>675</v>
      </c>
      <c r="F27" s="246">
        <v>45</v>
      </c>
      <c r="G27" s="246">
        <v>2.77</v>
      </c>
      <c r="H27" s="246">
        <v>880</v>
      </c>
      <c r="I27" s="246">
        <v>2437.6</v>
      </c>
      <c r="J27" s="245" t="s">
        <v>539</v>
      </c>
      <c r="K27" s="247">
        <v>292.512</v>
      </c>
    </row>
    <row r="28" spans="2:11" ht="18" customHeight="1">
      <c r="B28" s="244">
        <v>43276</v>
      </c>
      <c r="C28" s="245" t="s">
        <v>880</v>
      </c>
      <c r="D28" s="245" t="s">
        <v>19</v>
      </c>
      <c r="E28" s="245" t="s">
        <v>675</v>
      </c>
      <c r="F28" s="246">
        <v>60</v>
      </c>
      <c r="G28" s="246">
        <v>2.6</v>
      </c>
      <c r="H28" s="246">
        <v>500</v>
      </c>
      <c r="I28" s="246">
        <v>1300</v>
      </c>
      <c r="J28" s="245" t="s">
        <v>539</v>
      </c>
      <c r="K28" s="247">
        <v>156</v>
      </c>
    </row>
    <row r="29" spans="2:11" ht="18" customHeight="1">
      <c r="B29" s="244">
        <v>43276</v>
      </c>
      <c r="C29" s="245" t="s">
        <v>881</v>
      </c>
      <c r="D29" s="245" t="s">
        <v>517</v>
      </c>
      <c r="E29" s="245" t="s">
        <v>661</v>
      </c>
      <c r="F29" s="246">
        <v>30</v>
      </c>
      <c r="G29" s="246">
        <v>2.6</v>
      </c>
      <c r="H29" s="246">
        <v>600</v>
      </c>
      <c r="I29" s="246">
        <v>1560</v>
      </c>
      <c r="J29" s="245" t="s">
        <v>539</v>
      </c>
      <c r="K29" s="247">
        <v>187.2</v>
      </c>
    </row>
    <row r="30" spans="2:11" ht="18" customHeight="1">
      <c r="B30" s="244">
        <v>43245</v>
      </c>
      <c r="C30" s="245" t="s">
        <v>880</v>
      </c>
      <c r="D30" s="245" t="s">
        <v>19</v>
      </c>
      <c r="E30" s="245" t="s">
        <v>664</v>
      </c>
      <c r="F30" s="246">
        <v>45</v>
      </c>
      <c r="G30" s="246">
        <v>7.04</v>
      </c>
      <c r="H30" s="246">
        <v>400</v>
      </c>
      <c r="I30" s="246">
        <v>2816</v>
      </c>
      <c r="J30" s="245" t="s">
        <v>666</v>
      </c>
      <c r="K30" s="247">
        <v>337.92</v>
      </c>
    </row>
    <row r="31" spans="2:11" ht="18" customHeight="1">
      <c r="B31" s="244">
        <v>43327</v>
      </c>
      <c r="C31" s="245" t="s">
        <v>882</v>
      </c>
      <c r="D31" s="245" t="s">
        <v>517</v>
      </c>
      <c r="E31" s="245" t="s">
        <v>675</v>
      </c>
      <c r="F31" s="246">
        <v>45</v>
      </c>
      <c r="G31" s="246">
        <v>5.56</v>
      </c>
      <c r="H31" s="246">
        <v>450</v>
      </c>
      <c r="I31" s="246">
        <v>2502</v>
      </c>
      <c r="J31" s="245" t="s">
        <v>430</v>
      </c>
      <c r="K31" s="247">
        <v>300.24</v>
      </c>
    </row>
    <row r="32" spans="2:11" ht="18" customHeight="1">
      <c r="B32" s="244">
        <v>43276</v>
      </c>
      <c r="C32" s="245" t="s">
        <v>880</v>
      </c>
      <c r="D32" s="245" t="s">
        <v>523</v>
      </c>
      <c r="E32" s="245" t="s">
        <v>661</v>
      </c>
      <c r="F32" s="246">
        <v>45</v>
      </c>
      <c r="G32" s="246">
        <v>2.6</v>
      </c>
      <c r="H32" s="246">
        <v>600</v>
      </c>
      <c r="I32" s="246">
        <v>1560</v>
      </c>
      <c r="J32" s="245" t="s">
        <v>666</v>
      </c>
      <c r="K32" s="247">
        <v>187.2</v>
      </c>
    </row>
    <row r="33" spans="2:11" ht="18" customHeight="1">
      <c r="B33" s="244">
        <v>43276</v>
      </c>
      <c r="C33" s="245" t="s">
        <v>881</v>
      </c>
      <c r="D33" s="245" t="s">
        <v>517</v>
      </c>
      <c r="E33" s="245" t="s">
        <v>661</v>
      </c>
      <c r="F33" s="246">
        <v>60</v>
      </c>
      <c r="G33" s="246">
        <v>2.6</v>
      </c>
      <c r="H33" s="246">
        <v>750</v>
      </c>
      <c r="I33" s="246">
        <v>1950</v>
      </c>
      <c r="J33" s="245" t="s">
        <v>539</v>
      </c>
      <c r="K33" s="247">
        <v>234</v>
      </c>
    </row>
    <row r="34" spans="2:11" ht="18" customHeight="1">
      <c r="B34" s="244">
        <v>43276</v>
      </c>
      <c r="C34" s="245" t="s">
        <v>880</v>
      </c>
      <c r="D34" s="245" t="s">
        <v>517</v>
      </c>
      <c r="E34" s="245" t="s">
        <v>674</v>
      </c>
      <c r="F34" s="246">
        <v>45</v>
      </c>
      <c r="G34" s="246">
        <v>2.77</v>
      </c>
      <c r="H34" s="246">
        <v>180</v>
      </c>
      <c r="I34" s="246">
        <v>498.6</v>
      </c>
      <c r="J34" s="245" t="s">
        <v>430</v>
      </c>
      <c r="K34" s="247">
        <v>59.832000000000001</v>
      </c>
    </row>
    <row r="35" spans="2:11" ht="18" customHeight="1">
      <c r="B35" s="244">
        <v>43276</v>
      </c>
      <c r="C35" s="245" t="s">
        <v>882</v>
      </c>
      <c r="D35" s="245" t="s">
        <v>517</v>
      </c>
      <c r="E35" s="245" t="s">
        <v>661</v>
      </c>
      <c r="F35" s="246">
        <v>45</v>
      </c>
      <c r="G35" s="246">
        <v>2.6</v>
      </c>
      <c r="H35" s="246">
        <v>300</v>
      </c>
      <c r="I35" s="246">
        <v>780</v>
      </c>
      <c r="J35" s="245" t="s">
        <v>539</v>
      </c>
      <c r="K35" s="247">
        <v>93.6</v>
      </c>
    </row>
    <row r="36" spans="2:11" ht="18" customHeight="1">
      <c r="B36" s="244">
        <v>43296</v>
      </c>
      <c r="C36" s="245" t="s">
        <v>880</v>
      </c>
      <c r="D36" s="245" t="s">
        <v>517</v>
      </c>
      <c r="E36" s="245" t="s">
        <v>664</v>
      </c>
      <c r="F36" s="246">
        <v>60</v>
      </c>
      <c r="G36" s="246">
        <v>7.04</v>
      </c>
      <c r="H36" s="246">
        <v>600</v>
      </c>
      <c r="I36" s="246">
        <v>4224</v>
      </c>
      <c r="J36" s="245" t="s">
        <v>539</v>
      </c>
      <c r="K36" s="247">
        <v>506.88</v>
      </c>
    </row>
    <row r="37" spans="2:11" ht="18" customHeight="1">
      <c r="B37" s="244">
        <v>43291</v>
      </c>
      <c r="C37" s="245" t="s">
        <v>881</v>
      </c>
      <c r="D37" s="245" t="s">
        <v>517</v>
      </c>
      <c r="E37" s="245" t="s">
        <v>661</v>
      </c>
      <c r="F37" s="246">
        <v>45</v>
      </c>
      <c r="G37" s="246">
        <v>2.6</v>
      </c>
      <c r="H37" s="246">
        <v>800</v>
      </c>
      <c r="I37" s="246">
        <v>2080</v>
      </c>
      <c r="J37" s="245" t="s">
        <v>539</v>
      </c>
      <c r="K37" s="247">
        <v>249.6</v>
      </c>
    </row>
    <row r="38" spans="2:11" ht="18" customHeight="1">
      <c r="B38" s="244">
        <v>43276</v>
      </c>
      <c r="C38" s="245" t="s">
        <v>880</v>
      </c>
      <c r="D38" s="245" t="s">
        <v>19</v>
      </c>
      <c r="E38" s="245" t="s">
        <v>661</v>
      </c>
      <c r="F38" s="246">
        <v>60</v>
      </c>
      <c r="G38" s="246">
        <v>2.6</v>
      </c>
      <c r="H38" s="246">
        <v>900</v>
      </c>
      <c r="I38" s="246">
        <v>2340</v>
      </c>
      <c r="J38" s="245" t="s">
        <v>539</v>
      </c>
      <c r="K38" s="247">
        <v>280.8</v>
      </c>
    </row>
    <row r="39" spans="2:11" ht="18" customHeight="1">
      <c r="B39" s="244">
        <v>43327</v>
      </c>
      <c r="C39" s="245" t="s">
        <v>882</v>
      </c>
      <c r="D39" s="245" t="s">
        <v>517</v>
      </c>
      <c r="E39" s="245" t="s">
        <v>674</v>
      </c>
      <c r="F39" s="246">
        <v>60</v>
      </c>
      <c r="G39" s="246">
        <v>2.77</v>
      </c>
      <c r="H39" s="246">
        <v>500</v>
      </c>
      <c r="I39" s="246">
        <v>1385</v>
      </c>
      <c r="J39" s="245" t="s">
        <v>539</v>
      </c>
      <c r="K39" s="247">
        <v>166.2</v>
      </c>
    </row>
    <row r="40" spans="2:11" ht="18" customHeight="1">
      <c r="B40" s="244">
        <v>43296</v>
      </c>
      <c r="C40" s="245" t="s">
        <v>880</v>
      </c>
      <c r="D40" s="245" t="s">
        <v>669</v>
      </c>
      <c r="E40" s="245" t="s">
        <v>661</v>
      </c>
      <c r="F40" s="246">
        <v>60</v>
      </c>
      <c r="G40" s="246">
        <v>2.6</v>
      </c>
      <c r="H40" s="246">
        <v>530</v>
      </c>
      <c r="I40" s="246">
        <v>1378</v>
      </c>
      <c r="J40" s="245" t="s">
        <v>539</v>
      </c>
      <c r="K40" s="247">
        <v>165.36</v>
      </c>
    </row>
    <row r="41" spans="2:11" ht="18" customHeight="1">
      <c r="B41" s="244">
        <v>43276</v>
      </c>
      <c r="C41" s="245" t="s">
        <v>881</v>
      </c>
      <c r="D41" s="245" t="s">
        <v>517</v>
      </c>
      <c r="E41" s="245" t="s">
        <v>668</v>
      </c>
      <c r="F41" s="246">
        <v>60</v>
      </c>
      <c r="G41" s="246">
        <v>4.0199999999999996</v>
      </c>
      <c r="H41" s="246">
        <v>800</v>
      </c>
      <c r="I41" s="246">
        <v>3216</v>
      </c>
      <c r="J41" s="245" t="s">
        <v>676</v>
      </c>
      <c r="K41" s="247">
        <v>385.92</v>
      </c>
    </row>
    <row r="42" spans="2:11" ht="18" customHeight="1">
      <c r="B42" s="244">
        <v>43276</v>
      </c>
      <c r="C42" s="245" t="s">
        <v>880</v>
      </c>
      <c r="D42" s="245" t="s">
        <v>517</v>
      </c>
      <c r="E42" s="245" t="s">
        <v>664</v>
      </c>
      <c r="F42" s="246">
        <v>45</v>
      </c>
      <c r="G42" s="246">
        <v>7.04</v>
      </c>
      <c r="H42" s="246">
        <v>680</v>
      </c>
      <c r="I42" s="246">
        <v>4787.2</v>
      </c>
      <c r="J42" s="245" t="s">
        <v>539</v>
      </c>
      <c r="K42" s="247">
        <v>574.46399999999994</v>
      </c>
    </row>
    <row r="43" spans="2:11" ht="18" customHeight="1">
      <c r="B43" s="244">
        <v>43276</v>
      </c>
      <c r="C43" s="245" t="s">
        <v>882</v>
      </c>
      <c r="D43" s="245" t="s">
        <v>517</v>
      </c>
      <c r="E43" s="245" t="s">
        <v>672</v>
      </c>
      <c r="F43" s="246">
        <v>45</v>
      </c>
      <c r="G43" s="246">
        <v>4.0199999999999996</v>
      </c>
      <c r="H43" s="246">
        <v>660</v>
      </c>
      <c r="I43" s="246">
        <v>2653.2</v>
      </c>
      <c r="J43" s="245" t="s">
        <v>539</v>
      </c>
      <c r="K43" s="247">
        <v>318.38399999999996</v>
      </c>
    </row>
    <row r="44" spans="2:11" ht="18" customHeight="1">
      <c r="B44" s="244">
        <v>43291</v>
      </c>
      <c r="C44" s="245" t="s">
        <v>880</v>
      </c>
      <c r="D44" s="245" t="s">
        <v>517</v>
      </c>
      <c r="E44" s="245" t="s">
        <v>673</v>
      </c>
      <c r="F44" s="246">
        <v>45</v>
      </c>
      <c r="G44" s="246">
        <v>5.56</v>
      </c>
      <c r="H44" s="246">
        <v>600</v>
      </c>
      <c r="I44" s="246">
        <v>3336</v>
      </c>
      <c r="J44" s="245" t="s">
        <v>539</v>
      </c>
      <c r="K44" s="247">
        <v>400.32</v>
      </c>
    </row>
    <row r="45" spans="2:11" ht="18" customHeight="1">
      <c r="B45" s="244">
        <v>43327</v>
      </c>
      <c r="C45" s="245" t="s">
        <v>881</v>
      </c>
      <c r="D45" s="245" t="s">
        <v>19</v>
      </c>
      <c r="E45" s="245" t="s">
        <v>672</v>
      </c>
      <c r="F45" s="246">
        <v>30</v>
      </c>
      <c r="G45" s="246">
        <v>4.0199999999999996</v>
      </c>
      <c r="H45" s="246">
        <v>530</v>
      </c>
      <c r="I45" s="246">
        <v>2130.6</v>
      </c>
      <c r="J45" s="245" t="s">
        <v>539</v>
      </c>
      <c r="K45" s="247">
        <v>255.67199999999997</v>
      </c>
    </row>
    <row r="46" spans="2:11" ht="18" customHeight="1">
      <c r="B46" s="244">
        <v>43324</v>
      </c>
      <c r="C46" s="245" t="s">
        <v>880</v>
      </c>
      <c r="D46" s="245" t="s">
        <v>517</v>
      </c>
      <c r="E46" s="245" t="s">
        <v>673</v>
      </c>
      <c r="F46" s="246">
        <v>45</v>
      </c>
      <c r="G46" s="246">
        <v>5.56</v>
      </c>
      <c r="H46" s="246">
        <v>450</v>
      </c>
      <c r="I46" s="246">
        <v>2502</v>
      </c>
      <c r="J46" s="245" t="s">
        <v>539</v>
      </c>
      <c r="K46" s="247">
        <v>300.24</v>
      </c>
    </row>
    <row r="47" spans="2:11" ht="18" customHeight="1">
      <c r="B47" s="244">
        <v>43327</v>
      </c>
      <c r="C47" s="245" t="s">
        <v>882</v>
      </c>
      <c r="D47" s="245" t="s">
        <v>517</v>
      </c>
      <c r="E47" s="245" t="s">
        <v>674</v>
      </c>
      <c r="F47" s="246">
        <v>30</v>
      </c>
      <c r="G47" s="246">
        <v>2.77</v>
      </c>
      <c r="H47" s="246">
        <v>400</v>
      </c>
      <c r="I47" s="246">
        <v>1108</v>
      </c>
      <c r="J47" s="245" t="s">
        <v>539</v>
      </c>
      <c r="K47" s="247">
        <v>132.96</v>
      </c>
    </row>
    <row r="48" spans="2:11" ht="18" customHeight="1">
      <c r="B48" s="244">
        <v>43327</v>
      </c>
      <c r="C48" s="245" t="s">
        <v>880</v>
      </c>
      <c r="D48" s="245" t="s">
        <v>523</v>
      </c>
      <c r="E48" s="245" t="s">
        <v>675</v>
      </c>
      <c r="F48" s="246">
        <v>30</v>
      </c>
      <c r="G48" s="246">
        <v>9.6</v>
      </c>
      <c r="H48" s="246">
        <v>300</v>
      </c>
      <c r="I48" s="246">
        <v>2880</v>
      </c>
      <c r="J48" s="245" t="s">
        <v>539</v>
      </c>
      <c r="K48" s="247">
        <v>345.6</v>
      </c>
    </row>
    <row r="49" spans="2:11" ht="18" customHeight="1">
      <c r="B49" s="244">
        <v>43296</v>
      </c>
      <c r="C49" s="245" t="s">
        <v>881</v>
      </c>
      <c r="D49" s="245" t="s">
        <v>523</v>
      </c>
      <c r="E49" s="245" t="s">
        <v>661</v>
      </c>
      <c r="F49" s="246">
        <v>30</v>
      </c>
      <c r="G49" s="246">
        <v>2.6</v>
      </c>
      <c r="H49" s="246">
        <v>200</v>
      </c>
      <c r="I49" s="246">
        <v>520</v>
      </c>
      <c r="J49" s="245" t="s">
        <v>539</v>
      </c>
      <c r="K49" s="247">
        <v>62.4</v>
      </c>
    </row>
    <row r="50" spans="2:11" ht="18" customHeight="1">
      <c r="B50" s="244">
        <v>43235</v>
      </c>
      <c r="C50" s="245" t="s">
        <v>880</v>
      </c>
      <c r="D50" s="245" t="s">
        <v>517</v>
      </c>
      <c r="E50" s="245" t="s">
        <v>672</v>
      </c>
      <c r="F50" s="246">
        <v>30</v>
      </c>
      <c r="G50" s="246">
        <v>4.0199999999999996</v>
      </c>
      <c r="H50" s="246">
        <v>100</v>
      </c>
      <c r="I50" s="246">
        <v>402</v>
      </c>
      <c r="J50" s="245" t="s">
        <v>539</v>
      </c>
      <c r="K50" s="247">
        <v>48.24</v>
      </c>
    </row>
    <row r="51" spans="2:11" ht="18" customHeight="1">
      <c r="B51" s="244">
        <v>43327</v>
      </c>
      <c r="C51" s="245" t="s">
        <v>882</v>
      </c>
      <c r="D51" s="245" t="s">
        <v>19</v>
      </c>
      <c r="E51" s="245" t="s">
        <v>664</v>
      </c>
      <c r="F51" s="246">
        <v>30</v>
      </c>
      <c r="G51" s="246">
        <v>7.04</v>
      </c>
      <c r="H51" s="246">
        <v>30</v>
      </c>
      <c r="I51" s="246">
        <v>211.2</v>
      </c>
      <c r="J51" s="245" t="s">
        <v>539</v>
      </c>
      <c r="K51" s="247">
        <v>25.343999999999998</v>
      </c>
    </row>
    <row r="52" spans="2:11" ht="18" customHeight="1">
      <c r="B52" s="244">
        <v>43327</v>
      </c>
      <c r="C52" s="245" t="s">
        <v>880</v>
      </c>
      <c r="D52" s="245" t="s">
        <v>517</v>
      </c>
      <c r="E52" s="245" t="s">
        <v>672</v>
      </c>
      <c r="F52" s="246">
        <v>45</v>
      </c>
      <c r="G52" s="246">
        <v>4.0199999999999996</v>
      </c>
      <c r="H52" s="246">
        <v>220</v>
      </c>
      <c r="I52" s="246">
        <v>884.4</v>
      </c>
      <c r="J52" s="245" t="s">
        <v>666</v>
      </c>
      <c r="K52" s="247">
        <v>106.12799999999999</v>
      </c>
    </row>
    <row r="53" spans="2:11" ht="18" customHeight="1">
      <c r="B53" s="244">
        <v>43327</v>
      </c>
      <c r="C53" s="245" t="s">
        <v>881</v>
      </c>
      <c r="D53" s="245" t="s">
        <v>517</v>
      </c>
      <c r="E53" s="245" t="s">
        <v>673</v>
      </c>
      <c r="F53" s="246">
        <v>45</v>
      </c>
      <c r="G53" s="246">
        <v>5.56</v>
      </c>
      <c r="H53" s="246">
        <v>460</v>
      </c>
      <c r="I53" s="246">
        <v>2557.6</v>
      </c>
      <c r="J53" s="245" t="s">
        <v>430</v>
      </c>
      <c r="K53" s="247">
        <v>306.91199999999998</v>
      </c>
    </row>
    <row r="54" spans="2:11" ht="18" customHeight="1">
      <c r="B54" s="244">
        <v>43324</v>
      </c>
      <c r="C54" s="245" t="s">
        <v>880</v>
      </c>
      <c r="D54" s="245" t="s">
        <v>517</v>
      </c>
      <c r="E54" s="245" t="s">
        <v>672</v>
      </c>
      <c r="F54" s="246">
        <v>45</v>
      </c>
      <c r="G54" s="246">
        <v>4.0199999999999996</v>
      </c>
      <c r="H54" s="246">
        <v>1000</v>
      </c>
      <c r="I54" s="246">
        <v>4020</v>
      </c>
      <c r="J54" s="245" t="s">
        <v>539</v>
      </c>
      <c r="K54" s="247">
        <v>482.4</v>
      </c>
    </row>
    <row r="55" spans="2:11" ht="18" customHeight="1">
      <c r="B55" s="244">
        <v>43324</v>
      </c>
      <c r="C55" s="245" t="s">
        <v>882</v>
      </c>
      <c r="D55" s="245" t="s">
        <v>517</v>
      </c>
      <c r="E55" s="245" t="s">
        <v>668</v>
      </c>
      <c r="F55" s="246">
        <v>45</v>
      </c>
      <c r="G55" s="246">
        <v>5.56</v>
      </c>
      <c r="H55" s="246">
        <v>1200</v>
      </c>
      <c r="I55" s="246">
        <v>6672</v>
      </c>
      <c r="J55" s="245" t="s">
        <v>539</v>
      </c>
      <c r="K55" s="247">
        <v>800.64</v>
      </c>
    </row>
    <row r="56" spans="2:11" ht="18" customHeight="1">
      <c r="B56" s="244">
        <v>43327</v>
      </c>
      <c r="C56" s="245" t="s">
        <v>880</v>
      </c>
      <c r="D56" s="245" t="s">
        <v>517</v>
      </c>
      <c r="E56" s="245" t="s">
        <v>674</v>
      </c>
      <c r="F56" s="246">
        <v>45</v>
      </c>
      <c r="G56" s="246">
        <v>2.77</v>
      </c>
      <c r="H56" s="246">
        <v>200</v>
      </c>
      <c r="I56" s="246">
        <v>554</v>
      </c>
      <c r="J56" s="245" t="s">
        <v>430</v>
      </c>
      <c r="K56" s="247">
        <v>66.48</v>
      </c>
    </row>
    <row r="57" spans="2:11" ht="18" customHeight="1">
      <c r="B57" s="244">
        <v>43230</v>
      </c>
      <c r="C57" s="245" t="s">
        <v>881</v>
      </c>
      <c r="D57" s="245" t="s">
        <v>669</v>
      </c>
      <c r="E57" s="245" t="s">
        <v>675</v>
      </c>
      <c r="F57" s="246">
        <v>45</v>
      </c>
      <c r="G57" s="246">
        <v>9.6</v>
      </c>
      <c r="H57" s="246">
        <v>500</v>
      </c>
      <c r="I57" s="246">
        <v>4800</v>
      </c>
      <c r="J57" s="245" t="s">
        <v>666</v>
      </c>
      <c r="K57" s="247">
        <v>576</v>
      </c>
    </row>
    <row r="58" spans="2:11" ht="18" customHeight="1">
      <c r="B58" s="244">
        <v>43339</v>
      </c>
      <c r="C58" s="245" t="s">
        <v>880</v>
      </c>
      <c r="D58" s="245" t="s">
        <v>517</v>
      </c>
      <c r="E58" s="245" t="s">
        <v>672</v>
      </c>
      <c r="F58" s="246">
        <v>60</v>
      </c>
      <c r="G58" s="246">
        <v>4.0199999999999996</v>
      </c>
      <c r="H58" s="246">
        <v>600</v>
      </c>
      <c r="I58" s="246">
        <v>2412</v>
      </c>
      <c r="J58" s="245" t="s">
        <v>539</v>
      </c>
      <c r="K58" s="247">
        <v>289.44</v>
      </c>
    </row>
    <row r="59" spans="2:11" ht="18" customHeight="1">
      <c r="B59" s="244">
        <v>43247</v>
      </c>
      <c r="C59" s="245" t="s">
        <v>882</v>
      </c>
      <c r="D59" s="245" t="s">
        <v>19</v>
      </c>
      <c r="E59" s="245" t="s">
        <v>668</v>
      </c>
      <c r="F59" s="246">
        <v>45</v>
      </c>
      <c r="G59" s="246">
        <v>2.77</v>
      </c>
      <c r="H59" s="246">
        <v>1000</v>
      </c>
      <c r="I59" s="246">
        <v>2770</v>
      </c>
      <c r="J59" s="245" t="s">
        <v>539</v>
      </c>
      <c r="K59" s="247">
        <v>332.4</v>
      </c>
    </row>
    <row r="60" spans="2:11" ht="18" customHeight="1">
      <c r="B60" s="244">
        <v>43291</v>
      </c>
      <c r="C60" s="245" t="s">
        <v>880</v>
      </c>
      <c r="D60" s="245" t="s">
        <v>19</v>
      </c>
      <c r="E60" s="245" t="s">
        <v>674</v>
      </c>
      <c r="F60" s="246">
        <v>60</v>
      </c>
      <c r="G60" s="246">
        <v>2.77</v>
      </c>
      <c r="H60" s="246">
        <v>1000</v>
      </c>
      <c r="I60" s="246">
        <v>2770</v>
      </c>
      <c r="J60" s="245" t="s">
        <v>539</v>
      </c>
      <c r="K60" s="247">
        <v>332.4</v>
      </c>
    </row>
    <row r="61" spans="2:11" ht="18" customHeight="1">
      <c r="B61" s="244">
        <v>43276</v>
      </c>
      <c r="C61" s="245" t="s">
        <v>881</v>
      </c>
      <c r="D61" s="245" t="s">
        <v>517</v>
      </c>
      <c r="E61" s="245" t="s">
        <v>668</v>
      </c>
      <c r="F61" s="246">
        <v>45</v>
      </c>
      <c r="G61" s="246">
        <v>2.77</v>
      </c>
      <c r="H61" s="246">
        <v>1200</v>
      </c>
      <c r="I61" s="246">
        <v>3324</v>
      </c>
      <c r="J61" s="245" t="s">
        <v>666</v>
      </c>
      <c r="K61" s="247">
        <v>398.88</v>
      </c>
    </row>
    <row r="62" spans="2:11" ht="18" customHeight="1">
      <c r="B62" s="244">
        <v>43339</v>
      </c>
      <c r="C62" s="245" t="s">
        <v>880</v>
      </c>
      <c r="D62" s="245" t="s">
        <v>517</v>
      </c>
      <c r="E62" s="245" t="s">
        <v>670</v>
      </c>
      <c r="F62" s="246">
        <v>60</v>
      </c>
      <c r="G62" s="246">
        <v>9.6</v>
      </c>
      <c r="H62" s="246">
        <v>500</v>
      </c>
      <c r="I62" s="246">
        <v>4800</v>
      </c>
      <c r="J62" s="245" t="s">
        <v>539</v>
      </c>
      <c r="K62" s="247">
        <v>576</v>
      </c>
    </row>
    <row r="63" spans="2:11" ht="18" customHeight="1">
      <c r="B63" s="244">
        <v>43296</v>
      </c>
      <c r="C63" s="245" t="s">
        <v>882</v>
      </c>
      <c r="D63" s="245" t="s">
        <v>517</v>
      </c>
      <c r="E63" s="245" t="s">
        <v>673</v>
      </c>
      <c r="F63" s="246">
        <v>45</v>
      </c>
      <c r="G63" s="246">
        <v>5.56</v>
      </c>
      <c r="H63" s="246">
        <v>300</v>
      </c>
      <c r="I63" s="246">
        <v>1668</v>
      </c>
      <c r="J63" s="245" t="s">
        <v>539</v>
      </c>
      <c r="K63" s="247">
        <v>200.16</v>
      </c>
    </row>
    <row r="64" spans="2:11" ht="18" customHeight="1">
      <c r="B64" s="244">
        <v>43339</v>
      </c>
      <c r="C64" s="245" t="s">
        <v>880</v>
      </c>
      <c r="D64" s="245" t="s">
        <v>523</v>
      </c>
      <c r="E64" s="245" t="s">
        <v>668</v>
      </c>
      <c r="F64" s="246">
        <v>45</v>
      </c>
      <c r="G64" s="246">
        <v>4.0199999999999996</v>
      </c>
      <c r="H64" s="246">
        <v>450</v>
      </c>
      <c r="I64" s="246">
        <v>1809</v>
      </c>
      <c r="J64" s="245" t="s">
        <v>539</v>
      </c>
      <c r="K64" s="247">
        <v>217.08</v>
      </c>
    </row>
    <row r="65" spans="2:11" ht="18" customHeight="1">
      <c r="B65" s="244">
        <v>43339</v>
      </c>
      <c r="C65" s="245" t="s">
        <v>881</v>
      </c>
      <c r="D65" s="245" t="s">
        <v>523</v>
      </c>
      <c r="E65" s="245" t="s">
        <v>673</v>
      </c>
      <c r="F65" s="246">
        <v>45</v>
      </c>
      <c r="G65" s="246">
        <v>5.56</v>
      </c>
      <c r="H65" s="246">
        <v>400</v>
      </c>
      <c r="I65" s="246">
        <v>2224</v>
      </c>
      <c r="J65" s="245" t="s">
        <v>539</v>
      </c>
      <c r="K65" s="247">
        <v>266.88</v>
      </c>
    </row>
    <row r="66" spans="2:11" ht="18" customHeight="1">
      <c r="B66" s="244">
        <v>43339</v>
      </c>
      <c r="C66" s="245" t="s">
        <v>880</v>
      </c>
      <c r="D66" s="245" t="s">
        <v>517</v>
      </c>
      <c r="E66" s="245" t="s">
        <v>674</v>
      </c>
      <c r="F66" s="246">
        <v>30</v>
      </c>
      <c r="G66" s="246">
        <v>2.77</v>
      </c>
      <c r="H66" s="246">
        <v>200</v>
      </c>
      <c r="I66" s="246">
        <v>554</v>
      </c>
      <c r="J66" s="245" t="s">
        <v>539</v>
      </c>
      <c r="K66" s="247">
        <v>66.48</v>
      </c>
    </row>
    <row r="67" spans="2:11" ht="18" customHeight="1">
      <c r="B67" s="244">
        <v>43247</v>
      </c>
      <c r="C67" s="245" t="s">
        <v>882</v>
      </c>
      <c r="D67" s="245" t="s">
        <v>517</v>
      </c>
      <c r="E67" s="245" t="s">
        <v>673</v>
      </c>
      <c r="F67" s="246">
        <v>45</v>
      </c>
      <c r="G67" s="246">
        <v>5.56</v>
      </c>
      <c r="H67" s="246">
        <v>1500</v>
      </c>
      <c r="I67" s="246">
        <v>8340</v>
      </c>
      <c r="J67" s="245" t="s">
        <v>539</v>
      </c>
      <c r="K67" s="247">
        <v>1000.8</v>
      </c>
    </row>
    <row r="68" spans="2:11" ht="18" customHeight="1">
      <c r="B68" s="244">
        <v>43327</v>
      </c>
      <c r="C68" s="245" t="s">
        <v>880</v>
      </c>
      <c r="D68" s="245" t="s">
        <v>523</v>
      </c>
      <c r="E68" s="245" t="s">
        <v>672</v>
      </c>
      <c r="F68" s="246">
        <v>45</v>
      </c>
      <c r="G68" s="246">
        <v>4.0199999999999996</v>
      </c>
      <c r="H68" s="246">
        <v>380</v>
      </c>
      <c r="I68" s="246">
        <v>1527.6</v>
      </c>
      <c r="J68" s="245" t="s">
        <v>539</v>
      </c>
      <c r="K68" s="247">
        <v>183.31199999999998</v>
      </c>
    </row>
    <row r="69" spans="2:11" ht="18" customHeight="1">
      <c r="B69" s="244">
        <v>43339</v>
      </c>
      <c r="C69" s="245" t="s">
        <v>881</v>
      </c>
      <c r="D69" s="245" t="s">
        <v>523</v>
      </c>
      <c r="E69" s="245" t="s">
        <v>668</v>
      </c>
      <c r="F69" s="246">
        <v>30</v>
      </c>
      <c r="G69" s="246">
        <v>5.56</v>
      </c>
      <c r="H69" s="246">
        <v>1300</v>
      </c>
      <c r="I69" s="246">
        <v>7228</v>
      </c>
      <c r="J69" s="245" t="s">
        <v>539</v>
      </c>
      <c r="K69" s="247">
        <v>867.36</v>
      </c>
    </row>
    <row r="70" spans="2:11" ht="18" customHeight="1">
      <c r="B70" s="244">
        <v>43339</v>
      </c>
      <c r="C70" s="245" t="s">
        <v>880</v>
      </c>
      <c r="D70" s="245" t="s">
        <v>517</v>
      </c>
      <c r="E70" s="245" t="s">
        <v>674</v>
      </c>
      <c r="F70" s="246">
        <v>45</v>
      </c>
      <c r="G70" s="246">
        <v>2.77</v>
      </c>
      <c r="H70" s="246">
        <v>460</v>
      </c>
      <c r="I70" s="246">
        <v>1274.2</v>
      </c>
      <c r="J70" s="245" t="s">
        <v>539</v>
      </c>
      <c r="K70" s="247">
        <v>152.904</v>
      </c>
    </row>
    <row r="71" spans="2:11" ht="18" customHeight="1">
      <c r="B71" s="244">
        <v>43339</v>
      </c>
      <c r="C71" s="245" t="s">
        <v>882</v>
      </c>
      <c r="D71" s="245" t="s">
        <v>19</v>
      </c>
      <c r="E71" s="245" t="s">
        <v>670</v>
      </c>
      <c r="F71" s="246">
        <v>45</v>
      </c>
      <c r="G71" s="246">
        <v>9.6</v>
      </c>
      <c r="H71" s="246">
        <v>450</v>
      </c>
      <c r="I71" s="246">
        <v>4320</v>
      </c>
      <c r="J71" s="245" t="s">
        <v>539</v>
      </c>
      <c r="K71" s="247">
        <v>518.4</v>
      </c>
    </row>
    <row r="72" spans="2:11" ht="18" customHeight="1">
      <c r="B72" s="244">
        <v>43327</v>
      </c>
      <c r="C72" s="245" t="s">
        <v>880</v>
      </c>
      <c r="D72" s="245" t="s">
        <v>523</v>
      </c>
      <c r="E72" s="245" t="s">
        <v>672</v>
      </c>
      <c r="F72" s="246">
        <v>30</v>
      </c>
      <c r="G72" s="246">
        <v>4.0199999999999996</v>
      </c>
      <c r="H72" s="246">
        <v>560</v>
      </c>
      <c r="I72" s="246">
        <v>2251.1999999999998</v>
      </c>
      <c r="J72" s="245" t="s">
        <v>671</v>
      </c>
      <c r="K72" s="247">
        <v>270.14399999999995</v>
      </c>
    </row>
    <row r="73" spans="2:11" ht="18" customHeight="1">
      <c r="B73" s="244">
        <v>43339</v>
      </c>
      <c r="C73" s="245" t="s">
        <v>881</v>
      </c>
      <c r="D73" s="245" t="s">
        <v>517</v>
      </c>
      <c r="E73" s="245" t="s">
        <v>674</v>
      </c>
      <c r="F73" s="246">
        <v>45</v>
      </c>
      <c r="G73" s="246">
        <v>2.77</v>
      </c>
      <c r="H73" s="246">
        <v>1000</v>
      </c>
      <c r="I73" s="246">
        <v>2770</v>
      </c>
      <c r="J73" s="245" t="s">
        <v>539</v>
      </c>
      <c r="K73" s="247">
        <v>332.4</v>
      </c>
    </row>
    <row r="74" spans="2:11" ht="18" customHeight="1">
      <c r="B74" s="244">
        <v>43339</v>
      </c>
      <c r="C74" s="245" t="s">
        <v>880</v>
      </c>
      <c r="D74" s="245" t="s">
        <v>517</v>
      </c>
      <c r="E74" s="245" t="s">
        <v>670</v>
      </c>
      <c r="F74" s="246">
        <v>45</v>
      </c>
      <c r="G74" s="246">
        <v>9.6</v>
      </c>
      <c r="H74" s="246">
        <v>500</v>
      </c>
      <c r="I74" s="246">
        <v>4800</v>
      </c>
      <c r="J74" s="245" t="s">
        <v>539</v>
      </c>
      <c r="K74" s="247">
        <v>576</v>
      </c>
    </row>
    <row r="75" spans="2:11" ht="18" customHeight="1">
      <c r="B75" s="244">
        <v>43339</v>
      </c>
      <c r="C75" s="245" t="s">
        <v>882</v>
      </c>
      <c r="D75" s="245" t="s">
        <v>19</v>
      </c>
      <c r="E75" s="245" t="s">
        <v>668</v>
      </c>
      <c r="F75" s="246">
        <v>30</v>
      </c>
      <c r="G75" s="246">
        <v>2.77</v>
      </c>
      <c r="H75" s="246">
        <v>450</v>
      </c>
      <c r="I75" s="246">
        <v>1246.5</v>
      </c>
      <c r="J75" s="245" t="s">
        <v>430</v>
      </c>
      <c r="K75" s="247">
        <v>149.58000000000001</v>
      </c>
    </row>
    <row r="76" spans="2:11" ht="18" customHeight="1">
      <c r="B76" s="244">
        <v>43339</v>
      </c>
      <c r="C76" s="245" t="s">
        <v>880</v>
      </c>
      <c r="D76" s="245" t="s">
        <v>517</v>
      </c>
      <c r="E76" s="245" t="s">
        <v>674</v>
      </c>
      <c r="F76" s="246">
        <v>30</v>
      </c>
      <c r="G76" s="246">
        <v>2.77</v>
      </c>
      <c r="H76" s="246">
        <v>650</v>
      </c>
      <c r="I76" s="246">
        <v>1800.5</v>
      </c>
      <c r="J76" s="245" t="s">
        <v>539</v>
      </c>
      <c r="K76" s="247">
        <v>216.06</v>
      </c>
    </row>
    <row r="77" spans="2:11" ht="18" customHeight="1">
      <c r="B77" s="244">
        <v>43339</v>
      </c>
      <c r="C77" s="245" t="s">
        <v>881</v>
      </c>
      <c r="D77" s="245" t="s">
        <v>19</v>
      </c>
      <c r="E77" s="245" t="s">
        <v>673</v>
      </c>
      <c r="F77" s="246">
        <v>45</v>
      </c>
      <c r="G77" s="246">
        <v>5.56</v>
      </c>
      <c r="H77" s="246">
        <v>750</v>
      </c>
      <c r="I77" s="246">
        <v>4170</v>
      </c>
      <c r="J77" s="245" t="s">
        <v>539</v>
      </c>
      <c r="K77" s="247">
        <v>500.4</v>
      </c>
    </row>
    <row r="78" spans="2:11" ht="18" customHeight="1">
      <c r="B78" s="244">
        <v>43327</v>
      </c>
      <c r="C78" s="245" t="s">
        <v>880</v>
      </c>
      <c r="D78" s="245" t="s">
        <v>19</v>
      </c>
      <c r="E78" s="245" t="s">
        <v>674</v>
      </c>
      <c r="F78" s="246">
        <v>30</v>
      </c>
      <c r="G78" s="246">
        <v>2.77</v>
      </c>
      <c r="H78" s="246">
        <v>800</v>
      </c>
      <c r="I78" s="246">
        <v>2216</v>
      </c>
      <c r="J78" s="245" t="s">
        <v>430</v>
      </c>
      <c r="K78" s="247">
        <v>265.92</v>
      </c>
    </row>
    <row r="79" spans="2:11" ht="18" customHeight="1">
      <c r="B79" s="244">
        <v>43327</v>
      </c>
      <c r="C79" s="245" t="s">
        <v>882</v>
      </c>
      <c r="D79" s="245" t="s">
        <v>517</v>
      </c>
      <c r="E79" s="245" t="s">
        <v>670</v>
      </c>
      <c r="F79" s="246">
        <v>45</v>
      </c>
      <c r="G79" s="246">
        <v>9.6</v>
      </c>
      <c r="H79" s="246">
        <v>500</v>
      </c>
      <c r="I79" s="246">
        <v>4800</v>
      </c>
      <c r="J79" s="245" t="s">
        <v>539</v>
      </c>
      <c r="K79" s="247">
        <v>576</v>
      </c>
    </row>
    <row r="80" spans="2:11" ht="18" customHeight="1">
      <c r="B80" s="244">
        <v>43339</v>
      </c>
      <c r="C80" s="245" t="s">
        <v>880</v>
      </c>
      <c r="D80" s="245" t="s">
        <v>517</v>
      </c>
      <c r="E80" s="245" t="s">
        <v>672</v>
      </c>
      <c r="F80" s="246">
        <v>45</v>
      </c>
      <c r="G80" s="246">
        <v>4.0199999999999996</v>
      </c>
      <c r="H80" s="246">
        <v>600</v>
      </c>
      <c r="I80" s="246">
        <v>2412</v>
      </c>
      <c r="J80" s="245" t="s">
        <v>539</v>
      </c>
      <c r="K80" s="247">
        <v>289.44</v>
      </c>
    </row>
    <row r="81" spans="2:11" ht="18" customHeight="1">
      <c r="B81" s="244">
        <v>43339</v>
      </c>
      <c r="C81" s="245" t="s">
        <v>881</v>
      </c>
      <c r="D81" s="245" t="s">
        <v>19</v>
      </c>
      <c r="E81" s="245" t="s">
        <v>674</v>
      </c>
      <c r="F81" s="246">
        <v>60</v>
      </c>
      <c r="G81" s="246">
        <v>2.77</v>
      </c>
      <c r="H81" s="246">
        <v>300</v>
      </c>
      <c r="I81" s="246">
        <v>831</v>
      </c>
      <c r="J81" s="245" t="s">
        <v>539</v>
      </c>
      <c r="K81" s="247">
        <v>99.72</v>
      </c>
    </row>
    <row r="82" spans="2:11" ht="18" customHeight="1">
      <c r="B82" s="244">
        <v>43247</v>
      </c>
      <c r="C82" s="245" t="s">
        <v>880</v>
      </c>
      <c r="D82" s="245" t="s">
        <v>517</v>
      </c>
      <c r="E82" s="245" t="s">
        <v>672</v>
      </c>
      <c r="F82" s="246">
        <v>45</v>
      </c>
      <c r="G82" s="246">
        <v>4.0199999999999996</v>
      </c>
      <c r="H82" s="246">
        <v>600</v>
      </c>
      <c r="I82" s="246">
        <v>2412</v>
      </c>
      <c r="J82" s="245" t="s">
        <v>539</v>
      </c>
      <c r="K82" s="247">
        <v>289.44</v>
      </c>
    </row>
    <row r="83" spans="2:11" ht="18" customHeight="1">
      <c r="B83" s="244">
        <v>43339</v>
      </c>
      <c r="C83" s="245" t="s">
        <v>882</v>
      </c>
      <c r="D83" s="245" t="s">
        <v>19</v>
      </c>
      <c r="E83" s="245" t="s">
        <v>674</v>
      </c>
      <c r="F83" s="246">
        <v>45</v>
      </c>
      <c r="G83" s="246">
        <v>2.77</v>
      </c>
      <c r="H83" s="246">
        <v>1000</v>
      </c>
      <c r="I83" s="246">
        <v>2770</v>
      </c>
      <c r="J83" s="245" t="s">
        <v>539</v>
      </c>
      <c r="K83" s="247">
        <v>332.4</v>
      </c>
    </row>
    <row r="84" spans="2:11" ht="18" customHeight="1">
      <c r="B84" s="244">
        <v>43291</v>
      </c>
      <c r="C84" s="245" t="s">
        <v>880</v>
      </c>
      <c r="D84" s="245" t="s">
        <v>19</v>
      </c>
      <c r="E84" s="245" t="s">
        <v>668</v>
      </c>
      <c r="F84" s="246">
        <v>60</v>
      </c>
      <c r="G84" s="246">
        <v>2.77</v>
      </c>
      <c r="H84" s="246">
        <v>1000</v>
      </c>
      <c r="I84" s="246">
        <v>2770</v>
      </c>
      <c r="J84" s="245" t="s">
        <v>539</v>
      </c>
      <c r="K84" s="247">
        <v>332.4</v>
      </c>
    </row>
    <row r="85" spans="2:11" ht="18" customHeight="1">
      <c r="B85" s="244">
        <v>43245</v>
      </c>
      <c r="C85" s="245" t="s">
        <v>880</v>
      </c>
      <c r="D85" s="245" t="s">
        <v>19</v>
      </c>
      <c r="E85" s="245" t="s">
        <v>664</v>
      </c>
      <c r="F85" s="246">
        <v>45</v>
      </c>
      <c r="G85" s="246">
        <v>7.04</v>
      </c>
      <c r="H85" s="246">
        <v>400</v>
      </c>
      <c r="I85" s="246">
        <v>2816</v>
      </c>
      <c r="J85" s="245" t="s">
        <v>666</v>
      </c>
      <c r="K85" s="247">
        <v>337.92</v>
      </c>
    </row>
    <row r="86" spans="2:11" ht="18" customHeight="1">
      <c r="B86" s="244">
        <v>43327</v>
      </c>
      <c r="C86" s="245" t="s">
        <v>882</v>
      </c>
      <c r="D86" s="245" t="s">
        <v>517</v>
      </c>
      <c r="E86" s="245" t="s">
        <v>675</v>
      </c>
      <c r="F86" s="246">
        <v>60</v>
      </c>
      <c r="G86" s="246">
        <v>5.56</v>
      </c>
      <c r="H86" s="246">
        <v>450</v>
      </c>
      <c r="I86" s="246">
        <v>2502</v>
      </c>
      <c r="J86" s="245" t="s">
        <v>430</v>
      </c>
      <c r="K86" s="247">
        <v>300.24</v>
      </c>
    </row>
    <row r="87" spans="2:11" ht="18" customHeight="1">
      <c r="B87" s="244">
        <v>43276</v>
      </c>
      <c r="C87" s="245" t="s">
        <v>880</v>
      </c>
      <c r="D87" s="245" t="s">
        <v>523</v>
      </c>
      <c r="E87" s="245" t="s">
        <v>661</v>
      </c>
      <c r="F87" s="246">
        <v>60</v>
      </c>
      <c r="G87" s="246">
        <v>2.6</v>
      </c>
      <c r="H87" s="246">
        <v>600</v>
      </c>
      <c r="I87" s="246">
        <v>1560</v>
      </c>
      <c r="J87" s="245" t="s">
        <v>666</v>
      </c>
      <c r="K87" s="247">
        <v>187.2</v>
      </c>
    </row>
    <row r="88" spans="2:11" ht="18" customHeight="1">
      <c r="B88" s="244">
        <v>43276</v>
      </c>
      <c r="C88" s="245" t="s">
        <v>881</v>
      </c>
      <c r="D88" s="245" t="s">
        <v>517</v>
      </c>
      <c r="E88" s="245" t="s">
        <v>661</v>
      </c>
      <c r="F88" s="246">
        <v>45</v>
      </c>
      <c r="G88" s="246">
        <v>2.6</v>
      </c>
      <c r="H88" s="246">
        <v>750</v>
      </c>
      <c r="I88" s="246">
        <v>1950</v>
      </c>
      <c r="J88" s="245" t="s">
        <v>539</v>
      </c>
      <c r="K88" s="247">
        <v>234</v>
      </c>
    </row>
    <row r="89" spans="2:11" ht="18" customHeight="1">
      <c r="B89" s="244">
        <v>43276</v>
      </c>
      <c r="C89" s="245" t="s">
        <v>880</v>
      </c>
      <c r="D89" s="245" t="s">
        <v>517</v>
      </c>
      <c r="E89" s="245" t="s">
        <v>668</v>
      </c>
      <c r="F89" s="246">
        <v>45</v>
      </c>
      <c r="G89" s="246">
        <v>2.77</v>
      </c>
      <c r="H89" s="246">
        <v>180</v>
      </c>
      <c r="I89" s="246">
        <v>498.6</v>
      </c>
      <c r="J89" s="245" t="s">
        <v>430</v>
      </c>
      <c r="K89" s="247">
        <v>59.832000000000001</v>
      </c>
    </row>
    <row r="90" spans="2:11" ht="18" customHeight="1">
      <c r="B90" s="244">
        <v>43276</v>
      </c>
      <c r="C90" s="245" t="s">
        <v>882</v>
      </c>
      <c r="D90" s="245" t="s">
        <v>517</v>
      </c>
      <c r="E90" s="245" t="s">
        <v>675</v>
      </c>
      <c r="F90" s="246">
        <v>60</v>
      </c>
      <c r="G90" s="246">
        <v>2.6</v>
      </c>
      <c r="H90" s="246">
        <v>300</v>
      </c>
      <c r="I90" s="246">
        <v>780</v>
      </c>
      <c r="J90" s="245" t="s">
        <v>539</v>
      </c>
      <c r="K90" s="247">
        <v>93.6</v>
      </c>
    </row>
    <row r="91" spans="2:11" ht="18" customHeight="1">
      <c r="B91" s="244">
        <v>43296</v>
      </c>
      <c r="C91" s="245" t="s">
        <v>880</v>
      </c>
      <c r="D91" s="245" t="s">
        <v>517</v>
      </c>
      <c r="E91" s="245" t="s">
        <v>664</v>
      </c>
      <c r="F91" s="246">
        <v>45</v>
      </c>
      <c r="G91" s="246">
        <v>7.04</v>
      </c>
      <c r="H91" s="246">
        <v>600</v>
      </c>
      <c r="I91" s="246">
        <v>4224</v>
      </c>
      <c r="J91" s="245" t="s">
        <v>539</v>
      </c>
      <c r="K91" s="247">
        <v>506.88</v>
      </c>
    </row>
    <row r="92" spans="2:11" ht="18" customHeight="1">
      <c r="B92" s="244">
        <v>43235</v>
      </c>
      <c r="C92" s="245" t="s">
        <v>880</v>
      </c>
      <c r="D92" s="245" t="s">
        <v>517</v>
      </c>
      <c r="E92" s="245" t="s">
        <v>661</v>
      </c>
      <c r="F92" s="246">
        <v>45</v>
      </c>
      <c r="G92" s="246">
        <v>2.6</v>
      </c>
      <c r="H92" s="246">
        <v>300</v>
      </c>
      <c r="I92" s="246">
        <v>780</v>
      </c>
      <c r="J92" s="245" t="s">
        <v>430</v>
      </c>
      <c r="K92" s="247">
        <v>93.6</v>
      </c>
    </row>
    <row r="93" spans="2:11" ht="18" customHeight="1">
      <c r="B93" s="244">
        <v>43296</v>
      </c>
      <c r="C93" s="245" t="s">
        <v>881</v>
      </c>
      <c r="D93" s="245" t="s">
        <v>523</v>
      </c>
      <c r="E93" s="245" t="s">
        <v>668</v>
      </c>
      <c r="F93" s="246">
        <v>60</v>
      </c>
      <c r="G93" s="246">
        <v>4.0199999999999996</v>
      </c>
      <c r="H93" s="246">
        <v>300</v>
      </c>
      <c r="I93" s="246">
        <v>1206</v>
      </c>
      <c r="J93" s="245" t="s">
        <v>430</v>
      </c>
      <c r="K93" s="247">
        <v>144.72</v>
      </c>
    </row>
    <row r="94" spans="2:11" ht="18" customHeight="1">
      <c r="B94" s="244">
        <v>43296</v>
      </c>
      <c r="C94" s="245" t="s">
        <v>880</v>
      </c>
      <c r="D94" s="245" t="s">
        <v>19</v>
      </c>
      <c r="E94" s="245" t="s">
        <v>664</v>
      </c>
      <c r="F94" s="246">
        <v>45</v>
      </c>
      <c r="G94" s="246">
        <v>7.04</v>
      </c>
      <c r="H94" s="246">
        <v>500</v>
      </c>
      <c r="I94" s="246">
        <v>3520</v>
      </c>
      <c r="J94" s="245" t="s">
        <v>539</v>
      </c>
      <c r="K94" s="247">
        <v>422.4</v>
      </c>
    </row>
    <row r="95" spans="2:11" ht="18" customHeight="1">
      <c r="B95" s="244">
        <v>43296</v>
      </c>
      <c r="C95" s="245" t="s">
        <v>882</v>
      </c>
      <c r="D95" s="245" t="s">
        <v>517</v>
      </c>
      <c r="E95" s="245" t="s">
        <v>672</v>
      </c>
      <c r="F95" s="246">
        <v>45</v>
      </c>
      <c r="G95" s="246">
        <v>4.0199999999999996</v>
      </c>
      <c r="H95" s="246">
        <v>200</v>
      </c>
      <c r="I95" s="246">
        <v>804</v>
      </c>
      <c r="J95" s="245" t="s">
        <v>539</v>
      </c>
      <c r="K95" s="247">
        <v>96.48</v>
      </c>
    </row>
    <row r="96" spans="2:11" ht="18" customHeight="1">
      <c r="B96" s="244">
        <v>43296</v>
      </c>
      <c r="C96" s="245" t="s">
        <v>880</v>
      </c>
      <c r="D96" s="245" t="s">
        <v>523</v>
      </c>
      <c r="E96" s="245" t="s">
        <v>673</v>
      </c>
      <c r="F96" s="246">
        <v>60</v>
      </c>
      <c r="G96" s="246">
        <v>5.56</v>
      </c>
      <c r="H96" s="246">
        <v>100</v>
      </c>
      <c r="I96" s="246">
        <v>556</v>
      </c>
      <c r="J96" s="245" t="s">
        <v>430</v>
      </c>
      <c r="K96" s="247">
        <v>66.72</v>
      </c>
    </row>
    <row r="97" spans="2:11" ht="18" customHeight="1">
      <c r="B97" s="244">
        <v>43245</v>
      </c>
      <c r="C97" s="245" t="s">
        <v>881</v>
      </c>
      <c r="D97" s="245" t="s">
        <v>517</v>
      </c>
      <c r="E97" s="245" t="s">
        <v>668</v>
      </c>
      <c r="F97" s="246">
        <v>45</v>
      </c>
      <c r="G97" s="246">
        <v>4.0199999999999996</v>
      </c>
      <c r="H97" s="246">
        <v>50</v>
      </c>
      <c r="I97" s="246">
        <v>201</v>
      </c>
      <c r="J97" s="245" t="s">
        <v>539</v>
      </c>
      <c r="K97" s="247">
        <v>24.12</v>
      </c>
    </row>
    <row r="98" spans="2:11" ht="18" customHeight="1">
      <c r="B98" s="244">
        <v>43276</v>
      </c>
      <c r="C98" s="245" t="s">
        <v>880</v>
      </c>
      <c r="D98" s="245" t="s">
        <v>19</v>
      </c>
      <c r="E98" s="245" t="s">
        <v>673</v>
      </c>
      <c r="F98" s="246">
        <v>30</v>
      </c>
      <c r="G98" s="246">
        <v>5.56</v>
      </c>
      <c r="H98" s="246">
        <v>200</v>
      </c>
      <c r="I98" s="246">
        <v>1112</v>
      </c>
      <c r="J98" s="245" t="s">
        <v>539</v>
      </c>
      <c r="K98" s="247">
        <v>133.44</v>
      </c>
    </row>
    <row r="99" spans="2:11" ht="18" customHeight="1">
      <c r="B99" s="244">
        <v>43293</v>
      </c>
      <c r="C99" s="245" t="s">
        <v>880</v>
      </c>
      <c r="D99" s="245" t="s">
        <v>517</v>
      </c>
      <c r="E99" s="245" t="s">
        <v>664</v>
      </c>
      <c r="F99" s="246">
        <v>45</v>
      </c>
      <c r="G99" s="246">
        <v>7.04</v>
      </c>
      <c r="H99" s="246">
        <v>1000</v>
      </c>
      <c r="I99" s="246">
        <v>7040</v>
      </c>
      <c r="J99" s="245" t="s">
        <v>666</v>
      </c>
      <c r="K99" s="247">
        <v>844.8</v>
      </c>
    </row>
    <row r="100" spans="2:11" ht="18" customHeight="1">
      <c r="B100" s="244">
        <v>43296</v>
      </c>
      <c r="C100" s="245" t="s">
        <v>882</v>
      </c>
      <c r="D100" s="245" t="s">
        <v>19</v>
      </c>
      <c r="E100" s="245" t="s">
        <v>664</v>
      </c>
      <c r="F100" s="246">
        <v>45</v>
      </c>
      <c r="G100" s="246">
        <v>7.04</v>
      </c>
      <c r="H100" s="246">
        <v>150</v>
      </c>
      <c r="I100" s="246">
        <v>1056</v>
      </c>
      <c r="J100" s="245" t="s">
        <v>666</v>
      </c>
      <c r="K100" s="247">
        <v>126.72</v>
      </c>
    </row>
    <row r="101" spans="2:11" ht="18" customHeight="1">
      <c r="B101" s="244">
        <v>43296</v>
      </c>
      <c r="C101" s="245" t="s">
        <v>880</v>
      </c>
      <c r="D101" s="245" t="s">
        <v>669</v>
      </c>
      <c r="E101" s="245" t="s">
        <v>664</v>
      </c>
      <c r="F101" s="246">
        <v>30</v>
      </c>
      <c r="G101" s="246">
        <v>7.04</v>
      </c>
      <c r="H101" s="246">
        <v>500</v>
      </c>
      <c r="I101" s="246">
        <v>3520</v>
      </c>
      <c r="J101" s="245" t="s">
        <v>666</v>
      </c>
      <c r="K101" s="247">
        <v>422.4</v>
      </c>
    </row>
    <row r="102" spans="2:11" ht="18" customHeight="1">
      <c r="B102" s="244">
        <v>43296</v>
      </c>
      <c r="C102" s="245" t="s">
        <v>881</v>
      </c>
      <c r="D102" s="245" t="s">
        <v>523</v>
      </c>
      <c r="E102" s="245" t="s">
        <v>670</v>
      </c>
      <c r="F102" s="246">
        <v>45</v>
      </c>
      <c r="G102" s="246">
        <v>9.6</v>
      </c>
      <c r="H102" s="246">
        <v>550</v>
      </c>
      <c r="I102" s="246">
        <v>5280</v>
      </c>
      <c r="J102" s="245" t="s">
        <v>671</v>
      </c>
      <c r="K102" s="247">
        <v>633.6</v>
      </c>
    </row>
    <row r="103" spans="2:11" ht="18" customHeight="1">
      <c r="B103" s="244">
        <v>43339</v>
      </c>
      <c r="C103" s="245" t="s">
        <v>880</v>
      </c>
      <c r="D103" s="245" t="s">
        <v>517</v>
      </c>
      <c r="E103" s="245" t="s">
        <v>661</v>
      </c>
      <c r="F103" s="246">
        <v>30</v>
      </c>
      <c r="G103" s="246">
        <v>2.6</v>
      </c>
      <c r="H103" s="246">
        <v>600</v>
      </c>
      <c r="I103" s="246">
        <v>1560</v>
      </c>
      <c r="J103" s="245" t="s">
        <v>539</v>
      </c>
      <c r="K103" s="247">
        <v>187.2</v>
      </c>
    </row>
    <row r="104" spans="2:11" ht="18" customHeight="1">
      <c r="B104" s="244">
        <v>43235</v>
      </c>
      <c r="C104" s="245" t="s">
        <v>882</v>
      </c>
      <c r="D104" s="245" t="s">
        <v>669</v>
      </c>
      <c r="E104" s="245" t="s">
        <v>672</v>
      </c>
      <c r="F104" s="246">
        <v>45</v>
      </c>
      <c r="G104" s="246">
        <v>4.0199999999999996</v>
      </c>
      <c r="H104" s="246">
        <v>100</v>
      </c>
      <c r="I104" s="246">
        <v>402</v>
      </c>
      <c r="J104" s="245" t="s">
        <v>539</v>
      </c>
      <c r="K104" s="247">
        <v>48.24</v>
      </c>
    </row>
    <row r="105" spans="2:11" ht="18" customHeight="1">
      <c r="B105" s="244">
        <v>43327</v>
      </c>
      <c r="C105" s="245" t="s">
        <v>880</v>
      </c>
      <c r="D105" s="245" t="s">
        <v>517</v>
      </c>
      <c r="E105" s="245" t="s">
        <v>661</v>
      </c>
      <c r="F105" s="246">
        <v>45</v>
      </c>
      <c r="G105" s="246">
        <v>2.6</v>
      </c>
      <c r="H105" s="246">
        <v>300</v>
      </c>
      <c r="I105" s="246">
        <v>780</v>
      </c>
      <c r="J105" s="245" t="s">
        <v>430</v>
      </c>
      <c r="K105" s="247">
        <v>93.6</v>
      </c>
    </row>
    <row r="106" spans="2:11" ht="18" customHeight="1">
      <c r="B106" s="244">
        <v>43296</v>
      </c>
      <c r="C106" s="245" t="s">
        <v>881</v>
      </c>
      <c r="D106" s="245" t="s">
        <v>523</v>
      </c>
      <c r="E106" s="245" t="s">
        <v>675</v>
      </c>
      <c r="F106" s="246">
        <v>60</v>
      </c>
      <c r="G106" s="246">
        <v>4.0199999999999996</v>
      </c>
      <c r="H106" s="246">
        <v>300</v>
      </c>
      <c r="I106" s="246">
        <v>1206</v>
      </c>
      <c r="J106" s="245" t="s">
        <v>430</v>
      </c>
      <c r="K106" s="247">
        <v>144.72</v>
      </c>
    </row>
    <row r="107" spans="2:11" ht="18" customHeight="1">
      <c r="B107" s="244">
        <v>43296</v>
      </c>
      <c r="C107" s="245" t="s">
        <v>880</v>
      </c>
      <c r="D107" s="245" t="s">
        <v>19</v>
      </c>
      <c r="E107" s="245" t="s">
        <v>664</v>
      </c>
      <c r="F107" s="246">
        <v>45</v>
      </c>
      <c r="G107" s="246">
        <v>7.04</v>
      </c>
      <c r="H107" s="246">
        <v>500</v>
      </c>
      <c r="I107" s="246">
        <v>3520</v>
      </c>
      <c r="J107" s="245" t="s">
        <v>539</v>
      </c>
      <c r="K107" s="247">
        <v>422.4</v>
      </c>
    </row>
    <row r="108" spans="2:11" ht="18" customHeight="1">
      <c r="B108" s="244">
        <v>43296</v>
      </c>
      <c r="C108" s="245" t="s">
        <v>882</v>
      </c>
      <c r="D108" s="245" t="s">
        <v>517</v>
      </c>
      <c r="E108" s="245" t="s">
        <v>672</v>
      </c>
      <c r="F108" s="246">
        <v>45</v>
      </c>
      <c r="G108" s="246">
        <v>4.0199999999999996</v>
      </c>
      <c r="H108" s="246">
        <v>200</v>
      </c>
      <c r="I108" s="246">
        <v>804</v>
      </c>
      <c r="J108" s="245" t="s">
        <v>539</v>
      </c>
      <c r="K108" s="247">
        <v>96.48</v>
      </c>
    </row>
    <row r="109" spans="2:11" ht="18" customHeight="1">
      <c r="B109" s="244">
        <v>43296</v>
      </c>
      <c r="C109" s="245" t="s">
        <v>880</v>
      </c>
      <c r="D109" s="245" t="s">
        <v>523</v>
      </c>
      <c r="E109" s="245" t="s">
        <v>673</v>
      </c>
      <c r="F109" s="246">
        <v>60</v>
      </c>
      <c r="G109" s="246">
        <v>5.56</v>
      </c>
      <c r="H109" s="246">
        <v>100</v>
      </c>
      <c r="I109" s="246">
        <v>556</v>
      </c>
      <c r="J109" s="245" t="s">
        <v>430</v>
      </c>
      <c r="K109" s="247">
        <v>66.72</v>
      </c>
    </row>
    <row r="110" spans="2:11" ht="18" customHeight="1">
      <c r="B110" s="244">
        <v>43276</v>
      </c>
      <c r="C110" s="245" t="s">
        <v>881</v>
      </c>
      <c r="D110" s="245" t="s">
        <v>517</v>
      </c>
      <c r="E110" s="245" t="s">
        <v>668</v>
      </c>
      <c r="F110" s="246">
        <v>45</v>
      </c>
      <c r="G110" s="246">
        <v>4.0199999999999996</v>
      </c>
      <c r="H110" s="246">
        <v>50</v>
      </c>
      <c r="I110" s="246">
        <v>201</v>
      </c>
      <c r="J110" s="245" t="s">
        <v>539</v>
      </c>
      <c r="K110" s="247">
        <v>24.12</v>
      </c>
    </row>
    <row r="111" spans="2:11" ht="18" customHeight="1">
      <c r="B111" s="244">
        <v>43276</v>
      </c>
      <c r="C111" s="245" t="s">
        <v>880</v>
      </c>
      <c r="D111" s="245" t="s">
        <v>19</v>
      </c>
      <c r="E111" s="245" t="s">
        <v>668</v>
      </c>
      <c r="F111" s="246">
        <v>45</v>
      </c>
      <c r="G111" s="246">
        <v>5.56</v>
      </c>
      <c r="H111" s="246">
        <v>200</v>
      </c>
      <c r="I111" s="246">
        <v>1112</v>
      </c>
      <c r="J111" s="245" t="s">
        <v>539</v>
      </c>
      <c r="K111" s="247">
        <v>133.44</v>
      </c>
    </row>
    <row r="112" spans="2:11" ht="18" customHeight="1">
      <c r="B112" s="244">
        <v>43247</v>
      </c>
      <c r="C112" s="245" t="s">
        <v>882</v>
      </c>
      <c r="D112" s="245" t="s">
        <v>517</v>
      </c>
      <c r="E112" s="245" t="s">
        <v>674</v>
      </c>
      <c r="F112" s="246">
        <v>45</v>
      </c>
      <c r="G112" s="246">
        <v>2.77</v>
      </c>
      <c r="H112" s="246">
        <v>40</v>
      </c>
      <c r="I112" s="246">
        <v>110.8</v>
      </c>
      <c r="J112" s="245" t="s">
        <v>539</v>
      </c>
      <c r="K112" s="247">
        <v>13.295999999999999</v>
      </c>
    </row>
    <row r="113" spans="2:11" ht="18" customHeight="1">
      <c r="B113" s="244">
        <v>43296</v>
      </c>
      <c r="C113" s="245" t="s">
        <v>882</v>
      </c>
      <c r="D113" s="245" t="s">
        <v>669</v>
      </c>
      <c r="E113" s="245" t="s">
        <v>668</v>
      </c>
      <c r="F113" s="246">
        <v>30</v>
      </c>
      <c r="G113" s="246">
        <v>4.0199999999999996</v>
      </c>
      <c r="H113" s="246">
        <v>100</v>
      </c>
      <c r="I113" s="246">
        <v>402</v>
      </c>
      <c r="J113" s="245" t="s">
        <v>539</v>
      </c>
      <c r="K113" s="247">
        <v>48.24</v>
      </c>
    </row>
    <row r="114" spans="2:11" ht="18" customHeight="1">
      <c r="B114" s="244">
        <v>43327</v>
      </c>
      <c r="C114" s="245" t="s">
        <v>880</v>
      </c>
      <c r="D114" s="245" t="s">
        <v>517</v>
      </c>
      <c r="E114" s="245" t="s">
        <v>661</v>
      </c>
      <c r="F114" s="246">
        <v>45</v>
      </c>
      <c r="G114" s="246">
        <v>2.6</v>
      </c>
      <c r="H114" s="246">
        <v>300</v>
      </c>
      <c r="I114" s="246">
        <v>780</v>
      </c>
      <c r="J114" s="245" t="s">
        <v>430</v>
      </c>
      <c r="K114" s="247">
        <v>93.6</v>
      </c>
    </row>
    <row r="115" spans="2:11" ht="18" customHeight="1">
      <c r="B115" s="244">
        <v>43296</v>
      </c>
      <c r="C115" s="245" t="s">
        <v>881</v>
      </c>
      <c r="D115" s="245" t="s">
        <v>523</v>
      </c>
      <c r="E115" s="245" t="s">
        <v>668</v>
      </c>
      <c r="F115" s="246">
        <v>45</v>
      </c>
      <c r="G115" s="246">
        <v>4.0199999999999996</v>
      </c>
      <c r="H115" s="246">
        <v>300</v>
      </c>
      <c r="I115" s="246">
        <v>1206</v>
      </c>
      <c r="J115" s="245" t="s">
        <v>430</v>
      </c>
      <c r="K115" s="247">
        <v>144.72</v>
      </c>
    </row>
    <row r="116" spans="2:11" ht="18" customHeight="1">
      <c r="B116" s="244">
        <v>43235</v>
      </c>
      <c r="C116" s="245" t="s">
        <v>880</v>
      </c>
      <c r="D116" s="245" t="s">
        <v>19</v>
      </c>
      <c r="E116" s="245" t="s">
        <v>664</v>
      </c>
      <c r="F116" s="246">
        <v>60</v>
      </c>
      <c r="G116" s="246">
        <v>7.04</v>
      </c>
      <c r="H116" s="246">
        <v>500</v>
      </c>
      <c r="I116" s="246">
        <v>3520</v>
      </c>
      <c r="J116" s="245" t="s">
        <v>539</v>
      </c>
      <c r="K116" s="247">
        <v>422.4</v>
      </c>
    </row>
    <row r="117" spans="2:11" ht="18" customHeight="1">
      <c r="B117" s="244">
        <v>43235</v>
      </c>
      <c r="C117" s="245" t="s">
        <v>882</v>
      </c>
      <c r="D117" s="245" t="s">
        <v>517</v>
      </c>
      <c r="E117" s="245" t="s">
        <v>672</v>
      </c>
      <c r="F117" s="246">
        <v>45</v>
      </c>
      <c r="G117" s="246">
        <v>4.0199999999999996</v>
      </c>
      <c r="H117" s="246">
        <v>200</v>
      </c>
      <c r="I117" s="246">
        <v>804</v>
      </c>
      <c r="J117" s="245" t="s">
        <v>539</v>
      </c>
      <c r="K117" s="247">
        <v>96.48</v>
      </c>
    </row>
    <row r="118" spans="2:11" ht="18" customHeight="1">
      <c r="B118" s="244">
        <v>43339</v>
      </c>
      <c r="C118" s="245" t="s">
        <v>880</v>
      </c>
      <c r="D118" s="245" t="s">
        <v>517</v>
      </c>
      <c r="E118" s="245" t="s">
        <v>661</v>
      </c>
      <c r="F118" s="246">
        <v>60</v>
      </c>
      <c r="G118" s="246">
        <v>2.6</v>
      </c>
      <c r="H118" s="246">
        <v>600</v>
      </c>
      <c r="I118" s="246">
        <v>1560</v>
      </c>
      <c r="J118" s="245" t="s">
        <v>539</v>
      </c>
      <c r="K118" s="247">
        <v>187.2</v>
      </c>
    </row>
    <row r="119" spans="2:11" ht="18" customHeight="1">
      <c r="B119" s="244">
        <v>43235</v>
      </c>
      <c r="C119" s="245" t="s">
        <v>882</v>
      </c>
      <c r="D119" s="245" t="s">
        <v>669</v>
      </c>
      <c r="E119" s="245" t="s">
        <v>672</v>
      </c>
      <c r="F119" s="246">
        <v>45</v>
      </c>
      <c r="G119" s="246">
        <v>4.0199999999999996</v>
      </c>
      <c r="H119" s="246">
        <v>100</v>
      </c>
      <c r="I119" s="246">
        <v>402</v>
      </c>
      <c r="J119" s="245" t="s">
        <v>539</v>
      </c>
      <c r="K119" s="247">
        <v>48.24</v>
      </c>
    </row>
    <row r="120" spans="2:11" ht="18" customHeight="1" thickBot="1">
      <c r="B120" s="248">
        <v>43327</v>
      </c>
      <c r="C120" s="249" t="s">
        <v>880</v>
      </c>
      <c r="D120" s="249" t="s">
        <v>517</v>
      </c>
      <c r="E120" s="249" t="s">
        <v>661</v>
      </c>
      <c r="F120" s="250">
        <v>45</v>
      </c>
      <c r="G120" s="250">
        <v>2.6</v>
      </c>
      <c r="H120" s="250">
        <v>300</v>
      </c>
      <c r="I120" s="250">
        <v>780</v>
      </c>
      <c r="J120" s="249" t="s">
        <v>430</v>
      </c>
      <c r="K120" s="251">
        <v>93.6</v>
      </c>
    </row>
    <row r="122" spans="2:11" s="252" customFormat="1" ht="18" customHeight="1" thickBot="1"/>
    <row r="123" spans="2:11" ht="18" customHeight="1">
      <c r="B123" s="236" t="s">
        <v>677</v>
      </c>
      <c r="C123" s="253"/>
      <c r="D123" s="253"/>
      <c r="E123" s="253"/>
      <c r="F123" s="253"/>
      <c r="G123" s="253"/>
      <c r="H123" s="253"/>
      <c r="I123" s="253"/>
      <c r="J123" s="253"/>
      <c r="K123" s="254"/>
    </row>
    <row r="124" spans="2:11" ht="18" customHeight="1" thickBot="1">
      <c r="B124" s="255" t="s">
        <v>565</v>
      </c>
      <c r="C124" s="256" t="s">
        <v>678</v>
      </c>
      <c r="D124" s="256" t="s">
        <v>676</v>
      </c>
      <c r="E124" s="256" t="s">
        <v>546</v>
      </c>
      <c r="F124" s="256" t="s">
        <v>679</v>
      </c>
      <c r="G124" s="256" t="s">
        <v>680</v>
      </c>
      <c r="H124" s="256" t="s">
        <v>681</v>
      </c>
      <c r="I124" s="256" t="s">
        <v>682</v>
      </c>
      <c r="J124" s="256" t="s">
        <v>683</v>
      </c>
      <c r="K124" s="257" t="s">
        <v>684</v>
      </c>
    </row>
    <row r="126" spans="2:11" s="258" customFormat="1" ht="18" customHeight="1"/>
    <row r="127" spans="2:11" ht="18" customHeight="1">
      <c r="B127" s="845" t="s">
        <v>685</v>
      </c>
      <c r="C127" s="845"/>
      <c r="D127" s="845"/>
      <c r="E127" s="845"/>
      <c r="F127" s="845"/>
      <c r="G127" s="845"/>
    </row>
    <row r="128" spans="2:11" ht="18" customHeight="1">
      <c r="B128" s="845"/>
      <c r="C128" s="845"/>
      <c r="D128" s="845"/>
      <c r="E128" s="845"/>
      <c r="F128" s="845"/>
      <c r="G128" s="845"/>
    </row>
    <row r="129" spans="2:5" ht="18" customHeight="1" thickBot="1"/>
    <row r="130" spans="2:5" ht="18" customHeight="1">
      <c r="B130" s="236" t="s">
        <v>598</v>
      </c>
      <c r="C130" s="237" t="s">
        <v>0</v>
      </c>
      <c r="D130" s="238" t="s">
        <v>112</v>
      </c>
      <c r="E130" s="259" t="s">
        <v>330</v>
      </c>
    </row>
    <row r="131" spans="2:5" ht="18" customHeight="1">
      <c r="B131" s="240">
        <f ca="1">INT(TODAY() - (100 * RAND()))</f>
        <v>46037</v>
      </c>
      <c r="C131" s="241" t="str">
        <f ca="1">CHOOSE(1 + FLOOR(COLUMNS($B$124:$F$124) * RAND(), 1), $B$124, $C$124, $D$124, $E$124, $F$124)</f>
        <v>Alice</v>
      </c>
      <c r="D131" s="260">
        <f ca="1">INT(200 + (80 * RAND()))</f>
        <v>275</v>
      </c>
      <c r="E131" s="261">
        <f ca="1" xml:space="preserve"> ROUND(40000 + (10000 * RAND()), 2)</f>
        <v>41364.61</v>
      </c>
    </row>
    <row r="132" spans="2:5" ht="18" customHeight="1">
      <c r="B132" s="244">
        <f ca="1">B131 + 1</f>
        <v>46038</v>
      </c>
      <c r="C132" s="245" t="str">
        <f t="shared" ref="C132:C145" ca="1" si="0">CHOOSE(1 + FLOOR(COLUMNS($B$124:$F$124) * RAND(), 1), $B$124, $C$124, $D$124, $E$124, $F$124)</f>
        <v>Ana</v>
      </c>
      <c r="D132" s="262">
        <f t="shared" ref="D132:D145" ca="1" si="1">INT(200 + (80 * RAND()))</f>
        <v>234</v>
      </c>
      <c r="E132" s="263">
        <f t="shared" ref="E132:E145" ca="1" si="2" xml:space="preserve"> ROUND(40000 + (10000 * RAND()), 2)</f>
        <v>44495.93</v>
      </c>
    </row>
    <row r="133" spans="2:5" ht="18" customHeight="1">
      <c r="B133" s="244">
        <f t="shared" ref="B133:B145" ca="1" si="3">B132 + 1</f>
        <v>46039</v>
      </c>
      <c r="C133" s="245" t="str">
        <f t="shared" ca="1" si="0"/>
        <v>Alice</v>
      </c>
      <c r="D133" s="262">
        <f t="shared" ca="1" si="1"/>
        <v>211</v>
      </c>
      <c r="E133" s="263">
        <f t="shared" ca="1" si="2"/>
        <v>43568.98</v>
      </c>
    </row>
    <row r="134" spans="2:5" ht="18" customHeight="1">
      <c r="B134" s="244">
        <f t="shared" ca="1" si="3"/>
        <v>46040</v>
      </c>
      <c r="C134" s="245" t="str">
        <f t="shared" ca="1" si="0"/>
        <v>Ana</v>
      </c>
      <c r="D134" s="262">
        <f t="shared" ca="1" si="1"/>
        <v>254</v>
      </c>
      <c r="E134" s="263">
        <f t="shared" ca="1" si="2"/>
        <v>47028.9</v>
      </c>
    </row>
    <row r="135" spans="2:5" ht="18" customHeight="1">
      <c r="B135" s="244">
        <f t="shared" ca="1" si="3"/>
        <v>46041</v>
      </c>
      <c r="C135" s="245" t="str">
        <f t="shared" ca="1" si="0"/>
        <v>Carlos</v>
      </c>
      <c r="D135" s="262">
        <f t="shared" ca="1" si="1"/>
        <v>255</v>
      </c>
      <c r="E135" s="263">
        <f t="shared" ca="1" si="2"/>
        <v>45856.32</v>
      </c>
    </row>
    <row r="136" spans="2:5" ht="18" customHeight="1">
      <c r="B136" s="244">
        <f t="shared" ca="1" si="3"/>
        <v>46042</v>
      </c>
      <c r="C136" s="245" t="str">
        <f t="shared" ca="1" si="0"/>
        <v>Carlos</v>
      </c>
      <c r="D136" s="262">
        <f t="shared" ca="1" si="1"/>
        <v>239</v>
      </c>
      <c r="E136" s="263">
        <f t="shared" ca="1" si="2"/>
        <v>42643.21</v>
      </c>
    </row>
    <row r="137" spans="2:5" ht="18" customHeight="1">
      <c r="B137" s="244">
        <f t="shared" ca="1" si="3"/>
        <v>46043</v>
      </c>
      <c r="C137" s="245" t="str">
        <f t="shared" ca="1" si="0"/>
        <v>Carlos</v>
      </c>
      <c r="D137" s="262">
        <f t="shared" ca="1" si="1"/>
        <v>246</v>
      </c>
      <c r="E137" s="263">
        <f t="shared" ca="1" si="2"/>
        <v>48924</v>
      </c>
    </row>
    <row r="138" spans="2:5" ht="18" customHeight="1">
      <c r="B138" s="244">
        <f t="shared" ca="1" si="3"/>
        <v>46044</v>
      </c>
      <c r="C138" s="245" t="str">
        <f t="shared" ca="1" si="0"/>
        <v>Alice</v>
      </c>
      <c r="D138" s="262">
        <f t="shared" ca="1" si="1"/>
        <v>229</v>
      </c>
      <c r="E138" s="263">
        <f t="shared" ca="1" si="2"/>
        <v>43727.8</v>
      </c>
    </row>
    <row r="139" spans="2:5" ht="18" customHeight="1">
      <c r="B139" s="244">
        <f t="shared" ca="1" si="3"/>
        <v>46045</v>
      </c>
      <c r="C139" s="245" t="str">
        <f t="shared" ca="1" si="0"/>
        <v>David</v>
      </c>
      <c r="D139" s="262">
        <f t="shared" ca="1" si="1"/>
        <v>255</v>
      </c>
      <c r="E139" s="263">
        <f t="shared" ca="1" si="2"/>
        <v>43336.82</v>
      </c>
    </row>
    <row r="140" spans="2:5" ht="18" customHeight="1">
      <c r="B140" s="244">
        <f t="shared" ca="1" si="3"/>
        <v>46046</v>
      </c>
      <c r="C140" s="245" t="str">
        <f t="shared" ca="1" si="0"/>
        <v>Carlos</v>
      </c>
      <c r="D140" s="262">
        <f t="shared" ca="1" si="1"/>
        <v>239</v>
      </c>
      <c r="E140" s="263">
        <f t="shared" ca="1" si="2"/>
        <v>40816.629999999997</v>
      </c>
    </row>
    <row r="141" spans="2:5" ht="18" customHeight="1">
      <c r="B141" s="244">
        <f t="shared" ca="1" si="3"/>
        <v>46047</v>
      </c>
      <c r="C141" s="245" t="str">
        <f t="shared" ca="1" si="0"/>
        <v>Alice</v>
      </c>
      <c r="D141" s="262">
        <f t="shared" ca="1" si="1"/>
        <v>260</v>
      </c>
      <c r="E141" s="263">
        <f t="shared" ca="1" si="2"/>
        <v>41863.96</v>
      </c>
    </row>
    <row r="142" spans="2:5" ht="18" customHeight="1">
      <c r="B142" s="244">
        <f t="shared" ca="1" si="3"/>
        <v>46048</v>
      </c>
      <c r="C142" s="245" t="str">
        <f t="shared" ca="1" si="0"/>
        <v>David</v>
      </c>
      <c r="D142" s="262">
        <f t="shared" ca="1" si="1"/>
        <v>211</v>
      </c>
      <c r="E142" s="263">
        <f t="shared" ca="1" si="2"/>
        <v>47830.68</v>
      </c>
    </row>
    <row r="143" spans="2:5" ht="18" customHeight="1">
      <c r="B143" s="244">
        <f t="shared" ca="1" si="3"/>
        <v>46049</v>
      </c>
      <c r="C143" s="245" t="str">
        <f t="shared" ca="1" si="0"/>
        <v>Alice</v>
      </c>
      <c r="D143" s="262">
        <f t="shared" ca="1" si="1"/>
        <v>221</v>
      </c>
      <c r="E143" s="263">
        <f t="shared" ca="1" si="2"/>
        <v>45719</v>
      </c>
    </row>
    <row r="144" spans="2:5" ht="18" customHeight="1">
      <c r="B144" s="244">
        <f t="shared" ca="1" si="3"/>
        <v>46050</v>
      </c>
      <c r="C144" s="245" t="str">
        <f t="shared" ca="1" si="0"/>
        <v>Ana</v>
      </c>
      <c r="D144" s="262">
        <f t="shared" ca="1" si="1"/>
        <v>240</v>
      </c>
      <c r="E144" s="263">
        <f t="shared" ca="1" si="2"/>
        <v>47854.89</v>
      </c>
    </row>
    <row r="145" spans="2:5" ht="18" customHeight="1" thickBot="1">
      <c r="B145" s="248">
        <f t="shared" ca="1" si="3"/>
        <v>46051</v>
      </c>
      <c r="C145" s="249" t="str">
        <f t="shared" ca="1" si="0"/>
        <v>Carolina</v>
      </c>
      <c r="D145" s="264">
        <f t="shared" ca="1" si="1"/>
        <v>276</v>
      </c>
      <c r="E145" s="265">
        <f t="shared" ca="1" si="2"/>
        <v>43870.3</v>
      </c>
    </row>
  </sheetData>
  <mergeCells count="1">
    <mergeCell ref="B127:G128"/>
  </mergeCells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70C0"/>
  </sheetPr>
  <dimension ref="A1:L147"/>
  <sheetViews>
    <sheetView zoomScaleNormal="100" workbookViewId="0">
      <selection activeCell="P9" sqref="P9"/>
    </sheetView>
  </sheetViews>
  <sheetFormatPr defaultRowHeight="18" customHeight="1"/>
  <cols>
    <col min="1" max="1" width="3.42578125" style="235" customWidth="1"/>
    <col min="2" max="11" width="12.140625" style="235" customWidth="1"/>
    <col min="12" max="12" width="3.42578125" style="235" customWidth="1"/>
    <col min="13" max="16384" width="9.140625" style="333"/>
  </cols>
  <sheetData>
    <row r="1" spans="1:12" s="332" customFormat="1" ht="30" customHeight="1">
      <c r="A1" s="331" t="s">
        <v>652</v>
      </c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</row>
    <row r="3" spans="1:12" ht="18" customHeight="1">
      <c r="B3" s="235" t="s">
        <v>653</v>
      </c>
    </row>
    <row r="4" spans="1:12" ht="18" customHeight="1" thickBot="1"/>
    <row r="5" spans="1:12" ht="18" customHeight="1">
      <c r="B5" s="236" t="s">
        <v>654</v>
      </c>
      <c r="C5" s="237" t="s">
        <v>445</v>
      </c>
      <c r="D5" s="237" t="s">
        <v>1</v>
      </c>
      <c r="E5" s="237" t="s">
        <v>111</v>
      </c>
      <c r="F5" s="238" t="s">
        <v>655</v>
      </c>
      <c r="G5" s="238" t="s">
        <v>656</v>
      </c>
      <c r="H5" s="238" t="s">
        <v>657</v>
      </c>
      <c r="I5" s="238" t="s">
        <v>658</v>
      </c>
      <c r="J5" s="237" t="s">
        <v>99</v>
      </c>
      <c r="K5" s="239" t="s">
        <v>659</v>
      </c>
    </row>
    <row r="6" spans="1:12" ht="18" customHeight="1">
      <c r="B6" s="240">
        <v>43291</v>
      </c>
      <c r="C6" s="241" t="s">
        <v>660</v>
      </c>
      <c r="D6" s="241" t="s">
        <v>19</v>
      </c>
      <c r="E6" s="241" t="s">
        <v>661</v>
      </c>
      <c r="F6" s="242">
        <v>60</v>
      </c>
      <c r="G6" s="242">
        <v>2.66</v>
      </c>
      <c r="H6" s="242">
        <v>1000</v>
      </c>
      <c r="I6" s="242">
        <v>2660</v>
      </c>
      <c r="J6" s="241" t="s">
        <v>662</v>
      </c>
      <c r="K6" s="243">
        <v>319.2</v>
      </c>
    </row>
    <row r="7" spans="1:12" ht="18" customHeight="1">
      <c r="B7" s="244">
        <v>43291</v>
      </c>
      <c r="C7" s="245" t="s">
        <v>663</v>
      </c>
      <c r="D7" s="245" t="s">
        <v>517</v>
      </c>
      <c r="E7" s="245" t="s">
        <v>664</v>
      </c>
      <c r="F7" s="246">
        <v>45</v>
      </c>
      <c r="G7" s="246">
        <v>7.04</v>
      </c>
      <c r="H7" s="246">
        <v>800</v>
      </c>
      <c r="I7" s="246">
        <v>5632</v>
      </c>
      <c r="J7" s="245" t="s">
        <v>430</v>
      </c>
      <c r="K7" s="247">
        <v>675.84</v>
      </c>
    </row>
    <row r="8" spans="1:12" ht="18" customHeight="1">
      <c r="B8" s="244">
        <v>43291</v>
      </c>
      <c r="C8" s="245" t="s">
        <v>665</v>
      </c>
      <c r="D8" s="245" t="s">
        <v>523</v>
      </c>
      <c r="E8" s="245" t="s">
        <v>664</v>
      </c>
      <c r="F8" s="246">
        <v>45</v>
      </c>
      <c r="G8" s="246">
        <v>7.04</v>
      </c>
      <c r="H8" s="246">
        <v>300</v>
      </c>
      <c r="I8" s="246">
        <v>2112</v>
      </c>
      <c r="J8" s="245" t="s">
        <v>666</v>
      </c>
      <c r="K8" s="247">
        <v>253.44</v>
      </c>
    </row>
    <row r="9" spans="1:12" ht="18" customHeight="1">
      <c r="B9" s="244">
        <v>43292</v>
      </c>
      <c r="C9" s="245" t="s">
        <v>667</v>
      </c>
      <c r="D9" s="245" t="s">
        <v>523</v>
      </c>
      <c r="E9" s="245" t="s">
        <v>668</v>
      </c>
      <c r="F9" s="246">
        <v>60</v>
      </c>
      <c r="G9" s="246">
        <v>7.04</v>
      </c>
      <c r="H9" s="246">
        <v>200</v>
      </c>
      <c r="I9" s="246">
        <v>1408</v>
      </c>
      <c r="J9" s="245" t="s">
        <v>430</v>
      </c>
      <c r="K9" s="247">
        <v>168.96</v>
      </c>
    </row>
    <row r="10" spans="1:12" ht="18" customHeight="1">
      <c r="B10" s="244">
        <v>43293</v>
      </c>
      <c r="C10" s="245" t="s">
        <v>665</v>
      </c>
      <c r="D10" s="245" t="s">
        <v>517</v>
      </c>
      <c r="E10" s="245" t="s">
        <v>668</v>
      </c>
      <c r="F10" s="246">
        <v>45</v>
      </c>
      <c r="G10" s="246">
        <v>7.04</v>
      </c>
      <c r="H10" s="246">
        <v>1000</v>
      </c>
      <c r="I10" s="246">
        <v>7040</v>
      </c>
      <c r="J10" s="245" t="s">
        <v>666</v>
      </c>
      <c r="K10" s="247">
        <v>844.8</v>
      </c>
    </row>
    <row r="11" spans="1:12" ht="18" customHeight="1">
      <c r="B11" s="244">
        <v>43296</v>
      </c>
      <c r="C11" s="245" t="s">
        <v>663</v>
      </c>
      <c r="D11" s="245" t="s">
        <v>19</v>
      </c>
      <c r="E11" s="245" t="s">
        <v>668</v>
      </c>
      <c r="F11" s="246">
        <v>30</v>
      </c>
      <c r="G11" s="246">
        <v>7.04</v>
      </c>
      <c r="H11" s="246">
        <v>150</v>
      </c>
      <c r="I11" s="246">
        <v>1056</v>
      </c>
      <c r="J11" s="245" t="s">
        <v>666</v>
      </c>
      <c r="K11" s="247">
        <v>126.72</v>
      </c>
    </row>
    <row r="12" spans="1:12" ht="18" customHeight="1">
      <c r="B12" s="244">
        <v>43296</v>
      </c>
      <c r="C12" s="245" t="s">
        <v>665</v>
      </c>
      <c r="D12" s="245" t="s">
        <v>669</v>
      </c>
      <c r="E12" s="245" t="s">
        <v>664</v>
      </c>
      <c r="F12" s="246">
        <v>45</v>
      </c>
      <c r="G12" s="246">
        <v>7.04</v>
      </c>
      <c r="H12" s="246">
        <v>500</v>
      </c>
      <c r="I12" s="246">
        <v>3520</v>
      </c>
      <c r="J12" s="245" t="s">
        <v>666</v>
      </c>
      <c r="K12" s="247">
        <v>422.4</v>
      </c>
    </row>
    <row r="13" spans="1:12" ht="18" customHeight="1">
      <c r="B13" s="244">
        <v>43296</v>
      </c>
      <c r="C13" s="245" t="s">
        <v>667</v>
      </c>
      <c r="D13" s="245" t="s">
        <v>523</v>
      </c>
      <c r="E13" s="245" t="s">
        <v>670</v>
      </c>
      <c r="F13" s="246">
        <v>45</v>
      </c>
      <c r="G13" s="246">
        <v>9.6</v>
      </c>
      <c r="H13" s="246">
        <v>550</v>
      </c>
      <c r="I13" s="246">
        <v>5280</v>
      </c>
      <c r="J13" s="245" t="s">
        <v>671</v>
      </c>
      <c r="K13" s="247">
        <v>633.6</v>
      </c>
    </row>
    <row r="14" spans="1:12" ht="18" customHeight="1">
      <c r="B14" s="244">
        <v>43339</v>
      </c>
      <c r="C14" s="245" t="s">
        <v>665</v>
      </c>
      <c r="D14" s="245" t="s">
        <v>517</v>
      </c>
      <c r="E14" s="245" t="s">
        <v>661</v>
      </c>
      <c r="F14" s="246">
        <v>30</v>
      </c>
      <c r="G14" s="246">
        <v>2.6</v>
      </c>
      <c r="H14" s="246">
        <v>600</v>
      </c>
      <c r="I14" s="246">
        <v>1560</v>
      </c>
      <c r="J14" s="245" t="s">
        <v>662</v>
      </c>
      <c r="K14" s="247">
        <v>187.2</v>
      </c>
    </row>
    <row r="15" spans="1:12" ht="18" customHeight="1">
      <c r="B15" s="244">
        <v>43296</v>
      </c>
      <c r="C15" s="245" t="s">
        <v>663</v>
      </c>
      <c r="D15" s="245" t="s">
        <v>669</v>
      </c>
      <c r="E15" s="245" t="s">
        <v>668</v>
      </c>
      <c r="F15" s="246">
        <v>45</v>
      </c>
      <c r="G15" s="246">
        <v>4.0199999999999996</v>
      </c>
      <c r="H15" s="246">
        <v>100</v>
      </c>
      <c r="I15" s="246">
        <v>402</v>
      </c>
      <c r="J15" s="245" t="s">
        <v>662</v>
      </c>
      <c r="K15" s="247">
        <v>48.24</v>
      </c>
    </row>
    <row r="16" spans="1:12" ht="18" customHeight="1">
      <c r="B16" s="244">
        <v>43327</v>
      </c>
      <c r="C16" s="245" t="s">
        <v>665</v>
      </c>
      <c r="D16" s="245" t="s">
        <v>517</v>
      </c>
      <c r="E16" s="245" t="s">
        <v>661</v>
      </c>
      <c r="F16" s="246">
        <v>30</v>
      </c>
      <c r="G16" s="246">
        <v>2.6</v>
      </c>
      <c r="H16" s="246">
        <v>300</v>
      </c>
      <c r="I16" s="246">
        <v>780</v>
      </c>
      <c r="J16" s="245" t="s">
        <v>430</v>
      </c>
      <c r="K16" s="247">
        <v>93.6</v>
      </c>
    </row>
    <row r="17" spans="2:11" ht="18" customHeight="1">
      <c r="B17" s="244">
        <v>43296</v>
      </c>
      <c r="C17" s="245" t="s">
        <v>667</v>
      </c>
      <c r="D17" s="245" t="s">
        <v>523</v>
      </c>
      <c r="E17" s="245" t="s">
        <v>668</v>
      </c>
      <c r="F17" s="246">
        <v>30</v>
      </c>
      <c r="G17" s="246">
        <v>4.0199999999999996</v>
      </c>
      <c r="H17" s="246">
        <v>300</v>
      </c>
      <c r="I17" s="246">
        <v>1206</v>
      </c>
      <c r="J17" s="245" t="s">
        <v>430</v>
      </c>
      <c r="K17" s="247">
        <v>144.72</v>
      </c>
    </row>
    <row r="18" spans="2:11" ht="18" customHeight="1">
      <c r="B18" s="244">
        <v>43235</v>
      </c>
      <c r="C18" s="245" t="s">
        <v>665</v>
      </c>
      <c r="D18" s="245" t="s">
        <v>19</v>
      </c>
      <c r="E18" s="245" t="s">
        <v>664</v>
      </c>
      <c r="F18" s="246">
        <v>45</v>
      </c>
      <c r="G18" s="246">
        <v>7.04</v>
      </c>
      <c r="H18" s="246">
        <v>500</v>
      </c>
      <c r="I18" s="246">
        <v>3520</v>
      </c>
      <c r="J18" s="245" t="s">
        <v>662</v>
      </c>
      <c r="K18" s="247">
        <v>422.4</v>
      </c>
    </row>
    <row r="19" spans="2:11" ht="18" customHeight="1">
      <c r="B19" s="244">
        <v>43235</v>
      </c>
      <c r="C19" s="245" t="s">
        <v>663</v>
      </c>
      <c r="D19" s="245" t="s">
        <v>517</v>
      </c>
      <c r="E19" s="245" t="s">
        <v>672</v>
      </c>
      <c r="F19" s="246">
        <v>45</v>
      </c>
      <c r="G19" s="246">
        <v>4.0199999999999996</v>
      </c>
      <c r="H19" s="246">
        <v>200</v>
      </c>
      <c r="I19" s="246">
        <v>804</v>
      </c>
      <c r="J19" s="245" t="s">
        <v>662</v>
      </c>
      <c r="K19" s="247">
        <v>96.48</v>
      </c>
    </row>
    <row r="20" spans="2:11" ht="18" customHeight="1">
      <c r="B20" s="244">
        <v>43296</v>
      </c>
      <c r="C20" s="245" t="s">
        <v>665</v>
      </c>
      <c r="D20" s="245" t="s">
        <v>523</v>
      </c>
      <c r="E20" s="245" t="s">
        <v>673</v>
      </c>
      <c r="F20" s="246">
        <v>30</v>
      </c>
      <c r="G20" s="246">
        <v>5.56</v>
      </c>
      <c r="H20" s="246">
        <v>100</v>
      </c>
      <c r="I20" s="246">
        <v>556</v>
      </c>
      <c r="J20" s="245" t="s">
        <v>430</v>
      </c>
      <c r="K20" s="247">
        <v>66.72</v>
      </c>
    </row>
    <row r="21" spans="2:11" ht="18" customHeight="1">
      <c r="B21" s="244">
        <v>43276</v>
      </c>
      <c r="C21" s="245" t="s">
        <v>667</v>
      </c>
      <c r="D21" s="245" t="s">
        <v>517</v>
      </c>
      <c r="E21" s="245" t="s">
        <v>672</v>
      </c>
      <c r="F21" s="246">
        <v>45</v>
      </c>
      <c r="G21" s="246">
        <v>4.0199999999999996</v>
      </c>
      <c r="H21" s="246">
        <v>50</v>
      </c>
      <c r="I21" s="246">
        <v>201</v>
      </c>
      <c r="J21" s="245" t="s">
        <v>662</v>
      </c>
      <c r="K21" s="247">
        <v>24.12</v>
      </c>
    </row>
    <row r="22" spans="2:11" ht="18" customHeight="1">
      <c r="B22" s="244">
        <v>43276</v>
      </c>
      <c r="C22" s="245" t="s">
        <v>665</v>
      </c>
      <c r="D22" s="245" t="s">
        <v>19</v>
      </c>
      <c r="E22" s="245" t="s">
        <v>668</v>
      </c>
      <c r="F22" s="246">
        <v>45</v>
      </c>
      <c r="G22" s="246">
        <v>5.56</v>
      </c>
      <c r="H22" s="246">
        <v>200</v>
      </c>
      <c r="I22" s="246">
        <v>1112</v>
      </c>
      <c r="J22" s="245" t="s">
        <v>662</v>
      </c>
      <c r="K22" s="247">
        <v>133.44</v>
      </c>
    </row>
    <row r="23" spans="2:11" ht="18" customHeight="1">
      <c r="B23" s="244">
        <v>43339</v>
      </c>
      <c r="C23" s="245" t="s">
        <v>663</v>
      </c>
      <c r="D23" s="245" t="s">
        <v>517</v>
      </c>
      <c r="E23" s="245" t="s">
        <v>674</v>
      </c>
      <c r="F23" s="246">
        <v>45</v>
      </c>
      <c r="G23" s="246">
        <v>2.77</v>
      </c>
      <c r="H23" s="246">
        <v>40</v>
      </c>
      <c r="I23" s="246">
        <v>110.8</v>
      </c>
      <c r="J23" s="245" t="s">
        <v>662</v>
      </c>
      <c r="K23" s="247">
        <v>13.295999999999999</v>
      </c>
    </row>
    <row r="24" spans="2:11" ht="18" customHeight="1">
      <c r="B24" s="244">
        <v>43296</v>
      </c>
      <c r="C24" s="245" t="s">
        <v>665</v>
      </c>
      <c r="D24" s="245" t="s">
        <v>19</v>
      </c>
      <c r="E24" s="245" t="s">
        <v>670</v>
      </c>
      <c r="F24" s="246">
        <v>60</v>
      </c>
      <c r="G24" s="246">
        <v>9.6</v>
      </c>
      <c r="H24" s="246">
        <v>2000</v>
      </c>
      <c r="I24" s="246">
        <v>19200</v>
      </c>
      <c r="J24" s="245" t="s">
        <v>671</v>
      </c>
      <c r="K24" s="247">
        <v>2304</v>
      </c>
    </row>
    <row r="25" spans="2:11" ht="18" customHeight="1">
      <c r="B25" s="244">
        <v>43296</v>
      </c>
      <c r="C25" s="245" t="s">
        <v>667</v>
      </c>
      <c r="D25" s="245" t="s">
        <v>669</v>
      </c>
      <c r="E25" s="245" t="s">
        <v>672</v>
      </c>
      <c r="F25" s="246">
        <v>45</v>
      </c>
      <c r="G25" s="246">
        <v>4.0199999999999996</v>
      </c>
      <c r="H25" s="246">
        <v>220</v>
      </c>
      <c r="I25" s="246">
        <v>884.4</v>
      </c>
      <c r="J25" s="245" t="s">
        <v>662</v>
      </c>
      <c r="K25" s="247">
        <v>106.12799999999999</v>
      </c>
    </row>
    <row r="26" spans="2:11" ht="18" customHeight="1">
      <c r="B26" s="244">
        <v>43276</v>
      </c>
      <c r="C26" s="245" t="s">
        <v>665</v>
      </c>
      <c r="D26" s="245" t="s">
        <v>517</v>
      </c>
      <c r="E26" s="245" t="s">
        <v>674</v>
      </c>
      <c r="F26" s="246">
        <v>60</v>
      </c>
      <c r="G26" s="246">
        <v>2.77</v>
      </c>
      <c r="H26" s="246">
        <v>1100</v>
      </c>
      <c r="I26" s="246">
        <v>3047</v>
      </c>
      <c r="J26" s="245" t="s">
        <v>662</v>
      </c>
      <c r="K26" s="247">
        <v>365.64</v>
      </c>
    </row>
    <row r="27" spans="2:11" ht="18" customHeight="1">
      <c r="B27" s="244">
        <v>43327</v>
      </c>
      <c r="C27" s="245" t="s">
        <v>663</v>
      </c>
      <c r="D27" s="245" t="s">
        <v>517</v>
      </c>
      <c r="E27" s="245" t="s">
        <v>675</v>
      </c>
      <c r="F27" s="246">
        <v>45</v>
      </c>
      <c r="G27" s="246">
        <v>2.77</v>
      </c>
      <c r="H27" s="246">
        <v>880</v>
      </c>
      <c r="I27" s="246">
        <v>2437.6</v>
      </c>
      <c r="J27" s="245" t="s">
        <v>662</v>
      </c>
      <c r="K27" s="247">
        <v>292.512</v>
      </c>
    </row>
    <row r="28" spans="2:11" ht="18" customHeight="1">
      <c r="B28" s="244">
        <v>43276</v>
      </c>
      <c r="C28" s="245" t="s">
        <v>665</v>
      </c>
      <c r="D28" s="245" t="s">
        <v>19</v>
      </c>
      <c r="E28" s="245" t="s">
        <v>675</v>
      </c>
      <c r="F28" s="246">
        <v>60</v>
      </c>
      <c r="G28" s="246">
        <v>2.6</v>
      </c>
      <c r="H28" s="246">
        <v>500</v>
      </c>
      <c r="I28" s="246">
        <v>1300</v>
      </c>
      <c r="J28" s="245" t="s">
        <v>662</v>
      </c>
      <c r="K28" s="247">
        <v>156</v>
      </c>
    </row>
    <row r="29" spans="2:11" ht="18" customHeight="1">
      <c r="B29" s="244">
        <v>43276</v>
      </c>
      <c r="C29" s="245" t="s">
        <v>667</v>
      </c>
      <c r="D29" s="245" t="s">
        <v>517</v>
      </c>
      <c r="E29" s="245" t="s">
        <v>661</v>
      </c>
      <c r="F29" s="246">
        <v>30</v>
      </c>
      <c r="G29" s="246">
        <v>2.6</v>
      </c>
      <c r="H29" s="246">
        <v>600</v>
      </c>
      <c r="I29" s="246">
        <v>1560</v>
      </c>
      <c r="J29" s="245" t="s">
        <v>662</v>
      </c>
      <c r="K29" s="247">
        <v>187.2</v>
      </c>
    </row>
    <row r="30" spans="2:11" ht="18" customHeight="1">
      <c r="B30" s="244">
        <v>43245</v>
      </c>
      <c r="C30" s="245" t="s">
        <v>665</v>
      </c>
      <c r="D30" s="245" t="s">
        <v>19</v>
      </c>
      <c r="E30" s="245" t="s">
        <v>664</v>
      </c>
      <c r="F30" s="246">
        <v>45</v>
      </c>
      <c r="G30" s="246">
        <v>7.04</v>
      </c>
      <c r="H30" s="246">
        <v>400</v>
      </c>
      <c r="I30" s="246">
        <v>2816</v>
      </c>
      <c r="J30" s="245" t="s">
        <v>666</v>
      </c>
      <c r="K30" s="247">
        <v>337.92</v>
      </c>
    </row>
    <row r="31" spans="2:11" ht="18" customHeight="1">
      <c r="B31" s="244">
        <v>43327</v>
      </c>
      <c r="C31" s="245" t="s">
        <v>663</v>
      </c>
      <c r="D31" s="245" t="s">
        <v>517</v>
      </c>
      <c r="E31" s="245" t="s">
        <v>675</v>
      </c>
      <c r="F31" s="246">
        <v>45</v>
      </c>
      <c r="G31" s="246">
        <v>5.56</v>
      </c>
      <c r="H31" s="246">
        <v>450</v>
      </c>
      <c r="I31" s="246">
        <v>2502</v>
      </c>
      <c r="J31" s="245" t="s">
        <v>430</v>
      </c>
      <c r="K31" s="247">
        <v>300.24</v>
      </c>
    </row>
    <row r="32" spans="2:11" ht="18" customHeight="1">
      <c r="B32" s="244">
        <v>43276</v>
      </c>
      <c r="C32" s="245" t="s">
        <v>665</v>
      </c>
      <c r="D32" s="245" t="s">
        <v>523</v>
      </c>
      <c r="E32" s="245" t="s">
        <v>661</v>
      </c>
      <c r="F32" s="246">
        <v>45</v>
      </c>
      <c r="G32" s="246">
        <v>2.6</v>
      </c>
      <c r="H32" s="246">
        <v>600</v>
      </c>
      <c r="I32" s="246">
        <v>1560</v>
      </c>
      <c r="J32" s="245" t="s">
        <v>666</v>
      </c>
      <c r="K32" s="247">
        <v>187.2</v>
      </c>
    </row>
    <row r="33" spans="2:11" ht="18" customHeight="1">
      <c r="B33" s="244">
        <v>43276</v>
      </c>
      <c r="C33" s="245" t="s">
        <v>667</v>
      </c>
      <c r="D33" s="245" t="s">
        <v>517</v>
      </c>
      <c r="E33" s="245" t="s">
        <v>661</v>
      </c>
      <c r="F33" s="246">
        <v>60</v>
      </c>
      <c r="G33" s="246">
        <v>2.6</v>
      </c>
      <c r="H33" s="246">
        <v>750</v>
      </c>
      <c r="I33" s="246">
        <v>1950</v>
      </c>
      <c r="J33" s="245" t="s">
        <v>662</v>
      </c>
      <c r="K33" s="247">
        <v>234</v>
      </c>
    </row>
    <row r="34" spans="2:11" ht="18" customHeight="1">
      <c r="B34" s="244">
        <v>43276</v>
      </c>
      <c r="C34" s="245" t="s">
        <v>665</v>
      </c>
      <c r="D34" s="245" t="s">
        <v>517</v>
      </c>
      <c r="E34" s="245" t="s">
        <v>674</v>
      </c>
      <c r="F34" s="246">
        <v>45</v>
      </c>
      <c r="G34" s="246">
        <v>2.77</v>
      </c>
      <c r="H34" s="246">
        <v>180</v>
      </c>
      <c r="I34" s="246">
        <v>498.6</v>
      </c>
      <c r="J34" s="245" t="s">
        <v>430</v>
      </c>
      <c r="K34" s="247">
        <v>59.832000000000001</v>
      </c>
    </row>
    <row r="35" spans="2:11" ht="18" customHeight="1">
      <c r="B35" s="244">
        <v>43276</v>
      </c>
      <c r="C35" s="245" t="s">
        <v>663</v>
      </c>
      <c r="D35" s="245" t="s">
        <v>517</v>
      </c>
      <c r="E35" s="245" t="s">
        <v>661</v>
      </c>
      <c r="F35" s="246">
        <v>45</v>
      </c>
      <c r="G35" s="246">
        <v>2.6</v>
      </c>
      <c r="H35" s="246">
        <v>300</v>
      </c>
      <c r="I35" s="246">
        <v>780</v>
      </c>
      <c r="J35" s="245" t="s">
        <v>662</v>
      </c>
      <c r="K35" s="247">
        <v>93.6</v>
      </c>
    </row>
    <row r="36" spans="2:11" ht="18" customHeight="1">
      <c r="B36" s="244">
        <v>43296</v>
      </c>
      <c r="C36" s="245" t="s">
        <v>665</v>
      </c>
      <c r="D36" s="245" t="s">
        <v>517</v>
      </c>
      <c r="E36" s="245" t="s">
        <v>664</v>
      </c>
      <c r="F36" s="246">
        <v>60</v>
      </c>
      <c r="G36" s="246">
        <v>7.04</v>
      </c>
      <c r="H36" s="246">
        <v>600</v>
      </c>
      <c r="I36" s="246">
        <v>4224</v>
      </c>
      <c r="J36" s="245" t="s">
        <v>662</v>
      </c>
      <c r="K36" s="247">
        <v>506.88</v>
      </c>
    </row>
    <row r="37" spans="2:11" ht="18" customHeight="1">
      <c r="B37" s="244">
        <v>43291</v>
      </c>
      <c r="C37" s="245" t="s">
        <v>667</v>
      </c>
      <c r="D37" s="245" t="s">
        <v>517</v>
      </c>
      <c r="E37" s="245" t="s">
        <v>661</v>
      </c>
      <c r="F37" s="246">
        <v>45</v>
      </c>
      <c r="G37" s="246">
        <v>2.6</v>
      </c>
      <c r="H37" s="246">
        <v>800</v>
      </c>
      <c r="I37" s="246">
        <v>2080</v>
      </c>
      <c r="J37" s="245" t="s">
        <v>662</v>
      </c>
      <c r="K37" s="247">
        <v>249.6</v>
      </c>
    </row>
    <row r="38" spans="2:11" ht="18" customHeight="1">
      <c r="B38" s="244">
        <v>43276</v>
      </c>
      <c r="C38" s="245" t="s">
        <v>665</v>
      </c>
      <c r="D38" s="245" t="s">
        <v>19</v>
      </c>
      <c r="E38" s="245" t="s">
        <v>661</v>
      </c>
      <c r="F38" s="246">
        <v>60</v>
      </c>
      <c r="G38" s="246">
        <v>2.6</v>
      </c>
      <c r="H38" s="246">
        <v>900</v>
      </c>
      <c r="I38" s="246">
        <v>2340</v>
      </c>
      <c r="J38" s="245" t="s">
        <v>662</v>
      </c>
      <c r="K38" s="247">
        <v>280.8</v>
      </c>
    </row>
    <row r="39" spans="2:11" ht="18" customHeight="1">
      <c r="B39" s="244">
        <v>43327</v>
      </c>
      <c r="C39" s="245" t="s">
        <v>663</v>
      </c>
      <c r="D39" s="245" t="s">
        <v>517</v>
      </c>
      <c r="E39" s="245" t="s">
        <v>674</v>
      </c>
      <c r="F39" s="246">
        <v>60</v>
      </c>
      <c r="G39" s="246">
        <v>2.77</v>
      </c>
      <c r="H39" s="246">
        <v>500</v>
      </c>
      <c r="I39" s="246">
        <v>1385</v>
      </c>
      <c r="J39" s="245" t="s">
        <v>662</v>
      </c>
      <c r="K39" s="247">
        <v>166.2</v>
      </c>
    </row>
    <row r="40" spans="2:11" ht="18" customHeight="1">
      <c r="B40" s="244">
        <v>43296</v>
      </c>
      <c r="C40" s="245" t="s">
        <v>665</v>
      </c>
      <c r="D40" s="245" t="s">
        <v>669</v>
      </c>
      <c r="E40" s="245" t="s">
        <v>661</v>
      </c>
      <c r="F40" s="246">
        <v>60</v>
      </c>
      <c r="G40" s="246">
        <v>2.6</v>
      </c>
      <c r="H40" s="246">
        <v>530</v>
      </c>
      <c r="I40" s="246">
        <v>1378</v>
      </c>
      <c r="J40" s="245" t="s">
        <v>662</v>
      </c>
      <c r="K40" s="247">
        <v>165.36</v>
      </c>
    </row>
    <row r="41" spans="2:11" ht="18" customHeight="1">
      <c r="B41" s="244">
        <v>43276</v>
      </c>
      <c r="C41" s="245" t="s">
        <v>667</v>
      </c>
      <c r="D41" s="245" t="s">
        <v>517</v>
      </c>
      <c r="E41" s="245" t="s">
        <v>668</v>
      </c>
      <c r="F41" s="246">
        <v>60</v>
      </c>
      <c r="G41" s="246">
        <v>4.0199999999999996</v>
      </c>
      <c r="H41" s="246">
        <v>800</v>
      </c>
      <c r="I41" s="246">
        <v>3216</v>
      </c>
      <c r="J41" s="245" t="s">
        <v>676</v>
      </c>
      <c r="K41" s="247">
        <v>385.92</v>
      </c>
    </row>
    <row r="42" spans="2:11" ht="18" customHeight="1">
      <c r="B42" s="244">
        <v>43276</v>
      </c>
      <c r="C42" s="245" t="s">
        <v>665</v>
      </c>
      <c r="D42" s="245" t="s">
        <v>517</v>
      </c>
      <c r="E42" s="245" t="s">
        <v>664</v>
      </c>
      <c r="F42" s="246">
        <v>45</v>
      </c>
      <c r="G42" s="246">
        <v>7.04</v>
      </c>
      <c r="H42" s="246">
        <v>680</v>
      </c>
      <c r="I42" s="246">
        <v>4787.2</v>
      </c>
      <c r="J42" s="245" t="s">
        <v>662</v>
      </c>
      <c r="K42" s="247">
        <v>574.46399999999994</v>
      </c>
    </row>
    <row r="43" spans="2:11" ht="18" customHeight="1">
      <c r="B43" s="244">
        <v>43276</v>
      </c>
      <c r="C43" s="245" t="s">
        <v>663</v>
      </c>
      <c r="D43" s="245" t="s">
        <v>517</v>
      </c>
      <c r="E43" s="245" t="s">
        <v>672</v>
      </c>
      <c r="F43" s="246">
        <v>45</v>
      </c>
      <c r="G43" s="246">
        <v>4.0199999999999996</v>
      </c>
      <c r="H43" s="246">
        <v>660</v>
      </c>
      <c r="I43" s="246">
        <v>2653.2</v>
      </c>
      <c r="J43" s="245" t="s">
        <v>662</v>
      </c>
      <c r="K43" s="247">
        <v>318.38399999999996</v>
      </c>
    </row>
    <row r="44" spans="2:11" ht="18" customHeight="1">
      <c r="B44" s="244">
        <v>43291</v>
      </c>
      <c r="C44" s="245" t="s">
        <v>665</v>
      </c>
      <c r="D44" s="245" t="s">
        <v>517</v>
      </c>
      <c r="E44" s="245" t="s">
        <v>673</v>
      </c>
      <c r="F44" s="246">
        <v>45</v>
      </c>
      <c r="G44" s="246">
        <v>5.56</v>
      </c>
      <c r="H44" s="246">
        <v>600</v>
      </c>
      <c r="I44" s="246">
        <v>3336</v>
      </c>
      <c r="J44" s="245" t="s">
        <v>662</v>
      </c>
      <c r="K44" s="247">
        <v>400.32</v>
      </c>
    </row>
    <row r="45" spans="2:11" ht="18" customHeight="1">
      <c r="B45" s="244">
        <v>43327</v>
      </c>
      <c r="C45" s="245" t="s">
        <v>667</v>
      </c>
      <c r="D45" s="245" t="s">
        <v>19</v>
      </c>
      <c r="E45" s="245" t="s">
        <v>672</v>
      </c>
      <c r="F45" s="246">
        <v>30</v>
      </c>
      <c r="G45" s="246">
        <v>4.0199999999999996</v>
      </c>
      <c r="H45" s="246">
        <v>530</v>
      </c>
      <c r="I45" s="246">
        <v>2130.6</v>
      </c>
      <c r="J45" s="245" t="s">
        <v>662</v>
      </c>
      <c r="K45" s="247">
        <v>255.67199999999997</v>
      </c>
    </row>
    <row r="46" spans="2:11" ht="18" customHeight="1">
      <c r="B46" s="244">
        <v>43324</v>
      </c>
      <c r="C46" s="245" t="s">
        <v>665</v>
      </c>
      <c r="D46" s="245" t="s">
        <v>517</v>
      </c>
      <c r="E46" s="245" t="s">
        <v>673</v>
      </c>
      <c r="F46" s="246">
        <v>45</v>
      </c>
      <c r="G46" s="246">
        <v>5.56</v>
      </c>
      <c r="H46" s="246">
        <v>450</v>
      </c>
      <c r="I46" s="246">
        <v>2502</v>
      </c>
      <c r="J46" s="245" t="s">
        <v>662</v>
      </c>
      <c r="K46" s="247">
        <v>300.24</v>
      </c>
    </row>
    <row r="47" spans="2:11" ht="18" customHeight="1">
      <c r="B47" s="244">
        <v>43327</v>
      </c>
      <c r="C47" s="245" t="s">
        <v>663</v>
      </c>
      <c r="D47" s="245" t="s">
        <v>517</v>
      </c>
      <c r="E47" s="245" t="s">
        <v>674</v>
      </c>
      <c r="F47" s="246">
        <v>30</v>
      </c>
      <c r="G47" s="246">
        <v>2.77</v>
      </c>
      <c r="H47" s="246">
        <v>400</v>
      </c>
      <c r="I47" s="246">
        <v>1108</v>
      </c>
      <c r="J47" s="245" t="s">
        <v>662</v>
      </c>
      <c r="K47" s="247">
        <v>132.96</v>
      </c>
    </row>
    <row r="48" spans="2:11" ht="18" customHeight="1">
      <c r="B48" s="244">
        <v>43327</v>
      </c>
      <c r="C48" s="245" t="s">
        <v>665</v>
      </c>
      <c r="D48" s="245" t="s">
        <v>523</v>
      </c>
      <c r="E48" s="245" t="s">
        <v>675</v>
      </c>
      <c r="F48" s="246">
        <v>30</v>
      </c>
      <c r="G48" s="246">
        <v>9.6</v>
      </c>
      <c r="H48" s="246">
        <v>300</v>
      </c>
      <c r="I48" s="246">
        <v>2880</v>
      </c>
      <c r="J48" s="245" t="s">
        <v>662</v>
      </c>
      <c r="K48" s="247">
        <v>345.6</v>
      </c>
    </row>
    <row r="49" spans="2:11" ht="18" customHeight="1">
      <c r="B49" s="244">
        <v>43296</v>
      </c>
      <c r="C49" s="245" t="s">
        <v>667</v>
      </c>
      <c r="D49" s="245" t="s">
        <v>523</v>
      </c>
      <c r="E49" s="245" t="s">
        <v>661</v>
      </c>
      <c r="F49" s="246">
        <v>30</v>
      </c>
      <c r="G49" s="246">
        <v>2.6</v>
      </c>
      <c r="H49" s="246">
        <v>200</v>
      </c>
      <c r="I49" s="246">
        <v>520</v>
      </c>
      <c r="J49" s="245" t="s">
        <v>662</v>
      </c>
      <c r="K49" s="247">
        <v>62.4</v>
      </c>
    </row>
    <row r="50" spans="2:11" ht="18" customHeight="1">
      <c r="B50" s="244">
        <v>43235</v>
      </c>
      <c r="C50" s="245" t="s">
        <v>665</v>
      </c>
      <c r="D50" s="245" t="s">
        <v>517</v>
      </c>
      <c r="E50" s="245" t="s">
        <v>672</v>
      </c>
      <c r="F50" s="246">
        <v>30</v>
      </c>
      <c r="G50" s="246">
        <v>4.0199999999999996</v>
      </c>
      <c r="H50" s="246">
        <v>100</v>
      </c>
      <c r="I50" s="246">
        <v>402</v>
      </c>
      <c r="J50" s="245" t="s">
        <v>662</v>
      </c>
      <c r="K50" s="247">
        <v>48.24</v>
      </c>
    </row>
    <row r="51" spans="2:11" ht="18" customHeight="1">
      <c r="B51" s="244">
        <v>43327</v>
      </c>
      <c r="C51" s="245" t="s">
        <v>663</v>
      </c>
      <c r="D51" s="245" t="s">
        <v>19</v>
      </c>
      <c r="E51" s="245" t="s">
        <v>664</v>
      </c>
      <c r="F51" s="246">
        <v>30</v>
      </c>
      <c r="G51" s="246">
        <v>7.04</v>
      </c>
      <c r="H51" s="246">
        <v>30</v>
      </c>
      <c r="I51" s="246">
        <v>211.2</v>
      </c>
      <c r="J51" s="245" t="s">
        <v>662</v>
      </c>
      <c r="K51" s="247">
        <v>25.343999999999998</v>
      </c>
    </row>
    <row r="52" spans="2:11" ht="18" customHeight="1">
      <c r="B52" s="244">
        <v>43327</v>
      </c>
      <c r="C52" s="245" t="s">
        <v>665</v>
      </c>
      <c r="D52" s="245" t="s">
        <v>517</v>
      </c>
      <c r="E52" s="245" t="s">
        <v>672</v>
      </c>
      <c r="F52" s="246">
        <v>45</v>
      </c>
      <c r="G52" s="246">
        <v>4.0199999999999996</v>
      </c>
      <c r="H52" s="246">
        <v>220</v>
      </c>
      <c r="I52" s="246">
        <v>884.4</v>
      </c>
      <c r="J52" s="245" t="s">
        <v>666</v>
      </c>
      <c r="K52" s="247">
        <v>106.12799999999999</v>
      </c>
    </row>
    <row r="53" spans="2:11" ht="18" customHeight="1">
      <c r="B53" s="244">
        <v>43327</v>
      </c>
      <c r="C53" s="245" t="s">
        <v>667</v>
      </c>
      <c r="D53" s="245" t="s">
        <v>517</v>
      </c>
      <c r="E53" s="245" t="s">
        <v>673</v>
      </c>
      <c r="F53" s="246">
        <v>45</v>
      </c>
      <c r="G53" s="246">
        <v>5.56</v>
      </c>
      <c r="H53" s="246">
        <v>460</v>
      </c>
      <c r="I53" s="246">
        <v>2557.6</v>
      </c>
      <c r="J53" s="245" t="s">
        <v>430</v>
      </c>
      <c r="K53" s="247">
        <v>306.91199999999998</v>
      </c>
    </row>
    <row r="54" spans="2:11" ht="18" customHeight="1">
      <c r="B54" s="244">
        <v>43324</v>
      </c>
      <c r="C54" s="245" t="s">
        <v>665</v>
      </c>
      <c r="D54" s="245" t="s">
        <v>517</v>
      </c>
      <c r="E54" s="245" t="s">
        <v>672</v>
      </c>
      <c r="F54" s="246">
        <v>45</v>
      </c>
      <c r="G54" s="246">
        <v>4.0199999999999996</v>
      </c>
      <c r="H54" s="246">
        <v>1000</v>
      </c>
      <c r="I54" s="246">
        <v>4020</v>
      </c>
      <c r="J54" s="245" t="s">
        <v>662</v>
      </c>
      <c r="K54" s="247">
        <v>482.4</v>
      </c>
    </row>
    <row r="55" spans="2:11" ht="18" customHeight="1">
      <c r="B55" s="244">
        <v>43324</v>
      </c>
      <c r="C55" s="245" t="s">
        <v>663</v>
      </c>
      <c r="D55" s="245" t="s">
        <v>517</v>
      </c>
      <c r="E55" s="245" t="s">
        <v>668</v>
      </c>
      <c r="F55" s="246">
        <v>45</v>
      </c>
      <c r="G55" s="246">
        <v>5.56</v>
      </c>
      <c r="H55" s="246">
        <v>1200</v>
      </c>
      <c r="I55" s="246">
        <v>6672</v>
      </c>
      <c r="J55" s="245" t="s">
        <v>662</v>
      </c>
      <c r="K55" s="247">
        <v>800.64</v>
      </c>
    </row>
    <row r="56" spans="2:11" ht="18" customHeight="1">
      <c r="B56" s="244">
        <v>43327</v>
      </c>
      <c r="C56" s="245" t="s">
        <v>665</v>
      </c>
      <c r="D56" s="245" t="s">
        <v>517</v>
      </c>
      <c r="E56" s="245" t="s">
        <v>674</v>
      </c>
      <c r="F56" s="246">
        <v>45</v>
      </c>
      <c r="G56" s="246">
        <v>2.77</v>
      </c>
      <c r="H56" s="246">
        <v>200</v>
      </c>
      <c r="I56" s="246">
        <v>554</v>
      </c>
      <c r="J56" s="245" t="s">
        <v>430</v>
      </c>
      <c r="K56" s="247">
        <v>66.48</v>
      </c>
    </row>
    <row r="57" spans="2:11" ht="18" customHeight="1">
      <c r="B57" s="244">
        <v>43230</v>
      </c>
      <c r="C57" s="245" t="s">
        <v>667</v>
      </c>
      <c r="D57" s="245" t="s">
        <v>669</v>
      </c>
      <c r="E57" s="245" t="s">
        <v>675</v>
      </c>
      <c r="F57" s="246">
        <v>45</v>
      </c>
      <c r="G57" s="246">
        <v>9.6</v>
      </c>
      <c r="H57" s="246">
        <v>500</v>
      </c>
      <c r="I57" s="246">
        <v>4800</v>
      </c>
      <c r="J57" s="245" t="s">
        <v>666</v>
      </c>
      <c r="K57" s="247">
        <v>576</v>
      </c>
    </row>
    <row r="58" spans="2:11" ht="18" customHeight="1">
      <c r="B58" s="244">
        <v>43339</v>
      </c>
      <c r="C58" s="245" t="s">
        <v>665</v>
      </c>
      <c r="D58" s="245" t="s">
        <v>517</v>
      </c>
      <c r="E58" s="245" t="s">
        <v>672</v>
      </c>
      <c r="F58" s="246">
        <v>60</v>
      </c>
      <c r="G58" s="246">
        <v>4.0199999999999996</v>
      </c>
      <c r="H58" s="246">
        <v>600</v>
      </c>
      <c r="I58" s="246">
        <v>2412</v>
      </c>
      <c r="J58" s="245" t="s">
        <v>662</v>
      </c>
      <c r="K58" s="247">
        <v>289.44</v>
      </c>
    </row>
    <row r="59" spans="2:11" ht="18" customHeight="1">
      <c r="B59" s="244">
        <v>43247</v>
      </c>
      <c r="C59" s="245" t="s">
        <v>663</v>
      </c>
      <c r="D59" s="245" t="s">
        <v>19</v>
      </c>
      <c r="E59" s="245" t="s">
        <v>668</v>
      </c>
      <c r="F59" s="246">
        <v>45</v>
      </c>
      <c r="G59" s="246">
        <v>2.77</v>
      </c>
      <c r="H59" s="246">
        <v>1000</v>
      </c>
      <c r="I59" s="246">
        <v>2770</v>
      </c>
      <c r="J59" s="245" t="s">
        <v>662</v>
      </c>
      <c r="K59" s="247">
        <v>332.4</v>
      </c>
    </row>
    <row r="60" spans="2:11" ht="18" customHeight="1">
      <c r="B60" s="244">
        <v>43291</v>
      </c>
      <c r="C60" s="245" t="s">
        <v>665</v>
      </c>
      <c r="D60" s="245" t="s">
        <v>19</v>
      </c>
      <c r="E60" s="245" t="s">
        <v>674</v>
      </c>
      <c r="F60" s="246">
        <v>60</v>
      </c>
      <c r="G60" s="246">
        <v>2.77</v>
      </c>
      <c r="H60" s="246">
        <v>1000</v>
      </c>
      <c r="I60" s="246">
        <v>2770</v>
      </c>
      <c r="J60" s="245" t="s">
        <v>662</v>
      </c>
      <c r="K60" s="247">
        <v>332.4</v>
      </c>
    </row>
    <row r="61" spans="2:11" ht="18" customHeight="1">
      <c r="B61" s="244">
        <v>43276</v>
      </c>
      <c r="C61" s="245" t="s">
        <v>667</v>
      </c>
      <c r="D61" s="245" t="s">
        <v>517</v>
      </c>
      <c r="E61" s="245" t="s">
        <v>668</v>
      </c>
      <c r="F61" s="246">
        <v>45</v>
      </c>
      <c r="G61" s="246">
        <v>2.77</v>
      </c>
      <c r="H61" s="246">
        <v>1200</v>
      </c>
      <c r="I61" s="246">
        <v>3324</v>
      </c>
      <c r="J61" s="245" t="s">
        <v>666</v>
      </c>
      <c r="K61" s="247">
        <v>398.88</v>
      </c>
    </row>
    <row r="62" spans="2:11" ht="18" customHeight="1">
      <c r="B62" s="244">
        <v>43339</v>
      </c>
      <c r="C62" s="245" t="s">
        <v>665</v>
      </c>
      <c r="D62" s="245" t="s">
        <v>517</v>
      </c>
      <c r="E62" s="245" t="s">
        <v>670</v>
      </c>
      <c r="F62" s="246">
        <v>60</v>
      </c>
      <c r="G62" s="246">
        <v>9.6</v>
      </c>
      <c r="H62" s="246">
        <v>500</v>
      </c>
      <c r="I62" s="246">
        <v>4800</v>
      </c>
      <c r="J62" s="245" t="s">
        <v>662</v>
      </c>
      <c r="K62" s="247">
        <v>576</v>
      </c>
    </row>
    <row r="63" spans="2:11" ht="18" customHeight="1">
      <c r="B63" s="244">
        <v>43296</v>
      </c>
      <c r="C63" s="245" t="s">
        <v>663</v>
      </c>
      <c r="D63" s="245" t="s">
        <v>517</v>
      </c>
      <c r="E63" s="245" t="s">
        <v>673</v>
      </c>
      <c r="F63" s="246">
        <v>45</v>
      </c>
      <c r="G63" s="246">
        <v>5.56</v>
      </c>
      <c r="H63" s="246">
        <v>300</v>
      </c>
      <c r="I63" s="246">
        <v>1668</v>
      </c>
      <c r="J63" s="245" t="s">
        <v>662</v>
      </c>
      <c r="K63" s="247">
        <v>200.16</v>
      </c>
    </row>
    <row r="64" spans="2:11" ht="18" customHeight="1">
      <c r="B64" s="244">
        <v>43339</v>
      </c>
      <c r="C64" s="245" t="s">
        <v>665</v>
      </c>
      <c r="D64" s="245" t="s">
        <v>523</v>
      </c>
      <c r="E64" s="245" t="s">
        <v>668</v>
      </c>
      <c r="F64" s="246">
        <v>45</v>
      </c>
      <c r="G64" s="246">
        <v>4.0199999999999996</v>
      </c>
      <c r="H64" s="246">
        <v>450</v>
      </c>
      <c r="I64" s="246">
        <v>1809</v>
      </c>
      <c r="J64" s="245" t="s">
        <v>662</v>
      </c>
      <c r="K64" s="247">
        <v>217.08</v>
      </c>
    </row>
    <row r="65" spans="2:11" ht="18" customHeight="1">
      <c r="B65" s="244">
        <v>43339</v>
      </c>
      <c r="C65" s="245" t="s">
        <v>667</v>
      </c>
      <c r="D65" s="245" t="s">
        <v>523</v>
      </c>
      <c r="E65" s="245" t="s">
        <v>673</v>
      </c>
      <c r="F65" s="246">
        <v>45</v>
      </c>
      <c r="G65" s="246">
        <v>5.56</v>
      </c>
      <c r="H65" s="246">
        <v>400</v>
      </c>
      <c r="I65" s="246">
        <v>2224</v>
      </c>
      <c r="J65" s="245" t="s">
        <v>662</v>
      </c>
      <c r="K65" s="247">
        <v>266.88</v>
      </c>
    </row>
    <row r="66" spans="2:11" ht="18" customHeight="1">
      <c r="B66" s="244">
        <v>43339</v>
      </c>
      <c r="C66" s="245" t="s">
        <v>665</v>
      </c>
      <c r="D66" s="245" t="s">
        <v>517</v>
      </c>
      <c r="E66" s="245" t="s">
        <v>674</v>
      </c>
      <c r="F66" s="246">
        <v>30</v>
      </c>
      <c r="G66" s="246">
        <v>2.77</v>
      </c>
      <c r="H66" s="246">
        <v>200</v>
      </c>
      <c r="I66" s="246">
        <v>554</v>
      </c>
      <c r="J66" s="245" t="s">
        <v>662</v>
      </c>
      <c r="K66" s="247">
        <v>66.48</v>
      </c>
    </row>
    <row r="67" spans="2:11" ht="18" customHeight="1">
      <c r="B67" s="244">
        <v>43247</v>
      </c>
      <c r="C67" s="245" t="s">
        <v>663</v>
      </c>
      <c r="D67" s="245" t="s">
        <v>517</v>
      </c>
      <c r="E67" s="245" t="s">
        <v>673</v>
      </c>
      <c r="F67" s="246">
        <v>45</v>
      </c>
      <c r="G67" s="246">
        <v>5.56</v>
      </c>
      <c r="H67" s="246">
        <v>1500</v>
      </c>
      <c r="I67" s="246">
        <v>8340</v>
      </c>
      <c r="J67" s="245" t="s">
        <v>662</v>
      </c>
      <c r="K67" s="247">
        <v>1000.8</v>
      </c>
    </row>
    <row r="68" spans="2:11" ht="18" customHeight="1">
      <c r="B68" s="244">
        <v>43327</v>
      </c>
      <c r="C68" s="245" t="s">
        <v>665</v>
      </c>
      <c r="D68" s="245" t="s">
        <v>523</v>
      </c>
      <c r="E68" s="245" t="s">
        <v>672</v>
      </c>
      <c r="F68" s="246">
        <v>45</v>
      </c>
      <c r="G68" s="246">
        <v>4.0199999999999996</v>
      </c>
      <c r="H68" s="246">
        <v>380</v>
      </c>
      <c r="I68" s="246">
        <v>1527.6</v>
      </c>
      <c r="J68" s="245" t="s">
        <v>662</v>
      </c>
      <c r="K68" s="247">
        <v>183.31199999999998</v>
      </c>
    </row>
    <row r="69" spans="2:11" ht="18" customHeight="1">
      <c r="B69" s="244">
        <v>43339</v>
      </c>
      <c r="C69" s="245" t="s">
        <v>667</v>
      </c>
      <c r="D69" s="245" t="s">
        <v>523</v>
      </c>
      <c r="E69" s="245" t="s">
        <v>668</v>
      </c>
      <c r="F69" s="246">
        <v>30</v>
      </c>
      <c r="G69" s="246">
        <v>5.56</v>
      </c>
      <c r="H69" s="246">
        <v>1300</v>
      </c>
      <c r="I69" s="246">
        <v>7228</v>
      </c>
      <c r="J69" s="245" t="s">
        <v>662</v>
      </c>
      <c r="K69" s="247">
        <v>867.36</v>
      </c>
    </row>
    <row r="70" spans="2:11" ht="18" customHeight="1">
      <c r="B70" s="244">
        <v>43339</v>
      </c>
      <c r="C70" s="245" t="s">
        <v>665</v>
      </c>
      <c r="D70" s="245" t="s">
        <v>517</v>
      </c>
      <c r="E70" s="245" t="s">
        <v>674</v>
      </c>
      <c r="F70" s="246">
        <v>45</v>
      </c>
      <c r="G70" s="246">
        <v>2.77</v>
      </c>
      <c r="H70" s="246">
        <v>460</v>
      </c>
      <c r="I70" s="246">
        <v>1274.2</v>
      </c>
      <c r="J70" s="245" t="s">
        <v>662</v>
      </c>
      <c r="K70" s="247">
        <v>152.904</v>
      </c>
    </row>
    <row r="71" spans="2:11" ht="18" customHeight="1">
      <c r="B71" s="244">
        <v>43339</v>
      </c>
      <c r="C71" s="245" t="s">
        <v>663</v>
      </c>
      <c r="D71" s="245" t="s">
        <v>19</v>
      </c>
      <c r="E71" s="245" t="s">
        <v>670</v>
      </c>
      <c r="F71" s="246">
        <v>45</v>
      </c>
      <c r="G71" s="246">
        <v>9.6</v>
      </c>
      <c r="H71" s="246">
        <v>450</v>
      </c>
      <c r="I71" s="246">
        <v>4320</v>
      </c>
      <c r="J71" s="245" t="s">
        <v>662</v>
      </c>
      <c r="K71" s="247">
        <v>518.4</v>
      </c>
    </row>
    <row r="72" spans="2:11" ht="18" customHeight="1">
      <c r="B72" s="244">
        <v>43327</v>
      </c>
      <c r="C72" s="245" t="s">
        <v>665</v>
      </c>
      <c r="D72" s="245" t="s">
        <v>523</v>
      </c>
      <c r="E72" s="245" t="s">
        <v>672</v>
      </c>
      <c r="F72" s="246">
        <v>30</v>
      </c>
      <c r="G72" s="246">
        <v>4.0199999999999996</v>
      </c>
      <c r="H72" s="246">
        <v>560</v>
      </c>
      <c r="I72" s="246">
        <v>2251.1999999999998</v>
      </c>
      <c r="J72" s="245" t="s">
        <v>671</v>
      </c>
      <c r="K72" s="247">
        <v>270.14399999999995</v>
      </c>
    </row>
    <row r="73" spans="2:11" ht="18" customHeight="1">
      <c r="B73" s="244">
        <v>43339</v>
      </c>
      <c r="C73" s="245" t="s">
        <v>667</v>
      </c>
      <c r="D73" s="245" t="s">
        <v>517</v>
      </c>
      <c r="E73" s="245" t="s">
        <v>674</v>
      </c>
      <c r="F73" s="246">
        <v>45</v>
      </c>
      <c r="G73" s="246">
        <v>2.77</v>
      </c>
      <c r="H73" s="246">
        <v>1000</v>
      </c>
      <c r="I73" s="246">
        <v>2770</v>
      </c>
      <c r="J73" s="245" t="s">
        <v>662</v>
      </c>
      <c r="K73" s="247">
        <v>332.4</v>
      </c>
    </row>
    <row r="74" spans="2:11" ht="18" customHeight="1">
      <c r="B74" s="244">
        <v>43339</v>
      </c>
      <c r="C74" s="245" t="s">
        <v>665</v>
      </c>
      <c r="D74" s="245" t="s">
        <v>517</v>
      </c>
      <c r="E74" s="245" t="s">
        <v>670</v>
      </c>
      <c r="F74" s="246">
        <v>45</v>
      </c>
      <c r="G74" s="246">
        <v>9.6</v>
      </c>
      <c r="H74" s="246">
        <v>500</v>
      </c>
      <c r="I74" s="246">
        <v>4800</v>
      </c>
      <c r="J74" s="245" t="s">
        <v>662</v>
      </c>
      <c r="K74" s="247">
        <v>576</v>
      </c>
    </row>
    <row r="75" spans="2:11" ht="18" customHeight="1">
      <c r="B75" s="244">
        <v>43339</v>
      </c>
      <c r="C75" s="245" t="s">
        <v>663</v>
      </c>
      <c r="D75" s="245" t="s">
        <v>19</v>
      </c>
      <c r="E75" s="245" t="s">
        <v>668</v>
      </c>
      <c r="F75" s="246">
        <v>30</v>
      </c>
      <c r="G75" s="246">
        <v>2.77</v>
      </c>
      <c r="H75" s="246">
        <v>450</v>
      </c>
      <c r="I75" s="246">
        <v>1246.5</v>
      </c>
      <c r="J75" s="245" t="s">
        <v>430</v>
      </c>
      <c r="K75" s="247">
        <v>149.58000000000001</v>
      </c>
    </row>
    <row r="76" spans="2:11" ht="18" customHeight="1">
      <c r="B76" s="244">
        <v>43339</v>
      </c>
      <c r="C76" s="245" t="s">
        <v>665</v>
      </c>
      <c r="D76" s="245" t="s">
        <v>517</v>
      </c>
      <c r="E76" s="245" t="s">
        <v>674</v>
      </c>
      <c r="F76" s="246">
        <v>30</v>
      </c>
      <c r="G76" s="246">
        <v>2.77</v>
      </c>
      <c r="H76" s="246">
        <v>650</v>
      </c>
      <c r="I76" s="246">
        <v>1800.5</v>
      </c>
      <c r="J76" s="245" t="s">
        <v>662</v>
      </c>
      <c r="K76" s="247">
        <v>216.06</v>
      </c>
    </row>
    <row r="77" spans="2:11" ht="18" customHeight="1">
      <c r="B77" s="244">
        <v>43339</v>
      </c>
      <c r="C77" s="245" t="s">
        <v>667</v>
      </c>
      <c r="D77" s="245" t="s">
        <v>19</v>
      </c>
      <c r="E77" s="245" t="s">
        <v>673</v>
      </c>
      <c r="F77" s="246">
        <v>45</v>
      </c>
      <c r="G77" s="246">
        <v>5.56</v>
      </c>
      <c r="H77" s="246">
        <v>750</v>
      </c>
      <c r="I77" s="246">
        <v>4170</v>
      </c>
      <c r="J77" s="245" t="s">
        <v>662</v>
      </c>
      <c r="K77" s="247">
        <v>500.4</v>
      </c>
    </row>
    <row r="78" spans="2:11" ht="18" customHeight="1">
      <c r="B78" s="244">
        <v>43327</v>
      </c>
      <c r="C78" s="245" t="s">
        <v>665</v>
      </c>
      <c r="D78" s="245" t="s">
        <v>19</v>
      </c>
      <c r="E78" s="245" t="s">
        <v>674</v>
      </c>
      <c r="F78" s="246">
        <v>30</v>
      </c>
      <c r="G78" s="246">
        <v>2.77</v>
      </c>
      <c r="H78" s="246">
        <v>800</v>
      </c>
      <c r="I78" s="246">
        <v>2216</v>
      </c>
      <c r="J78" s="245" t="s">
        <v>430</v>
      </c>
      <c r="K78" s="247">
        <v>265.92</v>
      </c>
    </row>
    <row r="79" spans="2:11" ht="18" customHeight="1">
      <c r="B79" s="244">
        <v>43327</v>
      </c>
      <c r="C79" s="245" t="s">
        <v>663</v>
      </c>
      <c r="D79" s="245" t="s">
        <v>517</v>
      </c>
      <c r="E79" s="245" t="s">
        <v>670</v>
      </c>
      <c r="F79" s="246">
        <v>45</v>
      </c>
      <c r="G79" s="246">
        <v>9.6</v>
      </c>
      <c r="H79" s="246">
        <v>500</v>
      </c>
      <c r="I79" s="246">
        <v>4800</v>
      </c>
      <c r="J79" s="245" t="s">
        <v>662</v>
      </c>
      <c r="K79" s="247">
        <v>576</v>
      </c>
    </row>
    <row r="80" spans="2:11" ht="18" customHeight="1">
      <c r="B80" s="244">
        <v>43339</v>
      </c>
      <c r="C80" s="245" t="s">
        <v>665</v>
      </c>
      <c r="D80" s="245" t="s">
        <v>517</v>
      </c>
      <c r="E80" s="245" t="s">
        <v>672</v>
      </c>
      <c r="F80" s="246">
        <v>45</v>
      </c>
      <c r="G80" s="246">
        <v>4.0199999999999996</v>
      </c>
      <c r="H80" s="246">
        <v>600</v>
      </c>
      <c r="I80" s="246">
        <v>2412</v>
      </c>
      <c r="J80" s="245" t="s">
        <v>662</v>
      </c>
      <c r="K80" s="247">
        <v>289.44</v>
      </c>
    </row>
    <row r="81" spans="2:11" ht="18" customHeight="1">
      <c r="B81" s="244">
        <v>43339</v>
      </c>
      <c r="C81" s="245" t="s">
        <v>667</v>
      </c>
      <c r="D81" s="245" t="s">
        <v>19</v>
      </c>
      <c r="E81" s="245" t="s">
        <v>674</v>
      </c>
      <c r="F81" s="246">
        <v>60</v>
      </c>
      <c r="G81" s="246">
        <v>2.77</v>
      </c>
      <c r="H81" s="246">
        <v>300</v>
      </c>
      <c r="I81" s="246">
        <v>831</v>
      </c>
      <c r="J81" s="245" t="s">
        <v>662</v>
      </c>
      <c r="K81" s="247">
        <v>99.72</v>
      </c>
    </row>
    <row r="82" spans="2:11" ht="18" customHeight="1">
      <c r="B82" s="244">
        <v>43247</v>
      </c>
      <c r="C82" s="245" t="s">
        <v>665</v>
      </c>
      <c r="D82" s="245" t="s">
        <v>517</v>
      </c>
      <c r="E82" s="245" t="s">
        <v>672</v>
      </c>
      <c r="F82" s="246">
        <v>45</v>
      </c>
      <c r="G82" s="246">
        <v>4.0199999999999996</v>
      </c>
      <c r="H82" s="246">
        <v>600</v>
      </c>
      <c r="I82" s="246">
        <v>2412</v>
      </c>
      <c r="J82" s="245" t="s">
        <v>662</v>
      </c>
      <c r="K82" s="247">
        <v>289.44</v>
      </c>
    </row>
    <row r="83" spans="2:11" ht="18" customHeight="1">
      <c r="B83" s="244">
        <v>43339</v>
      </c>
      <c r="C83" s="245" t="s">
        <v>663</v>
      </c>
      <c r="D83" s="245" t="s">
        <v>19</v>
      </c>
      <c r="E83" s="245" t="s">
        <v>674</v>
      </c>
      <c r="F83" s="246">
        <v>45</v>
      </c>
      <c r="G83" s="246">
        <v>2.77</v>
      </c>
      <c r="H83" s="246">
        <v>1000</v>
      </c>
      <c r="I83" s="246">
        <v>2770</v>
      </c>
      <c r="J83" s="245" t="s">
        <v>662</v>
      </c>
      <c r="K83" s="247">
        <v>332.4</v>
      </c>
    </row>
    <row r="84" spans="2:11" ht="18" customHeight="1">
      <c r="B84" s="244">
        <v>43291</v>
      </c>
      <c r="C84" s="245" t="s">
        <v>665</v>
      </c>
      <c r="D84" s="245" t="s">
        <v>19</v>
      </c>
      <c r="E84" s="245" t="s">
        <v>668</v>
      </c>
      <c r="F84" s="246">
        <v>60</v>
      </c>
      <c r="G84" s="246">
        <v>2.77</v>
      </c>
      <c r="H84" s="246">
        <v>1000</v>
      </c>
      <c r="I84" s="246">
        <v>2770</v>
      </c>
      <c r="J84" s="245" t="s">
        <v>662</v>
      </c>
      <c r="K84" s="247">
        <v>332.4</v>
      </c>
    </row>
    <row r="85" spans="2:11" ht="18" customHeight="1">
      <c r="B85" s="244">
        <v>43245</v>
      </c>
      <c r="C85" s="245" t="s">
        <v>665</v>
      </c>
      <c r="D85" s="245" t="s">
        <v>19</v>
      </c>
      <c r="E85" s="245" t="s">
        <v>664</v>
      </c>
      <c r="F85" s="246">
        <v>45</v>
      </c>
      <c r="G85" s="246">
        <v>7.04</v>
      </c>
      <c r="H85" s="246">
        <v>400</v>
      </c>
      <c r="I85" s="246">
        <v>2816</v>
      </c>
      <c r="J85" s="245" t="s">
        <v>666</v>
      </c>
      <c r="K85" s="247">
        <v>337.92</v>
      </c>
    </row>
    <row r="86" spans="2:11" ht="18" customHeight="1">
      <c r="B86" s="244">
        <v>43327</v>
      </c>
      <c r="C86" s="245" t="s">
        <v>663</v>
      </c>
      <c r="D86" s="245" t="s">
        <v>517</v>
      </c>
      <c r="E86" s="245" t="s">
        <v>675</v>
      </c>
      <c r="F86" s="246">
        <v>60</v>
      </c>
      <c r="G86" s="246">
        <v>5.56</v>
      </c>
      <c r="H86" s="246">
        <v>450</v>
      </c>
      <c r="I86" s="246">
        <v>2502</v>
      </c>
      <c r="J86" s="245" t="s">
        <v>430</v>
      </c>
      <c r="K86" s="247">
        <v>300.24</v>
      </c>
    </row>
    <row r="87" spans="2:11" ht="18" customHeight="1">
      <c r="B87" s="244">
        <v>43276</v>
      </c>
      <c r="C87" s="245" t="s">
        <v>665</v>
      </c>
      <c r="D87" s="245" t="s">
        <v>523</v>
      </c>
      <c r="E87" s="245" t="s">
        <v>661</v>
      </c>
      <c r="F87" s="246">
        <v>60</v>
      </c>
      <c r="G87" s="246">
        <v>2.6</v>
      </c>
      <c r="H87" s="246">
        <v>600</v>
      </c>
      <c r="I87" s="246">
        <v>1560</v>
      </c>
      <c r="J87" s="245" t="s">
        <v>666</v>
      </c>
      <c r="K87" s="247">
        <v>187.2</v>
      </c>
    </row>
    <row r="88" spans="2:11" ht="18" customHeight="1">
      <c r="B88" s="244">
        <v>43276</v>
      </c>
      <c r="C88" s="245" t="s">
        <v>667</v>
      </c>
      <c r="D88" s="245" t="s">
        <v>517</v>
      </c>
      <c r="E88" s="245" t="s">
        <v>661</v>
      </c>
      <c r="F88" s="246">
        <v>45</v>
      </c>
      <c r="G88" s="246">
        <v>2.6</v>
      </c>
      <c r="H88" s="246">
        <v>750</v>
      </c>
      <c r="I88" s="246">
        <v>1950</v>
      </c>
      <c r="J88" s="245" t="s">
        <v>662</v>
      </c>
      <c r="K88" s="247">
        <v>234</v>
      </c>
    </row>
    <row r="89" spans="2:11" ht="18" customHeight="1">
      <c r="B89" s="244">
        <v>43276</v>
      </c>
      <c r="C89" s="245" t="s">
        <v>665</v>
      </c>
      <c r="D89" s="245" t="s">
        <v>517</v>
      </c>
      <c r="E89" s="245" t="s">
        <v>668</v>
      </c>
      <c r="F89" s="246">
        <v>45</v>
      </c>
      <c r="G89" s="246">
        <v>2.77</v>
      </c>
      <c r="H89" s="246">
        <v>180</v>
      </c>
      <c r="I89" s="246">
        <v>498.6</v>
      </c>
      <c r="J89" s="245" t="s">
        <v>430</v>
      </c>
      <c r="K89" s="247">
        <v>59.832000000000001</v>
      </c>
    </row>
    <row r="90" spans="2:11" ht="18" customHeight="1">
      <c r="B90" s="244">
        <v>43276</v>
      </c>
      <c r="C90" s="245" t="s">
        <v>663</v>
      </c>
      <c r="D90" s="245" t="s">
        <v>517</v>
      </c>
      <c r="E90" s="245" t="s">
        <v>675</v>
      </c>
      <c r="F90" s="246">
        <v>60</v>
      </c>
      <c r="G90" s="246">
        <v>2.6</v>
      </c>
      <c r="H90" s="246">
        <v>300</v>
      </c>
      <c r="I90" s="246">
        <v>780</v>
      </c>
      <c r="J90" s="245" t="s">
        <v>662</v>
      </c>
      <c r="K90" s="247">
        <v>93.6</v>
      </c>
    </row>
    <row r="91" spans="2:11" ht="18" customHeight="1">
      <c r="B91" s="244">
        <v>43296</v>
      </c>
      <c r="C91" s="245" t="s">
        <v>665</v>
      </c>
      <c r="D91" s="245" t="s">
        <v>517</v>
      </c>
      <c r="E91" s="245" t="s">
        <v>664</v>
      </c>
      <c r="F91" s="246">
        <v>45</v>
      </c>
      <c r="G91" s="246">
        <v>7.04</v>
      </c>
      <c r="H91" s="246">
        <v>600</v>
      </c>
      <c r="I91" s="246">
        <v>4224</v>
      </c>
      <c r="J91" s="245" t="s">
        <v>662</v>
      </c>
      <c r="K91" s="247">
        <v>506.88</v>
      </c>
    </row>
    <row r="92" spans="2:11" ht="18" customHeight="1">
      <c r="B92" s="244">
        <v>43235</v>
      </c>
      <c r="C92" s="245" t="s">
        <v>665</v>
      </c>
      <c r="D92" s="245" t="s">
        <v>517</v>
      </c>
      <c r="E92" s="245" t="s">
        <v>661</v>
      </c>
      <c r="F92" s="246">
        <v>45</v>
      </c>
      <c r="G92" s="246">
        <v>2.6</v>
      </c>
      <c r="H92" s="246">
        <v>300</v>
      </c>
      <c r="I92" s="246">
        <v>780</v>
      </c>
      <c r="J92" s="245" t="s">
        <v>430</v>
      </c>
      <c r="K92" s="247">
        <v>93.6</v>
      </c>
    </row>
    <row r="93" spans="2:11" ht="18" customHeight="1">
      <c r="B93" s="244">
        <v>43296</v>
      </c>
      <c r="C93" s="245" t="s">
        <v>667</v>
      </c>
      <c r="D93" s="245" t="s">
        <v>523</v>
      </c>
      <c r="E93" s="245" t="s">
        <v>668</v>
      </c>
      <c r="F93" s="246">
        <v>60</v>
      </c>
      <c r="G93" s="246">
        <v>4.0199999999999996</v>
      </c>
      <c r="H93" s="246">
        <v>300</v>
      </c>
      <c r="I93" s="246">
        <v>1206</v>
      </c>
      <c r="J93" s="245" t="s">
        <v>430</v>
      </c>
      <c r="K93" s="247">
        <v>144.72</v>
      </c>
    </row>
    <row r="94" spans="2:11" ht="18" customHeight="1">
      <c r="B94" s="244">
        <v>43296</v>
      </c>
      <c r="C94" s="245" t="s">
        <v>665</v>
      </c>
      <c r="D94" s="245" t="s">
        <v>19</v>
      </c>
      <c r="E94" s="245" t="s">
        <v>664</v>
      </c>
      <c r="F94" s="246">
        <v>45</v>
      </c>
      <c r="G94" s="246">
        <v>7.04</v>
      </c>
      <c r="H94" s="246">
        <v>500</v>
      </c>
      <c r="I94" s="246">
        <v>3520</v>
      </c>
      <c r="J94" s="245" t="s">
        <v>662</v>
      </c>
      <c r="K94" s="247">
        <v>422.4</v>
      </c>
    </row>
    <row r="95" spans="2:11" ht="18" customHeight="1">
      <c r="B95" s="244">
        <v>43296</v>
      </c>
      <c r="C95" s="245" t="s">
        <v>663</v>
      </c>
      <c r="D95" s="245" t="s">
        <v>517</v>
      </c>
      <c r="E95" s="245" t="s">
        <v>672</v>
      </c>
      <c r="F95" s="246">
        <v>45</v>
      </c>
      <c r="G95" s="246">
        <v>4.0199999999999996</v>
      </c>
      <c r="H95" s="246">
        <v>200</v>
      </c>
      <c r="I95" s="246">
        <v>804</v>
      </c>
      <c r="J95" s="245" t="s">
        <v>662</v>
      </c>
      <c r="K95" s="247">
        <v>96.48</v>
      </c>
    </row>
    <row r="96" spans="2:11" ht="18" customHeight="1">
      <c r="B96" s="244">
        <v>43296</v>
      </c>
      <c r="C96" s="245" t="s">
        <v>665</v>
      </c>
      <c r="D96" s="245" t="s">
        <v>523</v>
      </c>
      <c r="E96" s="245" t="s">
        <v>673</v>
      </c>
      <c r="F96" s="246">
        <v>60</v>
      </c>
      <c r="G96" s="246">
        <v>5.56</v>
      </c>
      <c r="H96" s="246">
        <v>100</v>
      </c>
      <c r="I96" s="246">
        <v>556</v>
      </c>
      <c r="J96" s="245" t="s">
        <v>430</v>
      </c>
      <c r="K96" s="247">
        <v>66.72</v>
      </c>
    </row>
    <row r="97" spans="2:11" ht="18" customHeight="1">
      <c r="B97" s="244">
        <v>43245</v>
      </c>
      <c r="C97" s="245" t="s">
        <v>667</v>
      </c>
      <c r="D97" s="245" t="s">
        <v>517</v>
      </c>
      <c r="E97" s="245" t="s">
        <v>668</v>
      </c>
      <c r="F97" s="246">
        <v>45</v>
      </c>
      <c r="G97" s="246">
        <v>4.0199999999999996</v>
      </c>
      <c r="H97" s="246">
        <v>50</v>
      </c>
      <c r="I97" s="246">
        <v>201</v>
      </c>
      <c r="J97" s="245" t="s">
        <v>662</v>
      </c>
      <c r="K97" s="247">
        <v>24.12</v>
      </c>
    </row>
    <row r="98" spans="2:11" ht="18" customHeight="1">
      <c r="B98" s="244">
        <v>43276</v>
      </c>
      <c r="C98" s="245" t="s">
        <v>665</v>
      </c>
      <c r="D98" s="245" t="s">
        <v>19</v>
      </c>
      <c r="E98" s="245" t="s">
        <v>673</v>
      </c>
      <c r="F98" s="246">
        <v>30</v>
      </c>
      <c r="G98" s="246">
        <v>5.56</v>
      </c>
      <c r="H98" s="246">
        <v>200</v>
      </c>
      <c r="I98" s="246">
        <v>1112</v>
      </c>
      <c r="J98" s="245" t="s">
        <v>662</v>
      </c>
      <c r="K98" s="247">
        <v>133.44</v>
      </c>
    </row>
    <row r="99" spans="2:11" ht="18" customHeight="1">
      <c r="B99" s="244">
        <v>43293</v>
      </c>
      <c r="C99" s="245" t="s">
        <v>665</v>
      </c>
      <c r="D99" s="245" t="s">
        <v>517</v>
      </c>
      <c r="E99" s="245" t="s">
        <v>664</v>
      </c>
      <c r="F99" s="246">
        <v>45</v>
      </c>
      <c r="G99" s="246">
        <v>7.04</v>
      </c>
      <c r="H99" s="246">
        <v>1000</v>
      </c>
      <c r="I99" s="246">
        <v>7040</v>
      </c>
      <c r="J99" s="245" t="s">
        <v>666</v>
      </c>
      <c r="K99" s="247">
        <v>844.8</v>
      </c>
    </row>
    <row r="100" spans="2:11" ht="18" customHeight="1">
      <c r="B100" s="244">
        <v>43296</v>
      </c>
      <c r="C100" s="245" t="s">
        <v>663</v>
      </c>
      <c r="D100" s="245" t="s">
        <v>19</v>
      </c>
      <c r="E100" s="245" t="s">
        <v>664</v>
      </c>
      <c r="F100" s="246">
        <v>45</v>
      </c>
      <c r="G100" s="246">
        <v>7.04</v>
      </c>
      <c r="H100" s="246">
        <v>150</v>
      </c>
      <c r="I100" s="246">
        <v>1056</v>
      </c>
      <c r="J100" s="245" t="s">
        <v>666</v>
      </c>
      <c r="K100" s="247">
        <v>126.72</v>
      </c>
    </row>
    <row r="101" spans="2:11" ht="18" customHeight="1">
      <c r="B101" s="244">
        <v>43296</v>
      </c>
      <c r="C101" s="245" t="s">
        <v>665</v>
      </c>
      <c r="D101" s="245" t="s">
        <v>669</v>
      </c>
      <c r="E101" s="245" t="s">
        <v>664</v>
      </c>
      <c r="F101" s="246">
        <v>30</v>
      </c>
      <c r="G101" s="246">
        <v>7.04</v>
      </c>
      <c r="H101" s="246">
        <v>500</v>
      </c>
      <c r="I101" s="246">
        <v>3520</v>
      </c>
      <c r="J101" s="245" t="s">
        <v>666</v>
      </c>
      <c r="K101" s="247">
        <v>422.4</v>
      </c>
    </row>
    <row r="102" spans="2:11" ht="18" customHeight="1">
      <c r="B102" s="244">
        <v>43296</v>
      </c>
      <c r="C102" s="245" t="s">
        <v>667</v>
      </c>
      <c r="D102" s="245" t="s">
        <v>523</v>
      </c>
      <c r="E102" s="245" t="s">
        <v>670</v>
      </c>
      <c r="F102" s="246">
        <v>45</v>
      </c>
      <c r="G102" s="246">
        <v>9.6</v>
      </c>
      <c r="H102" s="246">
        <v>550</v>
      </c>
      <c r="I102" s="246">
        <v>5280</v>
      </c>
      <c r="J102" s="245" t="s">
        <v>671</v>
      </c>
      <c r="K102" s="247">
        <v>633.6</v>
      </c>
    </row>
    <row r="103" spans="2:11" ht="18" customHeight="1">
      <c r="B103" s="244">
        <v>43339</v>
      </c>
      <c r="C103" s="245" t="s">
        <v>665</v>
      </c>
      <c r="D103" s="245" t="s">
        <v>517</v>
      </c>
      <c r="E103" s="245" t="s">
        <v>661</v>
      </c>
      <c r="F103" s="246">
        <v>30</v>
      </c>
      <c r="G103" s="246">
        <v>2.6</v>
      </c>
      <c r="H103" s="246">
        <v>600</v>
      </c>
      <c r="I103" s="246">
        <v>1560</v>
      </c>
      <c r="J103" s="245" t="s">
        <v>662</v>
      </c>
      <c r="K103" s="247">
        <v>187.2</v>
      </c>
    </row>
    <row r="104" spans="2:11" ht="18" customHeight="1">
      <c r="B104" s="244">
        <v>43235</v>
      </c>
      <c r="C104" s="245" t="s">
        <v>663</v>
      </c>
      <c r="D104" s="245" t="s">
        <v>669</v>
      </c>
      <c r="E104" s="245" t="s">
        <v>672</v>
      </c>
      <c r="F104" s="246">
        <v>45</v>
      </c>
      <c r="G104" s="246">
        <v>4.0199999999999996</v>
      </c>
      <c r="H104" s="246">
        <v>100</v>
      </c>
      <c r="I104" s="246">
        <v>402</v>
      </c>
      <c r="J104" s="245" t="s">
        <v>662</v>
      </c>
      <c r="K104" s="247">
        <v>48.24</v>
      </c>
    </row>
    <row r="105" spans="2:11" ht="18" customHeight="1">
      <c r="B105" s="244">
        <v>43327</v>
      </c>
      <c r="C105" s="245" t="s">
        <v>665</v>
      </c>
      <c r="D105" s="245" t="s">
        <v>517</v>
      </c>
      <c r="E105" s="245" t="s">
        <v>661</v>
      </c>
      <c r="F105" s="246">
        <v>45</v>
      </c>
      <c r="G105" s="246">
        <v>2.6</v>
      </c>
      <c r="H105" s="246">
        <v>300</v>
      </c>
      <c r="I105" s="246">
        <v>780</v>
      </c>
      <c r="J105" s="245" t="s">
        <v>430</v>
      </c>
      <c r="K105" s="247">
        <v>93.6</v>
      </c>
    </row>
    <row r="106" spans="2:11" ht="18" customHeight="1">
      <c r="B106" s="244">
        <v>43296</v>
      </c>
      <c r="C106" s="245" t="s">
        <v>667</v>
      </c>
      <c r="D106" s="245" t="s">
        <v>523</v>
      </c>
      <c r="E106" s="245" t="s">
        <v>675</v>
      </c>
      <c r="F106" s="246">
        <v>60</v>
      </c>
      <c r="G106" s="246">
        <v>4.0199999999999996</v>
      </c>
      <c r="H106" s="246">
        <v>300</v>
      </c>
      <c r="I106" s="246">
        <v>1206</v>
      </c>
      <c r="J106" s="245" t="s">
        <v>430</v>
      </c>
      <c r="K106" s="247">
        <v>144.72</v>
      </c>
    </row>
    <row r="107" spans="2:11" ht="18" customHeight="1">
      <c r="B107" s="244">
        <v>43296</v>
      </c>
      <c r="C107" s="245" t="s">
        <v>665</v>
      </c>
      <c r="D107" s="245" t="s">
        <v>19</v>
      </c>
      <c r="E107" s="245" t="s">
        <v>664</v>
      </c>
      <c r="F107" s="246">
        <v>45</v>
      </c>
      <c r="G107" s="246">
        <v>7.04</v>
      </c>
      <c r="H107" s="246">
        <v>500</v>
      </c>
      <c r="I107" s="246">
        <v>3520</v>
      </c>
      <c r="J107" s="245" t="s">
        <v>662</v>
      </c>
      <c r="K107" s="247">
        <v>422.4</v>
      </c>
    </row>
    <row r="108" spans="2:11" ht="18" customHeight="1">
      <c r="B108" s="244">
        <v>43296</v>
      </c>
      <c r="C108" s="245" t="s">
        <v>663</v>
      </c>
      <c r="D108" s="245" t="s">
        <v>517</v>
      </c>
      <c r="E108" s="245" t="s">
        <v>672</v>
      </c>
      <c r="F108" s="246">
        <v>45</v>
      </c>
      <c r="G108" s="246">
        <v>4.0199999999999996</v>
      </c>
      <c r="H108" s="246">
        <v>200</v>
      </c>
      <c r="I108" s="246">
        <v>804</v>
      </c>
      <c r="J108" s="245" t="s">
        <v>662</v>
      </c>
      <c r="K108" s="247">
        <v>96.48</v>
      </c>
    </row>
    <row r="109" spans="2:11" ht="18" customHeight="1">
      <c r="B109" s="244">
        <v>43296</v>
      </c>
      <c r="C109" s="245" t="s">
        <v>665</v>
      </c>
      <c r="D109" s="245" t="s">
        <v>523</v>
      </c>
      <c r="E109" s="245" t="s">
        <v>673</v>
      </c>
      <c r="F109" s="246">
        <v>60</v>
      </c>
      <c r="G109" s="246">
        <v>5.56</v>
      </c>
      <c r="H109" s="246">
        <v>100</v>
      </c>
      <c r="I109" s="246">
        <v>556</v>
      </c>
      <c r="J109" s="245" t="s">
        <v>430</v>
      </c>
      <c r="K109" s="247">
        <v>66.72</v>
      </c>
    </row>
    <row r="110" spans="2:11" ht="18" customHeight="1">
      <c r="B110" s="244">
        <v>43276</v>
      </c>
      <c r="C110" s="245" t="s">
        <v>667</v>
      </c>
      <c r="D110" s="245" t="s">
        <v>517</v>
      </c>
      <c r="E110" s="245" t="s">
        <v>668</v>
      </c>
      <c r="F110" s="246">
        <v>45</v>
      </c>
      <c r="G110" s="246">
        <v>4.0199999999999996</v>
      </c>
      <c r="H110" s="246">
        <v>50</v>
      </c>
      <c r="I110" s="246">
        <v>201</v>
      </c>
      <c r="J110" s="245" t="s">
        <v>662</v>
      </c>
      <c r="K110" s="247">
        <v>24.12</v>
      </c>
    </row>
    <row r="111" spans="2:11" ht="18" customHeight="1">
      <c r="B111" s="244">
        <v>43276</v>
      </c>
      <c r="C111" s="245" t="s">
        <v>665</v>
      </c>
      <c r="D111" s="245" t="s">
        <v>19</v>
      </c>
      <c r="E111" s="245" t="s">
        <v>668</v>
      </c>
      <c r="F111" s="246">
        <v>45</v>
      </c>
      <c r="G111" s="246">
        <v>5.56</v>
      </c>
      <c r="H111" s="246">
        <v>200</v>
      </c>
      <c r="I111" s="246">
        <v>1112</v>
      </c>
      <c r="J111" s="245" t="s">
        <v>662</v>
      </c>
      <c r="K111" s="247">
        <v>133.44</v>
      </c>
    </row>
    <row r="112" spans="2:11" ht="18" customHeight="1">
      <c r="B112" s="244">
        <v>43247</v>
      </c>
      <c r="C112" s="245" t="s">
        <v>663</v>
      </c>
      <c r="D112" s="245" t="s">
        <v>517</v>
      </c>
      <c r="E112" s="245" t="s">
        <v>674</v>
      </c>
      <c r="F112" s="246">
        <v>45</v>
      </c>
      <c r="G112" s="246">
        <v>2.77</v>
      </c>
      <c r="H112" s="246">
        <v>40</v>
      </c>
      <c r="I112" s="246">
        <v>110.8</v>
      </c>
      <c r="J112" s="245" t="s">
        <v>662</v>
      </c>
      <c r="K112" s="247">
        <v>13.295999999999999</v>
      </c>
    </row>
    <row r="113" spans="1:12" ht="18" customHeight="1">
      <c r="B113" s="244">
        <v>43296</v>
      </c>
      <c r="C113" s="245" t="s">
        <v>663</v>
      </c>
      <c r="D113" s="245" t="s">
        <v>669</v>
      </c>
      <c r="E113" s="245" t="s">
        <v>668</v>
      </c>
      <c r="F113" s="246">
        <v>30</v>
      </c>
      <c r="G113" s="246">
        <v>4.0199999999999996</v>
      </c>
      <c r="H113" s="246">
        <v>100</v>
      </c>
      <c r="I113" s="246">
        <v>402</v>
      </c>
      <c r="J113" s="245" t="s">
        <v>662</v>
      </c>
      <c r="K113" s="247">
        <v>48.24</v>
      </c>
    </row>
    <row r="114" spans="1:12" ht="18" customHeight="1">
      <c r="B114" s="244">
        <v>43327</v>
      </c>
      <c r="C114" s="245" t="s">
        <v>665</v>
      </c>
      <c r="D114" s="245" t="s">
        <v>517</v>
      </c>
      <c r="E114" s="245" t="s">
        <v>661</v>
      </c>
      <c r="F114" s="246">
        <v>45</v>
      </c>
      <c r="G114" s="246">
        <v>2.6</v>
      </c>
      <c r="H114" s="246">
        <v>300</v>
      </c>
      <c r="I114" s="246">
        <v>780</v>
      </c>
      <c r="J114" s="245" t="s">
        <v>430</v>
      </c>
      <c r="K114" s="247">
        <v>93.6</v>
      </c>
    </row>
    <row r="115" spans="1:12" ht="18" customHeight="1">
      <c r="B115" s="244">
        <v>43296</v>
      </c>
      <c r="C115" s="245" t="s">
        <v>667</v>
      </c>
      <c r="D115" s="245" t="s">
        <v>523</v>
      </c>
      <c r="E115" s="245" t="s">
        <v>668</v>
      </c>
      <c r="F115" s="246">
        <v>45</v>
      </c>
      <c r="G115" s="246">
        <v>4.0199999999999996</v>
      </c>
      <c r="H115" s="246">
        <v>300</v>
      </c>
      <c r="I115" s="246">
        <v>1206</v>
      </c>
      <c r="J115" s="245" t="s">
        <v>430</v>
      </c>
      <c r="K115" s="247">
        <v>144.72</v>
      </c>
    </row>
    <row r="116" spans="1:12" ht="18" customHeight="1">
      <c r="B116" s="244">
        <v>43235</v>
      </c>
      <c r="C116" s="245" t="s">
        <v>665</v>
      </c>
      <c r="D116" s="245" t="s">
        <v>19</v>
      </c>
      <c r="E116" s="245" t="s">
        <v>664</v>
      </c>
      <c r="F116" s="246">
        <v>60</v>
      </c>
      <c r="G116" s="246">
        <v>7.04</v>
      </c>
      <c r="H116" s="246">
        <v>500</v>
      </c>
      <c r="I116" s="246">
        <v>3520</v>
      </c>
      <c r="J116" s="245" t="s">
        <v>662</v>
      </c>
      <c r="K116" s="247">
        <v>422.4</v>
      </c>
    </row>
    <row r="117" spans="1:12" ht="18" customHeight="1">
      <c r="B117" s="244">
        <v>43235</v>
      </c>
      <c r="C117" s="245" t="s">
        <v>663</v>
      </c>
      <c r="D117" s="245" t="s">
        <v>517</v>
      </c>
      <c r="E117" s="245" t="s">
        <v>672</v>
      </c>
      <c r="F117" s="246">
        <v>45</v>
      </c>
      <c r="G117" s="246">
        <v>4.0199999999999996</v>
      </c>
      <c r="H117" s="246">
        <v>200</v>
      </c>
      <c r="I117" s="246">
        <v>804</v>
      </c>
      <c r="J117" s="245" t="s">
        <v>662</v>
      </c>
      <c r="K117" s="247">
        <v>96.48</v>
      </c>
    </row>
    <row r="118" spans="1:12" ht="18" customHeight="1">
      <c r="B118" s="244">
        <v>43339</v>
      </c>
      <c r="C118" s="245" t="s">
        <v>665</v>
      </c>
      <c r="D118" s="245" t="s">
        <v>517</v>
      </c>
      <c r="E118" s="245" t="s">
        <v>661</v>
      </c>
      <c r="F118" s="246">
        <v>60</v>
      </c>
      <c r="G118" s="246">
        <v>2.6</v>
      </c>
      <c r="H118" s="246">
        <v>600</v>
      </c>
      <c r="I118" s="246">
        <v>1560</v>
      </c>
      <c r="J118" s="245" t="s">
        <v>662</v>
      </c>
      <c r="K118" s="247">
        <v>187.2</v>
      </c>
    </row>
    <row r="119" spans="1:12" ht="18" customHeight="1">
      <c r="B119" s="244">
        <v>43235</v>
      </c>
      <c r="C119" s="245" t="s">
        <v>663</v>
      </c>
      <c r="D119" s="245" t="s">
        <v>669</v>
      </c>
      <c r="E119" s="245" t="s">
        <v>672</v>
      </c>
      <c r="F119" s="246">
        <v>45</v>
      </c>
      <c r="G119" s="246">
        <v>4.0199999999999996</v>
      </c>
      <c r="H119" s="246">
        <v>100</v>
      </c>
      <c r="I119" s="246">
        <v>402</v>
      </c>
      <c r="J119" s="245" t="s">
        <v>662</v>
      </c>
      <c r="K119" s="247">
        <v>48.24</v>
      </c>
    </row>
    <row r="120" spans="1:12" ht="18" customHeight="1" thickBot="1">
      <c r="B120" s="248">
        <v>43327</v>
      </c>
      <c r="C120" s="249" t="s">
        <v>665</v>
      </c>
      <c r="D120" s="249" t="s">
        <v>517</v>
      </c>
      <c r="E120" s="249" t="s">
        <v>661</v>
      </c>
      <c r="F120" s="250">
        <v>45</v>
      </c>
      <c r="G120" s="250">
        <v>2.6</v>
      </c>
      <c r="H120" s="250">
        <v>300</v>
      </c>
      <c r="I120" s="250">
        <v>780</v>
      </c>
      <c r="J120" s="249" t="s">
        <v>430</v>
      </c>
      <c r="K120" s="251">
        <v>93.6</v>
      </c>
    </row>
    <row r="122" spans="1:12" s="334" customFormat="1" ht="18" hidden="1" customHeight="1" thickBot="1">
      <c r="A122" s="252"/>
      <c r="B122" s="252"/>
      <c r="C122" s="252"/>
      <c r="D122" s="252"/>
      <c r="E122" s="252"/>
      <c r="F122" s="252"/>
      <c r="G122" s="252"/>
      <c r="H122" s="252"/>
      <c r="I122" s="252"/>
      <c r="J122" s="252"/>
      <c r="K122" s="252"/>
      <c r="L122" s="252"/>
    </row>
    <row r="123" spans="1:12" ht="18" hidden="1" customHeight="1">
      <c r="B123" s="236" t="s">
        <v>677</v>
      </c>
      <c r="C123" s="253"/>
      <c r="D123" s="253"/>
      <c r="E123" s="253"/>
      <c r="F123" s="253"/>
      <c r="G123" s="253"/>
      <c r="H123" s="253"/>
      <c r="I123" s="253"/>
      <c r="J123" s="253"/>
      <c r="K123" s="254"/>
    </row>
    <row r="124" spans="1:12" ht="18" hidden="1" customHeight="1" thickBot="1">
      <c r="B124" s="255" t="s">
        <v>565</v>
      </c>
      <c r="C124" s="256" t="s">
        <v>678</v>
      </c>
      <c r="D124" s="256" t="s">
        <v>676</v>
      </c>
      <c r="E124" s="256" t="s">
        <v>546</v>
      </c>
      <c r="F124" s="256" t="s">
        <v>679</v>
      </c>
      <c r="G124" s="256" t="s">
        <v>680</v>
      </c>
      <c r="H124" s="256" t="s">
        <v>681</v>
      </c>
      <c r="I124" s="256" t="s">
        <v>682</v>
      </c>
      <c r="J124" s="256" t="s">
        <v>683</v>
      </c>
      <c r="K124" s="257" t="s">
        <v>684</v>
      </c>
    </row>
    <row r="125" spans="1:12" ht="18" hidden="1" customHeight="1"/>
    <row r="126" spans="1:12" s="335" customFormat="1" ht="18" hidden="1" customHeight="1">
      <c r="A126" s="258"/>
      <c r="B126" s="258"/>
      <c r="C126" s="258"/>
      <c r="D126" s="258"/>
      <c r="E126" s="258"/>
      <c r="F126" s="258"/>
      <c r="G126" s="258"/>
      <c r="H126" s="258"/>
      <c r="I126" s="258"/>
      <c r="J126" s="258"/>
      <c r="K126" s="258"/>
      <c r="L126" s="258"/>
    </row>
    <row r="127" spans="1:12" ht="18" hidden="1" customHeight="1">
      <c r="B127" s="845" t="s">
        <v>685</v>
      </c>
      <c r="C127" s="845"/>
      <c r="D127" s="845"/>
      <c r="E127" s="845"/>
      <c r="F127" s="845"/>
      <c r="G127" s="845"/>
    </row>
    <row r="128" spans="1:12" ht="18" hidden="1" customHeight="1">
      <c r="B128" s="845"/>
      <c r="C128" s="845"/>
      <c r="D128" s="845"/>
      <c r="E128" s="845"/>
      <c r="F128" s="845"/>
      <c r="G128" s="845"/>
    </row>
    <row r="129" spans="2:5" ht="18" hidden="1" customHeight="1" thickBot="1"/>
    <row r="130" spans="2:5" ht="18" hidden="1" customHeight="1">
      <c r="B130" s="236" t="s">
        <v>598</v>
      </c>
      <c r="C130" s="237" t="s">
        <v>0</v>
      </c>
      <c r="D130" s="238" t="s">
        <v>112</v>
      </c>
      <c r="E130" s="259" t="s">
        <v>330</v>
      </c>
    </row>
    <row r="131" spans="2:5" ht="18" hidden="1" customHeight="1">
      <c r="B131" s="240">
        <f ca="1">INT(TODAY() - (100 * RAND()))</f>
        <v>46012</v>
      </c>
      <c r="C131" s="241" t="str">
        <f ca="1">CHOOSE(1 + FLOOR(COLUMNS($B$124:$F$124) * RAND(), 1), $B$124, $C$124, $D$124, $E$124, $F$124)</f>
        <v>Alice</v>
      </c>
      <c r="D131" s="260">
        <f ca="1">INT(200 + (80 * RAND()))</f>
        <v>210</v>
      </c>
      <c r="E131" s="261">
        <f ca="1" xml:space="preserve"> ROUND(40000 + (10000 * RAND()), 2)</f>
        <v>49713</v>
      </c>
    </row>
    <row r="132" spans="2:5" ht="18" hidden="1" customHeight="1">
      <c r="B132" s="244">
        <f ca="1">B131 + 1</f>
        <v>46013</v>
      </c>
      <c r="C132" s="245" t="str">
        <f t="shared" ref="C132:C145" ca="1" si="0">CHOOSE(1 + FLOOR(COLUMNS($B$124:$F$124) * RAND(), 1), $B$124, $C$124, $D$124, $E$124, $F$124)</f>
        <v>Carlos</v>
      </c>
      <c r="D132" s="262">
        <f t="shared" ref="D132:D145" ca="1" si="1">INT(200 + (80 * RAND()))</f>
        <v>241</v>
      </c>
      <c r="E132" s="263">
        <f t="shared" ref="E132:E145" ca="1" si="2" xml:space="preserve"> ROUND(40000 + (10000 * RAND()), 2)</f>
        <v>47999.42</v>
      </c>
    </row>
    <row r="133" spans="2:5" ht="18" hidden="1" customHeight="1">
      <c r="B133" s="244">
        <f t="shared" ref="B133:B145" ca="1" si="3">B132 + 1</f>
        <v>46014</v>
      </c>
      <c r="C133" s="245" t="str">
        <f t="shared" ca="1" si="0"/>
        <v>Carolina</v>
      </c>
      <c r="D133" s="262">
        <f t="shared" ca="1" si="1"/>
        <v>267</v>
      </c>
      <c r="E133" s="263">
        <f t="shared" ca="1" si="2"/>
        <v>45452.69</v>
      </c>
    </row>
    <row r="134" spans="2:5" ht="18" hidden="1" customHeight="1">
      <c r="B134" s="244">
        <f t="shared" ca="1" si="3"/>
        <v>46015</v>
      </c>
      <c r="C134" s="245" t="str">
        <f t="shared" ca="1" si="0"/>
        <v>Carolina</v>
      </c>
      <c r="D134" s="262">
        <f t="shared" ca="1" si="1"/>
        <v>251</v>
      </c>
      <c r="E134" s="263">
        <f t="shared" ca="1" si="2"/>
        <v>40339.440000000002</v>
      </c>
    </row>
    <row r="135" spans="2:5" ht="18" hidden="1" customHeight="1">
      <c r="B135" s="244">
        <f t="shared" ca="1" si="3"/>
        <v>46016</v>
      </c>
      <c r="C135" s="245" t="str">
        <f t="shared" ca="1" si="0"/>
        <v>Ana</v>
      </c>
      <c r="D135" s="262">
        <f t="shared" ca="1" si="1"/>
        <v>261</v>
      </c>
      <c r="E135" s="263">
        <f t="shared" ca="1" si="2"/>
        <v>40526</v>
      </c>
    </row>
    <row r="136" spans="2:5" ht="18" hidden="1" customHeight="1">
      <c r="B136" s="244">
        <f t="shared" ca="1" si="3"/>
        <v>46017</v>
      </c>
      <c r="C136" s="245" t="str">
        <f t="shared" ca="1" si="0"/>
        <v>Alice</v>
      </c>
      <c r="D136" s="262">
        <f t="shared" ca="1" si="1"/>
        <v>248</v>
      </c>
      <c r="E136" s="263">
        <f t="shared" ca="1" si="2"/>
        <v>44101.96</v>
      </c>
    </row>
    <row r="137" spans="2:5" ht="18" hidden="1" customHeight="1">
      <c r="B137" s="244">
        <f t="shared" ca="1" si="3"/>
        <v>46018</v>
      </c>
      <c r="C137" s="245" t="str">
        <f t="shared" ca="1" si="0"/>
        <v>Carlos</v>
      </c>
      <c r="D137" s="262">
        <f t="shared" ca="1" si="1"/>
        <v>227</v>
      </c>
      <c r="E137" s="263">
        <f t="shared" ca="1" si="2"/>
        <v>42003.360000000001</v>
      </c>
    </row>
    <row r="138" spans="2:5" ht="18" hidden="1" customHeight="1">
      <c r="B138" s="244">
        <f t="shared" ca="1" si="3"/>
        <v>46019</v>
      </c>
      <c r="C138" s="245" t="str">
        <f t="shared" ca="1" si="0"/>
        <v>Ana</v>
      </c>
      <c r="D138" s="262">
        <f t="shared" ca="1" si="1"/>
        <v>248</v>
      </c>
      <c r="E138" s="263">
        <f t="shared" ca="1" si="2"/>
        <v>45069.75</v>
      </c>
    </row>
    <row r="139" spans="2:5" ht="18" hidden="1" customHeight="1">
      <c r="B139" s="244">
        <f t="shared" ca="1" si="3"/>
        <v>46020</v>
      </c>
      <c r="C139" s="245" t="str">
        <f t="shared" ca="1" si="0"/>
        <v>Alice</v>
      </c>
      <c r="D139" s="262">
        <f t="shared" ca="1" si="1"/>
        <v>260</v>
      </c>
      <c r="E139" s="263">
        <f t="shared" ca="1" si="2"/>
        <v>46424.26</v>
      </c>
    </row>
    <row r="140" spans="2:5" ht="18" hidden="1" customHeight="1">
      <c r="B140" s="244">
        <f t="shared" ca="1" si="3"/>
        <v>46021</v>
      </c>
      <c r="C140" s="245" t="str">
        <f t="shared" ca="1" si="0"/>
        <v>Carolina</v>
      </c>
      <c r="D140" s="262">
        <f t="shared" ca="1" si="1"/>
        <v>246</v>
      </c>
      <c r="E140" s="263">
        <f t="shared" ca="1" si="2"/>
        <v>49709.9</v>
      </c>
    </row>
    <row r="141" spans="2:5" ht="18" hidden="1" customHeight="1">
      <c r="B141" s="244">
        <f t="shared" ca="1" si="3"/>
        <v>46022</v>
      </c>
      <c r="C141" s="245" t="str">
        <f t="shared" ca="1" si="0"/>
        <v>Carlos</v>
      </c>
      <c r="D141" s="262">
        <f t="shared" ca="1" si="1"/>
        <v>234</v>
      </c>
      <c r="E141" s="263">
        <f t="shared" ca="1" si="2"/>
        <v>43608.27</v>
      </c>
    </row>
    <row r="142" spans="2:5" ht="18" hidden="1" customHeight="1">
      <c r="B142" s="244">
        <f t="shared" ca="1" si="3"/>
        <v>46023</v>
      </c>
      <c r="C142" s="245" t="str">
        <f t="shared" ca="1" si="0"/>
        <v>Carolina</v>
      </c>
      <c r="D142" s="262">
        <f t="shared" ca="1" si="1"/>
        <v>250</v>
      </c>
      <c r="E142" s="263">
        <f t="shared" ca="1" si="2"/>
        <v>40718.089999999997</v>
      </c>
    </row>
    <row r="143" spans="2:5" ht="18" hidden="1" customHeight="1">
      <c r="B143" s="244">
        <f t="shared" ca="1" si="3"/>
        <v>46024</v>
      </c>
      <c r="C143" s="245" t="str">
        <f t="shared" ca="1" si="0"/>
        <v>Carlos</v>
      </c>
      <c r="D143" s="262">
        <f t="shared" ca="1" si="1"/>
        <v>213</v>
      </c>
      <c r="E143" s="263">
        <f t="shared" ca="1" si="2"/>
        <v>40548.94</v>
      </c>
    </row>
    <row r="144" spans="2:5" ht="18" hidden="1" customHeight="1">
      <c r="B144" s="244">
        <f t="shared" ca="1" si="3"/>
        <v>46025</v>
      </c>
      <c r="C144" s="245" t="str">
        <f t="shared" ca="1" si="0"/>
        <v>David</v>
      </c>
      <c r="D144" s="262">
        <f t="shared" ca="1" si="1"/>
        <v>254</v>
      </c>
      <c r="E144" s="263">
        <f t="shared" ca="1" si="2"/>
        <v>46240.29</v>
      </c>
    </row>
    <row r="145" spans="2:5" ht="18" hidden="1" customHeight="1" thickBot="1">
      <c r="B145" s="248">
        <f t="shared" ca="1" si="3"/>
        <v>46026</v>
      </c>
      <c r="C145" s="249" t="str">
        <f t="shared" ca="1" si="0"/>
        <v>Alice</v>
      </c>
      <c r="D145" s="264">
        <f t="shared" ca="1" si="1"/>
        <v>233</v>
      </c>
      <c r="E145" s="265">
        <f t="shared" ca="1" si="2"/>
        <v>46322.31</v>
      </c>
    </row>
    <row r="146" spans="2:5" ht="18" hidden="1" customHeight="1"/>
    <row r="147" spans="2:5" ht="18" hidden="1" customHeight="1"/>
  </sheetData>
  <mergeCells count="1">
    <mergeCell ref="B127:G128"/>
  </mergeCells>
  <pageMargins left="0.78740157499999996" right="0.78740157499999996" top="0.984251969" bottom="0.984251969" header="0.5" footer="0.5"/>
  <pageSetup paperSize="9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70C0"/>
  </sheetPr>
  <dimension ref="B1:K142"/>
  <sheetViews>
    <sheetView topLeftCell="A16" workbookViewId="0">
      <selection activeCell="F15" sqref="F15"/>
    </sheetView>
  </sheetViews>
  <sheetFormatPr defaultRowHeight="18" customHeight="1"/>
  <cols>
    <col min="1" max="1" width="3.42578125" style="235" customWidth="1"/>
    <col min="2" max="11" width="12.140625" style="235" customWidth="1"/>
    <col min="12" max="12" width="3.42578125" style="235" customWidth="1"/>
    <col min="13" max="256" width="9.140625" style="235"/>
    <col min="257" max="257" width="3.42578125" style="235" customWidth="1"/>
    <col min="258" max="267" width="12.140625" style="235" customWidth="1"/>
    <col min="268" max="268" width="3.42578125" style="235" customWidth="1"/>
    <col min="269" max="512" width="9.140625" style="235"/>
    <col min="513" max="513" width="3.42578125" style="235" customWidth="1"/>
    <col min="514" max="523" width="12.140625" style="235" customWidth="1"/>
    <col min="524" max="524" width="3.42578125" style="235" customWidth="1"/>
    <col min="525" max="768" width="9.140625" style="235"/>
    <col min="769" max="769" width="3.42578125" style="235" customWidth="1"/>
    <col min="770" max="779" width="12.140625" style="235" customWidth="1"/>
    <col min="780" max="780" width="3.42578125" style="235" customWidth="1"/>
    <col min="781" max="1024" width="9.140625" style="235"/>
    <col min="1025" max="1025" width="3.42578125" style="235" customWidth="1"/>
    <col min="1026" max="1035" width="12.140625" style="235" customWidth="1"/>
    <col min="1036" max="1036" width="3.42578125" style="235" customWidth="1"/>
    <col min="1037" max="1280" width="9.140625" style="235"/>
    <col min="1281" max="1281" width="3.42578125" style="235" customWidth="1"/>
    <col min="1282" max="1291" width="12.140625" style="235" customWidth="1"/>
    <col min="1292" max="1292" width="3.42578125" style="235" customWidth="1"/>
    <col min="1293" max="1536" width="9.140625" style="235"/>
    <col min="1537" max="1537" width="3.42578125" style="235" customWidth="1"/>
    <col min="1538" max="1547" width="12.140625" style="235" customWidth="1"/>
    <col min="1548" max="1548" width="3.42578125" style="235" customWidth="1"/>
    <col min="1549" max="1792" width="9.140625" style="235"/>
    <col min="1793" max="1793" width="3.42578125" style="235" customWidth="1"/>
    <col min="1794" max="1803" width="12.140625" style="235" customWidth="1"/>
    <col min="1804" max="1804" width="3.42578125" style="235" customWidth="1"/>
    <col min="1805" max="2048" width="9.140625" style="235"/>
    <col min="2049" max="2049" width="3.42578125" style="235" customWidth="1"/>
    <col min="2050" max="2059" width="12.140625" style="235" customWidth="1"/>
    <col min="2060" max="2060" width="3.42578125" style="235" customWidth="1"/>
    <col min="2061" max="2304" width="9.140625" style="235"/>
    <col min="2305" max="2305" width="3.42578125" style="235" customWidth="1"/>
    <col min="2306" max="2315" width="12.140625" style="235" customWidth="1"/>
    <col min="2316" max="2316" width="3.42578125" style="235" customWidth="1"/>
    <col min="2317" max="2560" width="9.140625" style="235"/>
    <col min="2561" max="2561" width="3.42578125" style="235" customWidth="1"/>
    <col min="2562" max="2571" width="12.140625" style="235" customWidth="1"/>
    <col min="2572" max="2572" width="3.42578125" style="235" customWidth="1"/>
    <col min="2573" max="2816" width="9.140625" style="235"/>
    <col min="2817" max="2817" width="3.42578125" style="235" customWidth="1"/>
    <col min="2818" max="2827" width="12.140625" style="235" customWidth="1"/>
    <col min="2828" max="2828" width="3.42578125" style="235" customWidth="1"/>
    <col min="2829" max="3072" width="9.140625" style="235"/>
    <col min="3073" max="3073" width="3.42578125" style="235" customWidth="1"/>
    <col min="3074" max="3083" width="12.140625" style="235" customWidth="1"/>
    <col min="3084" max="3084" width="3.42578125" style="235" customWidth="1"/>
    <col min="3085" max="3328" width="9.140625" style="235"/>
    <col min="3329" max="3329" width="3.42578125" style="235" customWidth="1"/>
    <col min="3330" max="3339" width="12.140625" style="235" customWidth="1"/>
    <col min="3340" max="3340" width="3.42578125" style="235" customWidth="1"/>
    <col min="3341" max="3584" width="9.140625" style="235"/>
    <col min="3585" max="3585" width="3.42578125" style="235" customWidth="1"/>
    <col min="3586" max="3595" width="12.140625" style="235" customWidth="1"/>
    <col min="3596" max="3596" width="3.42578125" style="235" customWidth="1"/>
    <col min="3597" max="3840" width="9.140625" style="235"/>
    <col min="3841" max="3841" width="3.42578125" style="235" customWidth="1"/>
    <col min="3842" max="3851" width="12.140625" style="235" customWidth="1"/>
    <col min="3852" max="3852" width="3.42578125" style="235" customWidth="1"/>
    <col min="3853" max="4096" width="9.140625" style="235"/>
    <col min="4097" max="4097" width="3.42578125" style="235" customWidth="1"/>
    <col min="4098" max="4107" width="12.140625" style="235" customWidth="1"/>
    <col min="4108" max="4108" width="3.42578125" style="235" customWidth="1"/>
    <col min="4109" max="4352" width="9.140625" style="235"/>
    <col min="4353" max="4353" width="3.42578125" style="235" customWidth="1"/>
    <col min="4354" max="4363" width="12.140625" style="235" customWidth="1"/>
    <col min="4364" max="4364" width="3.42578125" style="235" customWidth="1"/>
    <col min="4365" max="4608" width="9.140625" style="235"/>
    <col min="4609" max="4609" width="3.42578125" style="235" customWidth="1"/>
    <col min="4610" max="4619" width="12.140625" style="235" customWidth="1"/>
    <col min="4620" max="4620" width="3.42578125" style="235" customWidth="1"/>
    <col min="4621" max="4864" width="9.140625" style="235"/>
    <col min="4865" max="4865" width="3.42578125" style="235" customWidth="1"/>
    <col min="4866" max="4875" width="12.140625" style="235" customWidth="1"/>
    <col min="4876" max="4876" width="3.42578125" style="235" customWidth="1"/>
    <col min="4877" max="5120" width="9.140625" style="235"/>
    <col min="5121" max="5121" width="3.42578125" style="235" customWidth="1"/>
    <col min="5122" max="5131" width="12.140625" style="235" customWidth="1"/>
    <col min="5132" max="5132" width="3.42578125" style="235" customWidth="1"/>
    <col min="5133" max="5376" width="9.140625" style="235"/>
    <col min="5377" max="5377" width="3.42578125" style="235" customWidth="1"/>
    <col min="5378" max="5387" width="12.140625" style="235" customWidth="1"/>
    <col min="5388" max="5388" width="3.42578125" style="235" customWidth="1"/>
    <col min="5389" max="5632" width="9.140625" style="235"/>
    <col min="5633" max="5633" width="3.42578125" style="235" customWidth="1"/>
    <col min="5634" max="5643" width="12.140625" style="235" customWidth="1"/>
    <col min="5644" max="5644" width="3.42578125" style="235" customWidth="1"/>
    <col min="5645" max="5888" width="9.140625" style="235"/>
    <col min="5889" max="5889" width="3.42578125" style="235" customWidth="1"/>
    <col min="5890" max="5899" width="12.140625" style="235" customWidth="1"/>
    <col min="5900" max="5900" width="3.42578125" style="235" customWidth="1"/>
    <col min="5901" max="6144" width="9.140625" style="235"/>
    <col min="6145" max="6145" width="3.42578125" style="235" customWidth="1"/>
    <col min="6146" max="6155" width="12.140625" style="235" customWidth="1"/>
    <col min="6156" max="6156" width="3.42578125" style="235" customWidth="1"/>
    <col min="6157" max="6400" width="9.140625" style="235"/>
    <col min="6401" max="6401" width="3.42578125" style="235" customWidth="1"/>
    <col min="6402" max="6411" width="12.140625" style="235" customWidth="1"/>
    <col min="6412" max="6412" width="3.42578125" style="235" customWidth="1"/>
    <col min="6413" max="6656" width="9.140625" style="235"/>
    <col min="6657" max="6657" width="3.42578125" style="235" customWidth="1"/>
    <col min="6658" max="6667" width="12.140625" style="235" customWidth="1"/>
    <col min="6668" max="6668" width="3.42578125" style="235" customWidth="1"/>
    <col min="6669" max="6912" width="9.140625" style="235"/>
    <col min="6913" max="6913" width="3.42578125" style="235" customWidth="1"/>
    <col min="6914" max="6923" width="12.140625" style="235" customWidth="1"/>
    <col min="6924" max="6924" width="3.42578125" style="235" customWidth="1"/>
    <col min="6925" max="7168" width="9.140625" style="235"/>
    <col min="7169" max="7169" width="3.42578125" style="235" customWidth="1"/>
    <col min="7170" max="7179" width="12.140625" style="235" customWidth="1"/>
    <col min="7180" max="7180" width="3.42578125" style="235" customWidth="1"/>
    <col min="7181" max="7424" width="9.140625" style="235"/>
    <col min="7425" max="7425" width="3.42578125" style="235" customWidth="1"/>
    <col min="7426" max="7435" width="12.140625" style="235" customWidth="1"/>
    <col min="7436" max="7436" width="3.42578125" style="235" customWidth="1"/>
    <col min="7437" max="7680" width="9.140625" style="235"/>
    <col min="7681" max="7681" width="3.42578125" style="235" customWidth="1"/>
    <col min="7682" max="7691" width="12.140625" style="235" customWidth="1"/>
    <col min="7692" max="7692" width="3.42578125" style="235" customWidth="1"/>
    <col min="7693" max="7936" width="9.140625" style="235"/>
    <col min="7937" max="7937" width="3.42578125" style="235" customWidth="1"/>
    <col min="7938" max="7947" width="12.140625" style="235" customWidth="1"/>
    <col min="7948" max="7948" width="3.42578125" style="235" customWidth="1"/>
    <col min="7949" max="8192" width="9.140625" style="235"/>
    <col min="8193" max="8193" width="3.42578125" style="235" customWidth="1"/>
    <col min="8194" max="8203" width="12.140625" style="235" customWidth="1"/>
    <col min="8204" max="8204" width="3.42578125" style="235" customWidth="1"/>
    <col min="8205" max="8448" width="9.140625" style="235"/>
    <col min="8449" max="8449" width="3.42578125" style="235" customWidth="1"/>
    <col min="8450" max="8459" width="12.140625" style="235" customWidth="1"/>
    <col min="8460" max="8460" width="3.42578125" style="235" customWidth="1"/>
    <col min="8461" max="8704" width="9.140625" style="235"/>
    <col min="8705" max="8705" width="3.42578125" style="235" customWidth="1"/>
    <col min="8706" max="8715" width="12.140625" style="235" customWidth="1"/>
    <col min="8716" max="8716" width="3.42578125" style="235" customWidth="1"/>
    <col min="8717" max="8960" width="9.140625" style="235"/>
    <col min="8961" max="8961" width="3.42578125" style="235" customWidth="1"/>
    <col min="8962" max="8971" width="12.140625" style="235" customWidth="1"/>
    <col min="8972" max="8972" width="3.42578125" style="235" customWidth="1"/>
    <col min="8973" max="9216" width="9.140625" style="235"/>
    <col min="9217" max="9217" width="3.42578125" style="235" customWidth="1"/>
    <col min="9218" max="9227" width="12.140625" style="235" customWidth="1"/>
    <col min="9228" max="9228" width="3.42578125" style="235" customWidth="1"/>
    <col min="9229" max="9472" width="9.140625" style="235"/>
    <col min="9473" max="9473" width="3.42578125" style="235" customWidth="1"/>
    <col min="9474" max="9483" width="12.140625" style="235" customWidth="1"/>
    <col min="9484" max="9484" width="3.42578125" style="235" customWidth="1"/>
    <col min="9485" max="9728" width="9.140625" style="235"/>
    <col min="9729" max="9729" width="3.42578125" style="235" customWidth="1"/>
    <col min="9730" max="9739" width="12.140625" style="235" customWidth="1"/>
    <col min="9740" max="9740" width="3.42578125" style="235" customWidth="1"/>
    <col min="9741" max="9984" width="9.140625" style="235"/>
    <col min="9985" max="9985" width="3.42578125" style="235" customWidth="1"/>
    <col min="9986" max="9995" width="12.140625" style="235" customWidth="1"/>
    <col min="9996" max="9996" width="3.42578125" style="235" customWidth="1"/>
    <col min="9997" max="10240" width="9.140625" style="235"/>
    <col min="10241" max="10241" width="3.42578125" style="235" customWidth="1"/>
    <col min="10242" max="10251" width="12.140625" style="235" customWidth="1"/>
    <col min="10252" max="10252" width="3.42578125" style="235" customWidth="1"/>
    <col min="10253" max="10496" width="9.140625" style="235"/>
    <col min="10497" max="10497" width="3.42578125" style="235" customWidth="1"/>
    <col min="10498" max="10507" width="12.140625" style="235" customWidth="1"/>
    <col min="10508" max="10508" width="3.42578125" style="235" customWidth="1"/>
    <col min="10509" max="10752" width="9.140625" style="235"/>
    <col min="10753" max="10753" width="3.42578125" style="235" customWidth="1"/>
    <col min="10754" max="10763" width="12.140625" style="235" customWidth="1"/>
    <col min="10764" max="10764" width="3.42578125" style="235" customWidth="1"/>
    <col min="10765" max="11008" width="9.140625" style="235"/>
    <col min="11009" max="11009" width="3.42578125" style="235" customWidth="1"/>
    <col min="11010" max="11019" width="12.140625" style="235" customWidth="1"/>
    <col min="11020" max="11020" width="3.42578125" style="235" customWidth="1"/>
    <col min="11021" max="11264" width="9.140625" style="235"/>
    <col min="11265" max="11265" width="3.42578125" style="235" customWidth="1"/>
    <col min="11266" max="11275" width="12.140625" style="235" customWidth="1"/>
    <col min="11276" max="11276" width="3.42578125" style="235" customWidth="1"/>
    <col min="11277" max="11520" width="9.140625" style="235"/>
    <col min="11521" max="11521" width="3.42578125" style="235" customWidth="1"/>
    <col min="11522" max="11531" width="12.140625" style="235" customWidth="1"/>
    <col min="11532" max="11532" width="3.42578125" style="235" customWidth="1"/>
    <col min="11533" max="11776" width="9.140625" style="235"/>
    <col min="11777" max="11777" width="3.42578125" style="235" customWidth="1"/>
    <col min="11778" max="11787" width="12.140625" style="235" customWidth="1"/>
    <col min="11788" max="11788" width="3.42578125" style="235" customWidth="1"/>
    <col min="11789" max="12032" width="9.140625" style="235"/>
    <col min="12033" max="12033" width="3.42578125" style="235" customWidth="1"/>
    <col min="12034" max="12043" width="12.140625" style="235" customWidth="1"/>
    <col min="12044" max="12044" width="3.42578125" style="235" customWidth="1"/>
    <col min="12045" max="12288" width="9.140625" style="235"/>
    <col min="12289" max="12289" width="3.42578125" style="235" customWidth="1"/>
    <col min="12290" max="12299" width="12.140625" style="235" customWidth="1"/>
    <col min="12300" max="12300" width="3.42578125" style="235" customWidth="1"/>
    <col min="12301" max="12544" width="9.140625" style="235"/>
    <col min="12545" max="12545" width="3.42578125" style="235" customWidth="1"/>
    <col min="12546" max="12555" width="12.140625" style="235" customWidth="1"/>
    <col min="12556" max="12556" width="3.42578125" style="235" customWidth="1"/>
    <col min="12557" max="12800" width="9.140625" style="235"/>
    <col min="12801" max="12801" width="3.42578125" style="235" customWidth="1"/>
    <col min="12802" max="12811" width="12.140625" style="235" customWidth="1"/>
    <col min="12812" max="12812" width="3.42578125" style="235" customWidth="1"/>
    <col min="12813" max="13056" width="9.140625" style="235"/>
    <col min="13057" max="13057" width="3.42578125" style="235" customWidth="1"/>
    <col min="13058" max="13067" width="12.140625" style="235" customWidth="1"/>
    <col min="13068" max="13068" width="3.42578125" style="235" customWidth="1"/>
    <col min="13069" max="13312" width="9.140625" style="235"/>
    <col min="13313" max="13313" width="3.42578125" style="235" customWidth="1"/>
    <col min="13314" max="13323" width="12.140625" style="235" customWidth="1"/>
    <col min="13324" max="13324" width="3.42578125" style="235" customWidth="1"/>
    <col min="13325" max="13568" width="9.140625" style="235"/>
    <col min="13569" max="13569" width="3.42578125" style="235" customWidth="1"/>
    <col min="13570" max="13579" width="12.140625" style="235" customWidth="1"/>
    <col min="13580" max="13580" width="3.42578125" style="235" customWidth="1"/>
    <col min="13581" max="13824" width="9.140625" style="235"/>
    <col min="13825" max="13825" width="3.42578125" style="235" customWidth="1"/>
    <col min="13826" max="13835" width="12.140625" style="235" customWidth="1"/>
    <col min="13836" max="13836" width="3.42578125" style="235" customWidth="1"/>
    <col min="13837" max="14080" width="9.140625" style="235"/>
    <col min="14081" max="14081" width="3.42578125" style="235" customWidth="1"/>
    <col min="14082" max="14091" width="12.140625" style="235" customWidth="1"/>
    <col min="14092" max="14092" width="3.42578125" style="235" customWidth="1"/>
    <col min="14093" max="14336" width="9.140625" style="235"/>
    <col min="14337" max="14337" width="3.42578125" style="235" customWidth="1"/>
    <col min="14338" max="14347" width="12.140625" style="235" customWidth="1"/>
    <col min="14348" max="14348" width="3.42578125" style="235" customWidth="1"/>
    <col min="14349" max="14592" width="9.140625" style="235"/>
    <col min="14593" max="14593" width="3.42578125" style="235" customWidth="1"/>
    <col min="14594" max="14603" width="12.140625" style="235" customWidth="1"/>
    <col min="14604" max="14604" width="3.42578125" style="235" customWidth="1"/>
    <col min="14605" max="14848" width="9.140625" style="235"/>
    <col min="14849" max="14849" width="3.42578125" style="235" customWidth="1"/>
    <col min="14850" max="14859" width="12.140625" style="235" customWidth="1"/>
    <col min="14860" max="14860" width="3.42578125" style="235" customWidth="1"/>
    <col min="14861" max="15104" width="9.140625" style="235"/>
    <col min="15105" max="15105" width="3.42578125" style="235" customWidth="1"/>
    <col min="15106" max="15115" width="12.140625" style="235" customWidth="1"/>
    <col min="15116" max="15116" width="3.42578125" style="235" customWidth="1"/>
    <col min="15117" max="15360" width="9.140625" style="235"/>
    <col min="15361" max="15361" width="3.42578125" style="235" customWidth="1"/>
    <col min="15362" max="15371" width="12.140625" style="235" customWidth="1"/>
    <col min="15372" max="15372" width="3.42578125" style="235" customWidth="1"/>
    <col min="15373" max="15616" width="9.140625" style="235"/>
    <col min="15617" max="15617" width="3.42578125" style="235" customWidth="1"/>
    <col min="15618" max="15627" width="12.140625" style="235" customWidth="1"/>
    <col min="15628" max="15628" width="3.42578125" style="235" customWidth="1"/>
    <col min="15629" max="15872" width="9.140625" style="235"/>
    <col min="15873" max="15873" width="3.42578125" style="235" customWidth="1"/>
    <col min="15874" max="15883" width="12.140625" style="235" customWidth="1"/>
    <col min="15884" max="15884" width="3.42578125" style="235" customWidth="1"/>
    <col min="15885" max="16128" width="9.140625" style="235"/>
    <col min="16129" max="16129" width="3.42578125" style="235" customWidth="1"/>
    <col min="16130" max="16139" width="12.140625" style="235" customWidth="1"/>
    <col min="16140" max="16140" width="3.42578125" style="235" customWidth="1"/>
    <col min="16141" max="16384" width="9.140625" style="235"/>
  </cols>
  <sheetData>
    <row r="1" spans="2:11" ht="18" customHeight="1" thickBot="1"/>
    <row r="2" spans="2:11" ht="18" customHeight="1">
      <c r="B2" s="236" t="s">
        <v>654</v>
      </c>
      <c r="C2" s="237" t="s">
        <v>445</v>
      </c>
      <c r="D2" s="237" t="s">
        <v>1</v>
      </c>
      <c r="E2" s="237" t="s">
        <v>111</v>
      </c>
      <c r="F2" s="238" t="s">
        <v>655</v>
      </c>
      <c r="G2" s="238" t="s">
        <v>656</v>
      </c>
      <c r="H2" s="238" t="s">
        <v>657</v>
      </c>
      <c r="I2" s="238" t="s">
        <v>658</v>
      </c>
      <c r="J2" s="237" t="s">
        <v>99</v>
      </c>
      <c r="K2" s="239" t="s">
        <v>659</v>
      </c>
    </row>
    <row r="3" spans="2:11" ht="18" customHeight="1">
      <c r="B3" s="240">
        <v>36717</v>
      </c>
      <c r="C3" s="241" t="s">
        <v>660</v>
      </c>
      <c r="D3" s="241" t="s">
        <v>19</v>
      </c>
      <c r="E3" s="241" t="s">
        <v>661</v>
      </c>
      <c r="F3" s="242">
        <v>60</v>
      </c>
      <c r="G3" s="242">
        <v>2.66</v>
      </c>
      <c r="H3" s="242">
        <v>1000</v>
      </c>
      <c r="I3" s="242">
        <v>2660</v>
      </c>
      <c r="J3" s="241" t="s">
        <v>662</v>
      </c>
      <c r="K3" s="243">
        <v>319.2</v>
      </c>
    </row>
    <row r="4" spans="2:11" ht="18" customHeight="1">
      <c r="B4" s="244">
        <v>36717</v>
      </c>
      <c r="C4" s="245" t="s">
        <v>663</v>
      </c>
      <c r="D4" s="245" t="s">
        <v>517</v>
      </c>
      <c r="E4" s="245" t="s">
        <v>664</v>
      </c>
      <c r="F4" s="246">
        <v>45</v>
      </c>
      <c r="G4" s="246">
        <v>7.04</v>
      </c>
      <c r="H4" s="246">
        <v>800</v>
      </c>
      <c r="I4" s="246">
        <v>5632</v>
      </c>
      <c r="J4" s="245" t="s">
        <v>430</v>
      </c>
      <c r="K4" s="247">
        <v>675.84</v>
      </c>
    </row>
    <row r="5" spans="2:11" ht="18" customHeight="1">
      <c r="B5" s="244">
        <v>36717</v>
      </c>
      <c r="C5" s="245" t="s">
        <v>665</v>
      </c>
      <c r="D5" s="245" t="s">
        <v>523</v>
      </c>
      <c r="E5" s="245" t="s">
        <v>664</v>
      </c>
      <c r="F5" s="246">
        <v>45</v>
      </c>
      <c r="G5" s="246">
        <v>7.04</v>
      </c>
      <c r="H5" s="246">
        <v>300</v>
      </c>
      <c r="I5" s="246">
        <v>2112</v>
      </c>
      <c r="J5" s="245" t="s">
        <v>666</v>
      </c>
      <c r="K5" s="247">
        <v>253.44</v>
      </c>
    </row>
    <row r="6" spans="2:11" ht="18" customHeight="1">
      <c r="B6" s="244">
        <v>36718</v>
      </c>
      <c r="C6" s="245" t="s">
        <v>667</v>
      </c>
      <c r="D6" s="245" t="s">
        <v>523</v>
      </c>
      <c r="E6" s="245" t="s">
        <v>668</v>
      </c>
      <c r="F6" s="246">
        <v>60</v>
      </c>
      <c r="G6" s="246">
        <v>7.04</v>
      </c>
      <c r="H6" s="246">
        <v>200</v>
      </c>
      <c r="I6" s="246">
        <v>1408</v>
      </c>
      <c r="J6" s="245" t="s">
        <v>430</v>
      </c>
      <c r="K6" s="247">
        <v>168.96</v>
      </c>
    </row>
    <row r="7" spans="2:11" ht="18" customHeight="1">
      <c r="B7" s="244">
        <v>36719</v>
      </c>
      <c r="C7" s="245" t="s">
        <v>665</v>
      </c>
      <c r="D7" s="245" t="s">
        <v>517</v>
      </c>
      <c r="E7" s="245" t="s">
        <v>668</v>
      </c>
      <c r="F7" s="246">
        <v>45</v>
      </c>
      <c r="G7" s="246">
        <v>7.04</v>
      </c>
      <c r="H7" s="246">
        <v>1000</v>
      </c>
      <c r="I7" s="246">
        <v>7040</v>
      </c>
      <c r="J7" s="245" t="s">
        <v>666</v>
      </c>
      <c r="K7" s="247">
        <v>844.8</v>
      </c>
    </row>
    <row r="8" spans="2:11" ht="18" customHeight="1">
      <c r="B8" s="244">
        <v>36722</v>
      </c>
      <c r="C8" s="245" t="s">
        <v>663</v>
      </c>
      <c r="D8" s="245" t="s">
        <v>19</v>
      </c>
      <c r="E8" s="245" t="s">
        <v>668</v>
      </c>
      <c r="F8" s="246">
        <v>30</v>
      </c>
      <c r="G8" s="246">
        <v>7.04</v>
      </c>
      <c r="H8" s="246">
        <v>150</v>
      </c>
      <c r="I8" s="246">
        <v>1056</v>
      </c>
      <c r="J8" s="245" t="s">
        <v>666</v>
      </c>
      <c r="K8" s="247">
        <v>126.72</v>
      </c>
    </row>
    <row r="9" spans="2:11" ht="18" customHeight="1">
      <c r="B9" s="244">
        <v>36722</v>
      </c>
      <c r="C9" s="245" t="s">
        <v>665</v>
      </c>
      <c r="D9" s="245" t="s">
        <v>669</v>
      </c>
      <c r="E9" s="245" t="s">
        <v>664</v>
      </c>
      <c r="F9" s="246">
        <v>45</v>
      </c>
      <c r="G9" s="246">
        <v>7.04</v>
      </c>
      <c r="H9" s="246">
        <v>500</v>
      </c>
      <c r="I9" s="246">
        <v>3520</v>
      </c>
      <c r="J9" s="245" t="s">
        <v>666</v>
      </c>
      <c r="K9" s="247">
        <v>422.4</v>
      </c>
    </row>
    <row r="10" spans="2:11" ht="18" customHeight="1">
      <c r="B10" s="244">
        <v>36722</v>
      </c>
      <c r="C10" s="245" t="s">
        <v>667</v>
      </c>
      <c r="D10" s="245" t="s">
        <v>523</v>
      </c>
      <c r="E10" s="245" t="s">
        <v>670</v>
      </c>
      <c r="F10" s="246">
        <v>45</v>
      </c>
      <c r="G10" s="246">
        <v>9.6</v>
      </c>
      <c r="H10" s="246">
        <v>550</v>
      </c>
      <c r="I10" s="246">
        <v>5280</v>
      </c>
      <c r="J10" s="245" t="s">
        <v>671</v>
      </c>
      <c r="K10" s="247">
        <v>633.6</v>
      </c>
    </row>
    <row r="11" spans="2:11" ht="18" customHeight="1">
      <c r="B11" s="244">
        <v>36765</v>
      </c>
      <c r="C11" s="245" t="s">
        <v>665</v>
      </c>
      <c r="D11" s="245" t="s">
        <v>517</v>
      </c>
      <c r="E11" s="245" t="s">
        <v>661</v>
      </c>
      <c r="F11" s="246">
        <v>30</v>
      </c>
      <c r="G11" s="246">
        <v>2.6</v>
      </c>
      <c r="H11" s="246">
        <v>600</v>
      </c>
      <c r="I11" s="246">
        <v>1560</v>
      </c>
      <c r="J11" s="245" t="s">
        <v>662</v>
      </c>
      <c r="K11" s="247">
        <v>187.2</v>
      </c>
    </row>
    <row r="12" spans="2:11" ht="18" customHeight="1">
      <c r="B12" s="244">
        <v>36722</v>
      </c>
      <c r="C12" s="245" t="s">
        <v>663</v>
      </c>
      <c r="D12" s="245" t="s">
        <v>669</v>
      </c>
      <c r="E12" s="245" t="s">
        <v>668</v>
      </c>
      <c r="F12" s="246">
        <v>45</v>
      </c>
      <c r="G12" s="246">
        <v>4.0199999999999996</v>
      </c>
      <c r="H12" s="246">
        <v>100</v>
      </c>
      <c r="I12" s="246">
        <v>402</v>
      </c>
      <c r="J12" s="245" t="s">
        <v>662</v>
      </c>
      <c r="K12" s="247">
        <v>48.24</v>
      </c>
    </row>
    <row r="13" spans="2:11" ht="18" customHeight="1">
      <c r="B13" s="244">
        <v>36753</v>
      </c>
      <c r="C13" s="245" t="s">
        <v>665</v>
      </c>
      <c r="D13" s="245" t="s">
        <v>517</v>
      </c>
      <c r="E13" s="245" t="s">
        <v>661</v>
      </c>
      <c r="F13" s="246">
        <v>30</v>
      </c>
      <c r="G13" s="246">
        <v>2.6</v>
      </c>
      <c r="H13" s="246">
        <v>300</v>
      </c>
      <c r="I13" s="246">
        <v>780</v>
      </c>
      <c r="J13" s="245" t="s">
        <v>430</v>
      </c>
      <c r="K13" s="247">
        <v>93.6</v>
      </c>
    </row>
    <row r="14" spans="2:11" ht="18" customHeight="1">
      <c r="B14" s="244">
        <v>36722</v>
      </c>
      <c r="C14" s="245" t="s">
        <v>667</v>
      </c>
      <c r="D14" s="245" t="s">
        <v>523</v>
      </c>
      <c r="E14" s="245" t="s">
        <v>668</v>
      </c>
      <c r="F14" s="246">
        <v>30</v>
      </c>
      <c r="G14" s="246">
        <v>4.0199999999999996</v>
      </c>
      <c r="H14" s="246">
        <v>300</v>
      </c>
      <c r="I14" s="246">
        <v>1206</v>
      </c>
      <c r="J14" s="245" t="s">
        <v>430</v>
      </c>
      <c r="K14" s="247">
        <v>144.72</v>
      </c>
    </row>
    <row r="15" spans="2:11" ht="18" customHeight="1">
      <c r="B15" s="244">
        <v>36661</v>
      </c>
      <c r="C15" s="245" t="s">
        <v>665</v>
      </c>
      <c r="D15" s="245" t="s">
        <v>19</v>
      </c>
      <c r="E15" s="245" t="s">
        <v>664</v>
      </c>
      <c r="F15" s="246">
        <v>45</v>
      </c>
      <c r="G15" s="246">
        <v>7.04</v>
      </c>
      <c r="H15" s="246">
        <v>500</v>
      </c>
      <c r="I15" s="246">
        <v>3520</v>
      </c>
      <c r="J15" s="245" t="s">
        <v>662</v>
      </c>
      <c r="K15" s="247">
        <v>422.4</v>
      </c>
    </row>
    <row r="16" spans="2:11" ht="18" customHeight="1">
      <c r="B16" s="244">
        <v>36661</v>
      </c>
      <c r="C16" s="245" t="s">
        <v>663</v>
      </c>
      <c r="D16" s="245" t="s">
        <v>517</v>
      </c>
      <c r="E16" s="245" t="s">
        <v>672</v>
      </c>
      <c r="F16" s="246">
        <v>45</v>
      </c>
      <c r="G16" s="246">
        <v>4.0199999999999996</v>
      </c>
      <c r="H16" s="246">
        <v>200</v>
      </c>
      <c r="I16" s="246">
        <v>804</v>
      </c>
      <c r="J16" s="245" t="s">
        <v>662</v>
      </c>
      <c r="K16" s="247">
        <v>96.48</v>
      </c>
    </row>
    <row r="17" spans="2:11" ht="18" customHeight="1">
      <c r="B17" s="244">
        <v>36722</v>
      </c>
      <c r="C17" s="245" t="s">
        <v>665</v>
      </c>
      <c r="D17" s="245" t="s">
        <v>523</v>
      </c>
      <c r="E17" s="245" t="s">
        <v>673</v>
      </c>
      <c r="F17" s="246">
        <v>30</v>
      </c>
      <c r="G17" s="246">
        <v>5.56</v>
      </c>
      <c r="H17" s="246">
        <v>100</v>
      </c>
      <c r="I17" s="246">
        <v>556</v>
      </c>
      <c r="J17" s="245" t="s">
        <v>430</v>
      </c>
      <c r="K17" s="247">
        <v>66.72</v>
      </c>
    </row>
    <row r="18" spans="2:11" ht="18" customHeight="1">
      <c r="B18" s="244">
        <v>36702</v>
      </c>
      <c r="C18" s="245" t="s">
        <v>667</v>
      </c>
      <c r="D18" s="245" t="s">
        <v>517</v>
      </c>
      <c r="E18" s="245" t="s">
        <v>672</v>
      </c>
      <c r="F18" s="246">
        <v>45</v>
      </c>
      <c r="G18" s="246">
        <v>4.0199999999999996</v>
      </c>
      <c r="H18" s="246">
        <v>50</v>
      </c>
      <c r="I18" s="246">
        <v>201</v>
      </c>
      <c r="J18" s="245" t="s">
        <v>662</v>
      </c>
      <c r="K18" s="247">
        <v>24.12</v>
      </c>
    </row>
    <row r="19" spans="2:11" ht="18" customHeight="1">
      <c r="B19" s="244">
        <v>36702</v>
      </c>
      <c r="C19" s="245" t="s">
        <v>665</v>
      </c>
      <c r="D19" s="245" t="s">
        <v>19</v>
      </c>
      <c r="E19" s="245" t="s">
        <v>668</v>
      </c>
      <c r="F19" s="246">
        <v>45</v>
      </c>
      <c r="G19" s="246">
        <v>5.56</v>
      </c>
      <c r="H19" s="246">
        <v>200</v>
      </c>
      <c r="I19" s="246">
        <v>1112</v>
      </c>
      <c r="J19" s="245" t="s">
        <v>662</v>
      </c>
      <c r="K19" s="247">
        <v>133.44</v>
      </c>
    </row>
    <row r="20" spans="2:11" ht="18" customHeight="1">
      <c r="B20" s="244">
        <v>36765</v>
      </c>
      <c r="C20" s="245" t="s">
        <v>663</v>
      </c>
      <c r="D20" s="245" t="s">
        <v>517</v>
      </c>
      <c r="E20" s="245" t="s">
        <v>674</v>
      </c>
      <c r="F20" s="246">
        <v>45</v>
      </c>
      <c r="G20" s="246">
        <v>2.77</v>
      </c>
      <c r="H20" s="246">
        <v>40</v>
      </c>
      <c r="I20" s="246">
        <v>110.8</v>
      </c>
      <c r="J20" s="245" t="s">
        <v>662</v>
      </c>
      <c r="K20" s="247">
        <v>13.295999999999999</v>
      </c>
    </row>
    <row r="21" spans="2:11" ht="18" customHeight="1">
      <c r="B21" s="244">
        <v>36722</v>
      </c>
      <c r="C21" s="245" t="s">
        <v>665</v>
      </c>
      <c r="D21" s="245" t="s">
        <v>19</v>
      </c>
      <c r="E21" s="245" t="s">
        <v>670</v>
      </c>
      <c r="F21" s="246">
        <v>60</v>
      </c>
      <c r="G21" s="246">
        <v>9.6</v>
      </c>
      <c r="H21" s="246">
        <v>2000</v>
      </c>
      <c r="I21" s="246">
        <v>19200</v>
      </c>
      <c r="J21" s="245" t="s">
        <v>671</v>
      </c>
      <c r="K21" s="247">
        <v>2304</v>
      </c>
    </row>
    <row r="22" spans="2:11" ht="18" customHeight="1">
      <c r="B22" s="244">
        <v>36722</v>
      </c>
      <c r="C22" s="245" t="s">
        <v>667</v>
      </c>
      <c r="D22" s="245" t="s">
        <v>669</v>
      </c>
      <c r="E22" s="245" t="s">
        <v>672</v>
      </c>
      <c r="F22" s="246">
        <v>45</v>
      </c>
      <c r="G22" s="246">
        <v>4.0199999999999996</v>
      </c>
      <c r="H22" s="246">
        <v>220</v>
      </c>
      <c r="I22" s="246">
        <v>884.4</v>
      </c>
      <c r="J22" s="245" t="s">
        <v>662</v>
      </c>
      <c r="K22" s="247">
        <v>106.12799999999999</v>
      </c>
    </row>
    <row r="23" spans="2:11" ht="18" customHeight="1">
      <c r="B23" s="244">
        <v>36702</v>
      </c>
      <c r="C23" s="245" t="s">
        <v>665</v>
      </c>
      <c r="D23" s="245" t="s">
        <v>517</v>
      </c>
      <c r="E23" s="245" t="s">
        <v>674</v>
      </c>
      <c r="F23" s="246">
        <v>60</v>
      </c>
      <c r="G23" s="246">
        <v>2.77</v>
      </c>
      <c r="H23" s="246">
        <v>1100</v>
      </c>
      <c r="I23" s="246">
        <v>3047</v>
      </c>
      <c r="J23" s="245" t="s">
        <v>662</v>
      </c>
      <c r="K23" s="247">
        <v>365.64</v>
      </c>
    </row>
    <row r="24" spans="2:11" ht="18" customHeight="1">
      <c r="B24" s="244">
        <v>36753</v>
      </c>
      <c r="C24" s="245" t="s">
        <v>663</v>
      </c>
      <c r="D24" s="245" t="s">
        <v>517</v>
      </c>
      <c r="E24" s="245" t="s">
        <v>675</v>
      </c>
      <c r="F24" s="246">
        <v>45</v>
      </c>
      <c r="G24" s="246">
        <v>2.77</v>
      </c>
      <c r="H24" s="246">
        <v>880</v>
      </c>
      <c r="I24" s="246">
        <v>2437.6</v>
      </c>
      <c r="J24" s="245" t="s">
        <v>662</v>
      </c>
      <c r="K24" s="247">
        <v>292.512</v>
      </c>
    </row>
    <row r="25" spans="2:11" ht="18" customHeight="1">
      <c r="B25" s="244">
        <v>36702</v>
      </c>
      <c r="C25" s="245" t="s">
        <v>665</v>
      </c>
      <c r="D25" s="245" t="s">
        <v>19</v>
      </c>
      <c r="E25" s="245" t="s">
        <v>675</v>
      </c>
      <c r="F25" s="246">
        <v>60</v>
      </c>
      <c r="G25" s="246">
        <v>2.6</v>
      </c>
      <c r="H25" s="246">
        <v>500</v>
      </c>
      <c r="I25" s="246">
        <v>1300</v>
      </c>
      <c r="J25" s="245" t="s">
        <v>662</v>
      </c>
      <c r="K25" s="247">
        <v>156</v>
      </c>
    </row>
    <row r="26" spans="2:11" ht="18" customHeight="1">
      <c r="B26" s="244">
        <v>36702</v>
      </c>
      <c r="C26" s="245" t="s">
        <v>667</v>
      </c>
      <c r="D26" s="245" t="s">
        <v>517</v>
      </c>
      <c r="E26" s="245" t="s">
        <v>661</v>
      </c>
      <c r="F26" s="246">
        <v>30</v>
      </c>
      <c r="G26" s="246">
        <v>2.6</v>
      </c>
      <c r="H26" s="246">
        <v>600</v>
      </c>
      <c r="I26" s="246">
        <v>1560</v>
      </c>
      <c r="J26" s="245" t="s">
        <v>662</v>
      </c>
      <c r="K26" s="247">
        <v>187.2</v>
      </c>
    </row>
    <row r="27" spans="2:11" ht="18" customHeight="1">
      <c r="B27" s="244">
        <v>36671</v>
      </c>
      <c r="C27" s="245" t="s">
        <v>665</v>
      </c>
      <c r="D27" s="245" t="s">
        <v>19</v>
      </c>
      <c r="E27" s="245" t="s">
        <v>664</v>
      </c>
      <c r="F27" s="246">
        <v>45</v>
      </c>
      <c r="G27" s="246">
        <v>7.04</v>
      </c>
      <c r="H27" s="246">
        <v>400</v>
      </c>
      <c r="I27" s="246">
        <v>2816</v>
      </c>
      <c r="J27" s="245" t="s">
        <v>666</v>
      </c>
      <c r="K27" s="247">
        <v>337.92</v>
      </c>
    </row>
    <row r="28" spans="2:11" ht="18" customHeight="1">
      <c r="B28" s="244">
        <v>36753</v>
      </c>
      <c r="C28" s="245" t="s">
        <v>663</v>
      </c>
      <c r="D28" s="245" t="s">
        <v>517</v>
      </c>
      <c r="E28" s="245" t="s">
        <v>675</v>
      </c>
      <c r="F28" s="246">
        <v>45</v>
      </c>
      <c r="G28" s="246">
        <v>5.56</v>
      </c>
      <c r="H28" s="246">
        <v>450</v>
      </c>
      <c r="I28" s="246">
        <v>2502</v>
      </c>
      <c r="J28" s="245" t="s">
        <v>430</v>
      </c>
      <c r="K28" s="247">
        <v>300.24</v>
      </c>
    </row>
    <row r="29" spans="2:11" ht="18" customHeight="1">
      <c r="B29" s="244">
        <v>36702</v>
      </c>
      <c r="C29" s="245" t="s">
        <v>665</v>
      </c>
      <c r="D29" s="245" t="s">
        <v>523</v>
      </c>
      <c r="E29" s="245" t="s">
        <v>661</v>
      </c>
      <c r="F29" s="246">
        <v>45</v>
      </c>
      <c r="G29" s="246">
        <v>2.6</v>
      </c>
      <c r="H29" s="246">
        <v>600</v>
      </c>
      <c r="I29" s="246">
        <v>1560</v>
      </c>
      <c r="J29" s="245" t="s">
        <v>666</v>
      </c>
      <c r="K29" s="247">
        <v>187.2</v>
      </c>
    </row>
    <row r="30" spans="2:11" ht="18" customHeight="1">
      <c r="B30" s="244">
        <v>36702</v>
      </c>
      <c r="C30" s="245" t="s">
        <v>667</v>
      </c>
      <c r="D30" s="245" t="s">
        <v>517</v>
      </c>
      <c r="E30" s="245" t="s">
        <v>661</v>
      </c>
      <c r="F30" s="246">
        <v>60</v>
      </c>
      <c r="G30" s="246">
        <v>2.6</v>
      </c>
      <c r="H30" s="246">
        <v>750</v>
      </c>
      <c r="I30" s="246">
        <v>1950</v>
      </c>
      <c r="J30" s="245" t="s">
        <v>662</v>
      </c>
      <c r="K30" s="247">
        <v>234</v>
      </c>
    </row>
    <row r="31" spans="2:11" ht="18" customHeight="1">
      <c r="B31" s="244">
        <v>36702</v>
      </c>
      <c r="C31" s="245" t="s">
        <v>665</v>
      </c>
      <c r="D31" s="245" t="s">
        <v>517</v>
      </c>
      <c r="E31" s="245" t="s">
        <v>674</v>
      </c>
      <c r="F31" s="246">
        <v>45</v>
      </c>
      <c r="G31" s="246">
        <v>2.77</v>
      </c>
      <c r="H31" s="246">
        <v>180</v>
      </c>
      <c r="I31" s="246">
        <v>498.6</v>
      </c>
      <c r="J31" s="245" t="s">
        <v>430</v>
      </c>
      <c r="K31" s="247">
        <v>59.832000000000001</v>
      </c>
    </row>
    <row r="32" spans="2:11" ht="18" customHeight="1">
      <c r="B32" s="244">
        <v>36702</v>
      </c>
      <c r="C32" s="245" t="s">
        <v>663</v>
      </c>
      <c r="D32" s="245" t="s">
        <v>517</v>
      </c>
      <c r="E32" s="245" t="s">
        <v>661</v>
      </c>
      <c r="F32" s="246">
        <v>45</v>
      </c>
      <c r="G32" s="246">
        <v>2.6</v>
      </c>
      <c r="H32" s="246">
        <v>300</v>
      </c>
      <c r="I32" s="246">
        <v>780</v>
      </c>
      <c r="J32" s="245" t="s">
        <v>662</v>
      </c>
      <c r="K32" s="247">
        <v>93.6</v>
      </c>
    </row>
    <row r="33" spans="2:11" ht="18" customHeight="1">
      <c r="B33" s="244">
        <v>36722</v>
      </c>
      <c r="C33" s="245" t="s">
        <v>665</v>
      </c>
      <c r="D33" s="245" t="s">
        <v>517</v>
      </c>
      <c r="E33" s="245" t="s">
        <v>664</v>
      </c>
      <c r="F33" s="246">
        <v>60</v>
      </c>
      <c r="G33" s="246">
        <v>7.04</v>
      </c>
      <c r="H33" s="246">
        <v>600</v>
      </c>
      <c r="I33" s="246">
        <v>4224</v>
      </c>
      <c r="J33" s="245" t="s">
        <v>662</v>
      </c>
      <c r="K33" s="247">
        <v>506.88</v>
      </c>
    </row>
    <row r="34" spans="2:11" ht="18" customHeight="1">
      <c r="B34" s="244">
        <v>36717</v>
      </c>
      <c r="C34" s="245" t="s">
        <v>667</v>
      </c>
      <c r="D34" s="245" t="s">
        <v>517</v>
      </c>
      <c r="E34" s="245" t="s">
        <v>661</v>
      </c>
      <c r="F34" s="246">
        <v>45</v>
      </c>
      <c r="G34" s="246">
        <v>2.6</v>
      </c>
      <c r="H34" s="246">
        <v>800</v>
      </c>
      <c r="I34" s="246">
        <v>2080</v>
      </c>
      <c r="J34" s="245" t="s">
        <v>662</v>
      </c>
      <c r="K34" s="247">
        <v>249.6</v>
      </c>
    </row>
    <row r="35" spans="2:11" ht="18" customHeight="1">
      <c r="B35" s="244">
        <v>36702</v>
      </c>
      <c r="C35" s="245" t="s">
        <v>665</v>
      </c>
      <c r="D35" s="245" t="s">
        <v>19</v>
      </c>
      <c r="E35" s="245" t="s">
        <v>661</v>
      </c>
      <c r="F35" s="246">
        <v>60</v>
      </c>
      <c r="G35" s="246">
        <v>2.6</v>
      </c>
      <c r="H35" s="246">
        <v>900</v>
      </c>
      <c r="I35" s="246">
        <v>2340</v>
      </c>
      <c r="J35" s="245" t="s">
        <v>662</v>
      </c>
      <c r="K35" s="247">
        <v>280.8</v>
      </c>
    </row>
    <row r="36" spans="2:11" ht="18" customHeight="1">
      <c r="B36" s="244">
        <v>36753</v>
      </c>
      <c r="C36" s="245" t="s">
        <v>663</v>
      </c>
      <c r="D36" s="245" t="s">
        <v>517</v>
      </c>
      <c r="E36" s="245" t="s">
        <v>674</v>
      </c>
      <c r="F36" s="246">
        <v>60</v>
      </c>
      <c r="G36" s="246">
        <v>2.77</v>
      </c>
      <c r="H36" s="246">
        <v>500</v>
      </c>
      <c r="I36" s="246">
        <v>1385</v>
      </c>
      <c r="J36" s="245" t="s">
        <v>662</v>
      </c>
      <c r="K36" s="247">
        <v>166.2</v>
      </c>
    </row>
    <row r="37" spans="2:11" ht="18" customHeight="1">
      <c r="B37" s="244">
        <v>36722</v>
      </c>
      <c r="C37" s="245" t="s">
        <v>665</v>
      </c>
      <c r="D37" s="245" t="s">
        <v>669</v>
      </c>
      <c r="E37" s="245" t="s">
        <v>661</v>
      </c>
      <c r="F37" s="246">
        <v>60</v>
      </c>
      <c r="G37" s="246">
        <v>2.6</v>
      </c>
      <c r="H37" s="246">
        <v>530</v>
      </c>
      <c r="I37" s="246">
        <v>1378</v>
      </c>
      <c r="J37" s="245" t="s">
        <v>662</v>
      </c>
      <c r="K37" s="247">
        <v>165.36</v>
      </c>
    </row>
    <row r="38" spans="2:11" ht="18" customHeight="1">
      <c r="B38" s="244">
        <v>36702</v>
      </c>
      <c r="C38" s="245" t="s">
        <v>667</v>
      </c>
      <c r="D38" s="245" t="s">
        <v>517</v>
      </c>
      <c r="E38" s="245" t="s">
        <v>668</v>
      </c>
      <c r="F38" s="246">
        <v>60</v>
      </c>
      <c r="G38" s="246">
        <v>4.0199999999999996</v>
      </c>
      <c r="H38" s="246">
        <v>800</v>
      </c>
      <c r="I38" s="246">
        <v>3216</v>
      </c>
      <c r="J38" s="245" t="s">
        <v>676</v>
      </c>
      <c r="K38" s="247">
        <v>385.92</v>
      </c>
    </row>
    <row r="39" spans="2:11" ht="18" customHeight="1">
      <c r="B39" s="244">
        <v>36702</v>
      </c>
      <c r="C39" s="245" t="s">
        <v>665</v>
      </c>
      <c r="D39" s="245" t="s">
        <v>517</v>
      </c>
      <c r="E39" s="245" t="s">
        <v>664</v>
      </c>
      <c r="F39" s="246">
        <v>45</v>
      </c>
      <c r="G39" s="246">
        <v>7.04</v>
      </c>
      <c r="H39" s="246">
        <v>680</v>
      </c>
      <c r="I39" s="246">
        <v>4787.2</v>
      </c>
      <c r="J39" s="245" t="s">
        <v>662</v>
      </c>
      <c r="K39" s="247">
        <v>574.46399999999994</v>
      </c>
    </row>
    <row r="40" spans="2:11" ht="18" customHeight="1">
      <c r="B40" s="244">
        <v>36702</v>
      </c>
      <c r="C40" s="245" t="s">
        <v>663</v>
      </c>
      <c r="D40" s="245" t="s">
        <v>517</v>
      </c>
      <c r="E40" s="245" t="s">
        <v>672</v>
      </c>
      <c r="F40" s="246">
        <v>45</v>
      </c>
      <c r="G40" s="246">
        <v>4.0199999999999996</v>
      </c>
      <c r="H40" s="246">
        <v>660</v>
      </c>
      <c r="I40" s="246">
        <v>2653.2</v>
      </c>
      <c r="J40" s="245" t="s">
        <v>662</v>
      </c>
      <c r="K40" s="247">
        <v>318.38399999999996</v>
      </c>
    </row>
    <row r="41" spans="2:11" ht="18" customHeight="1">
      <c r="B41" s="244">
        <v>36717</v>
      </c>
      <c r="C41" s="245" t="s">
        <v>665</v>
      </c>
      <c r="D41" s="245" t="s">
        <v>517</v>
      </c>
      <c r="E41" s="245" t="s">
        <v>673</v>
      </c>
      <c r="F41" s="246">
        <v>45</v>
      </c>
      <c r="G41" s="246">
        <v>5.56</v>
      </c>
      <c r="H41" s="246">
        <v>600</v>
      </c>
      <c r="I41" s="246">
        <v>3336</v>
      </c>
      <c r="J41" s="245" t="s">
        <v>662</v>
      </c>
      <c r="K41" s="247">
        <v>400.32</v>
      </c>
    </row>
    <row r="42" spans="2:11" ht="18" customHeight="1">
      <c r="B42" s="244">
        <v>36753</v>
      </c>
      <c r="C42" s="245" t="s">
        <v>667</v>
      </c>
      <c r="D42" s="245" t="s">
        <v>19</v>
      </c>
      <c r="E42" s="245" t="s">
        <v>672</v>
      </c>
      <c r="F42" s="246">
        <v>30</v>
      </c>
      <c r="G42" s="246">
        <v>4.0199999999999996</v>
      </c>
      <c r="H42" s="246">
        <v>530</v>
      </c>
      <c r="I42" s="246">
        <v>2130.6</v>
      </c>
      <c r="J42" s="245" t="s">
        <v>662</v>
      </c>
      <c r="K42" s="247">
        <v>255.67199999999997</v>
      </c>
    </row>
    <row r="43" spans="2:11" ht="18" customHeight="1">
      <c r="B43" s="244">
        <v>36750</v>
      </c>
      <c r="C43" s="245" t="s">
        <v>665</v>
      </c>
      <c r="D43" s="245" t="s">
        <v>517</v>
      </c>
      <c r="E43" s="245" t="s">
        <v>673</v>
      </c>
      <c r="F43" s="246">
        <v>45</v>
      </c>
      <c r="G43" s="246">
        <v>5.56</v>
      </c>
      <c r="H43" s="246">
        <v>450</v>
      </c>
      <c r="I43" s="246">
        <v>2502</v>
      </c>
      <c r="J43" s="245" t="s">
        <v>662</v>
      </c>
      <c r="K43" s="247">
        <v>300.24</v>
      </c>
    </row>
    <row r="44" spans="2:11" ht="18" customHeight="1">
      <c r="B44" s="244">
        <v>36753</v>
      </c>
      <c r="C44" s="245" t="s">
        <v>663</v>
      </c>
      <c r="D44" s="245" t="s">
        <v>517</v>
      </c>
      <c r="E44" s="245" t="s">
        <v>674</v>
      </c>
      <c r="F44" s="246">
        <v>30</v>
      </c>
      <c r="G44" s="246">
        <v>2.77</v>
      </c>
      <c r="H44" s="246">
        <v>400</v>
      </c>
      <c r="I44" s="246">
        <v>1108</v>
      </c>
      <c r="J44" s="245" t="s">
        <v>662</v>
      </c>
      <c r="K44" s="247">
        <v>132.96</v>
      </c>
    </row>
    <row r="45" spans="2:11" ht="18" customHeight="1">
      <c r="B45" s="244">
        <v>36753</v>
      </c>
      <c r="C45" s="245" t="s">
        <v>665</v>
      </c>
      <c r="D45" s="245" t="s">
        <v>523</v>
      </c>
      <c r="E45" s="245" t="s">
        <v>675</v>
      </c>
      <c r="F45" s="246">
        <v>30</v>
      </c>
      <c r="G45" s="246">
        <v>9.6</v>
      </c>
      <c r="H45" s="246">
        <v>300</v>
      </c>
      <c r="I45" s="246">
        <v>2880</v>
      </c>
      <c r="J45" s="245" t="s">
        <v>662</v>
      </c>
      <c r="K45" s="247">
        <v>345.6</v>
      </c>
    </row>
    <row r="46" spans="2:11" ht="18" customHeight="1">
      <c r="B46" s="244">
        <v>36722</v>
      </c>
      <c r="C46" s="245" t="s">
        <v>667</v>
      </c>
      <c r="D46" s="245" t="s">
        <v>523</v>
      </c>
      <c r="E46" s="245" t="s">
        <v>661</v>
      </c>
      <c r="F46" s="246">
        <v>30</v>
      </c>
      <c r="G46" s="246">
        <v>2.6</v>
      </c>
      <c r="H46" s="246">
        <v>200</v>
      </c>
      <c r="I46" s="246">
        <v>520</v>
      </c>
      <c r="J46" s="245" t="s">
        <v>662</v>
      </c>
      <c r="K46" s="247">
        <v>62.4</v>
      </c>
    </row>
    <row r="47" spans="2:11" ht="18" customHeight="1">
      <c r="B47" s="244">
        <v>36661</v>
      </c>
      <c r="C47" s="245" t="s">
        <v>665</v>
      </c>
      <c r="D47" s="245" t="s">
        <v>517</v>
      </c>
      <c r="E47" s="245" t="s">
        <v>672</v>
      </c>
      <c r="F47" s="246">
        <v>30</v>
      </c>
      <c r="G47" s="246">
        <v>4.0199999999999996</v>
      </c>
      <c r="H47" s="246">
        <v>100</v>
      </c>
      <c r="I47" s="246">
        <v>402</v>
      </c>
      <c r="J47" s="245" t="s">
        <v>662</v>
      </c>
      <c r="K47" s="247">
        <v>48.24</v>
      </c>
    </row>
    <row r="48" spans="2:11" ht="18" customHeight="1">
      <c r="B48" s="244">
        <v>36753</v>
      </c>
      <c r="C48" s="245" t="s">
        <v>663</v>
      </c>
      <c r="D48" s="245" t="s">
        <v>19</v>
      </c>
      <c r="E48" s="245" t="s">
        <v>664</v>
      </c>
      <c r="F48" s="246">
        <v>30</v>
      </c>
      <c r="G48" s="246">
        <v>7.04</v>
      </c>
      <c r="H48" s="246">
        <v>30</v>
      </c>
      <c r="I48" s="246">
        <v>211.2</v>
      </c>
      <c r="J48" s="245" t="s">
        <v>662</v>
      </c>
      <c r="K48" s="247">
        <v>25.343999999999998</v>
      </c>
    </row>
    <row r="49" spans="2:11" ht="18" customHeight="1">
      <c r="B49" s="244">
        <v>36753</v>
      </c>
      <c r="C49" s="245" t="s">
        <v>665</v>
      </c>
      <c r="D49" s="245" t="s">
        <v>517</v>
      </c>
      <c r="E49" s="245" t="s">
        <v>672</v>
      </c>
      <c r="F49" s="246">
        <v>45</v>
      </c>
      <c r="G49" s="246">
        <v>4.0199999999999996</v>
      </c>
      <c r="H49" s="246">
        <v>220</v>
      </c>
      <c r="I49" s="246">
        <v>884.4</v>
      </c>
      <c r="J49" s="245" t="s">
        <v>666</v>
      </c>
      <c r="K49" s="247">
        <v>106.12799999999999</v>
      </c>
    </row>
    <row r="50" spans="2:11" ht="18" customHeight="1">
      <c r="B50" s="244">
        <v>36753</v>
      </c>
      <c r="C50" s="245" t="s">
        <v>667</v>
      </c>
      <c r="D50" s="245" t="s">
        <v>517</v>
      </c>
      <c r="E50" s="245" t="s">
        <v>673</v>
      </c>
      <c r="F50" s="246">
        <v>45</v>
      </c>
      <c r="G50" s="246">
        <v>5.56</v>
      </c>
      <c r="H50" s="246">
        <v>460</v>
      </c>
      <c r="I50" s="246">
        <v>2557.6</v>
      </c>
      <c r="J50" s="245" t="s">
        <v>430</v>
      </c>
      <c r="K50" s="247">
        <v>306.91199999999998</v>
      </c>
    </row>
    <row r="51" spans="2:11" ht="18" customHeight="1">
      <c r="B51" s="244">
        <v>36750</v>
      </c>
      <c r="C51" s="245" t="s">
        <v>665</v>
      </c>
      <c r="D51" s="245" t="s">
        <v>517</v>
      </c>
      <c r="E51" s="245" t="s">
        <v>672</v>
      </c>
      <c r="F51" s="246">
        <v>45</v>
      </c>
      <c r="G51" s="246">
        <v>4.0199999999999996</v>
      </c>
      <c r="H51" s="246">
        <v>1000</v>
      </c>
      <c r="I51" s="246">
        <v>4020</v>
      </c>
      <c r="J51" s="245" t="s">
        <v>662</v>
      </c>
      <c r="K51" s="247">
        <v>482.4</v>
      </c>
    </row>
    <row r="52" spans="2:11" ht="18" customHeight="1">
      <c r="B52" s="244">
        <v>36750</v>
      </c>
      <c r="C52" s="245" t="s">
        <v>663</v>
      </c>
      <c r="D52" s="245" t="s">
        <v>517</v>
      </c>
      <c r="E52" s="245" t="s">
        <v>668</v>
      </c>
      <c r="F52" s="246">
        <v>45</v>
      </c>
      <c r="G52" s="246">
        <v>5.56</v>
      </c>
      <c r="H52" s="246">
        <v>1200</v>
      </c>
      <c r="I52" s="246">
        <v>6672</v>
      </c>
      <c r="J52" s="245" t="s">
        <v>662</v>
      </c>
      <c r="K52" s="247">
        <v>800.64</v>
      </c>
    </row>
    <row r="53" spans="2:11" ht="18" customHeight="1">
      <c r="B53" s="244">
        <v>36753</v>
      </c>
      <c r="C53" s="245" t="s">
        <v>665</v>
      </c>
      <c r="D53" s="245" t="s">
        <v>517</v>
      </c>
      <c r="E53" s="245" t="s">
        <v>674</v>
      </c>
      <c r="F53" s="246">
        <v>45</v>
      </c>
      <c r="G53" s="246">
        <v>2.77</v>
      </c>
      <c r="H53" s="246">
        <v>200</v>
      </c>
      <c r="I53" s="246">
        <v>554</v>
      </c>
      <c r="J53" s="245" t="s">
        <v>430</v>
      </c>
      <c r="K53" s="247">
        <v>66.48</v>
      </c>
    </row>
    <row r="54" spans="2:11" ht="18" customHeight="1">
      <c r="B54" s="244">
        <v>36656</v>
      </c>
      <c r="C54" s="245" t="s">
        <v>667</v>
      </c>
      <c r="D54" s="245" t="s">
        <v>669</v>
      </c>
      <c r="E54" s="245" t="s">
        <v>675</v>
      </c>
      <c r="F54" s="246">
        <v>45</v>
      </c>
      <c r="G54" s="246">
        <v>9.6</v>
      </c>
      <c r="H54" s="246">
        <v>500</v>
      </c>
      <c r="I54" s="246">
        <v>4800</v>
      </c>
      <c r="J54" s="245" t="s">
        <v>666</v>
      </c>
      <c r="K54" s="247">
        <v>576</v>
      </c>
    </row>
    <row r="55" spans="2:11" ht="18" customHeight="1">
      <c r="B55" s="244">
        <v>36765</v>
      </c>
      <c r="C55" s="245" t="s">
        <v>665</v>
      </c>
      <c r="D55" s="245" t="s">
        <v>517</v>
      </c>
      <c r="E55" s="245" t="s">
        <v>672</v>
      </c>
      <c r="F55" s="246">
        <v>60</v>
      </c>
      <c r="G55" s="246">
        <v>4.0199999999999996</v>
      </c>
      <c r="H55" s="246">
        <v>600</v>
      </c>
      <c r="I55" s="246">
        <v>2412</v>
      </c>
      <c r="J55" s="245" t="s">
        <v>662</v>
      </c>
      <c r="K55" s="247">
        <v>289.44</v>
      </c>
    </row>
    <row r="56" spans="2:11" ht="18" customHeight="1">
      <c r="B56" s="244">
        <v>36673</v>
      </c>
      <c r="C56" s="245" t="s">
        <v>663</v>
      </c>
      <c r="D56" s="245" t="s">
        <v>19</v>
      </c>
      <c r="E56" s="245" t="s">
        <v>668</v>
      </c>
      <c r="F56" s="246">
        <v>45</v>
      </c>
      <c r="G56" s="246">
        <v>2.77</v>
      </c>
      <c r="H56" s="246">
        <v>1000</v>
      </c>
      <c r="I56" s="246">
        <v>2770</v>
      </c>
      <c r="J56" s="245" t="s">
        <v>662</v>
      </c>
      <c r="K56" s="247">
        <v>332.4</v>
      </c>
    </row>
    <row r="57" spans="2:11" ht="18" customHeight="1">
      <c r="B57" s="244">
        <v>36717</v>
      </c>
      <c r="C57" s="245" t="s">
        <v>665</v>
      </c>
      <c r="D57" s="245" t="s">
        <v>19</v>
      </c>
      <c r="E57" s="245" t="s">
        <v>674</v>
      </c>
      <c r="F57" s="246">
        <v>60</v>
      </c>
      <c r="G57" s="246">
        <v>2.77</v>
      </c>
      <c r="H57" s="246">
        <v>1000</v>
      </c>
      <c r="I57" s="246">
        <v>2770</v>
      </c>
      <c r="J57" s="245" t="s">
        <v>662</v>
      </c>
      <c r="K57" s="247">
        <v>332.4</v>
      </c>
    </row>
    <row r="58" spans="2:11" ht="18" customHeight="1">
      <c r="B58" s="244">
        <v>36702</v>
      </c>
      <c r="C58" s="245" t="s">
        <v>667</v>
      </c>
      <c r="D58" s="245" t="s">
        <v>517</v>
      </c>
      <c r="E58" s="245" t="s">
        <v>668</v>
      </c>
      <c r="F58" s="246">
        <v>45</v>
      </c>
      <c r="G58" s="246">
        <v>2.77</v>
      </c>
      <c r="H58" s="246">
        <v>1200</v>
      </c>
      <c r="I58" s="246">
        <v>3324</v>
      </c>
      <c r="J58" s="245" t="s">
        <v>666</v>
      </c>
      <c r="K58" s="247">
        <v>398.88</v>
      </c>
    </row>
    <row r="59" spans="2:11" ht="18" customHeight="1">
      <c r="B59" s="244">
        <v>36765</v>
      </c>
      <c r="C59" s="245" t="s">
        <v>665</v>
      </c>
      <c r="D59" s="245" t="s">
        <v>517</v>
      </c>
      <c r="E59" s="245" t="s">
        <v>670</v>
      </c>
      <c r="F59" s="246">
        <v>60</v>
      </c>
      <c r="G59" s="246">
        <v>9.6</v>
      </c>
      <c r="H59" s="246">
        <v>500</v>
      </c>
      <c r="I59" s="246">
        <v>4800</v>
      </c>
      <c r="J59" s="245" t="s">
        <v>662</v>
      </c>
      <c r="K59" s="247">
        <v>576</v>
      </c>
    </row>
    <row r="60" spans="2:11" ht="18" customHeight="1">
      <c r="B60" s="244">
        <v>36722</v>
      </c>
      <c r="C60" s="245" t="s">
        <v>663</v>
      </c>
      <c r="D60" s="245" t="s">
        <v>517</v>
      </c>
      <c r="E60" s="245" t="s">
        <v>673</v>
      </c>
      <c r="F60" s="246">
        <v>45</v>
      </c>
      <c r="G60" s="246">
        <v>5.56</v>
      </c>
      <c r="H60" s="246">
        <v>300</v>
      </c>
      <c r="I60" s="246">
        <v>1668</v>
      </c>
      <c r="J60" s="245" t="s">
        <v>662</v>
      </c>
      <c r="K60" s="247">
        <v>200.16</v>
      </c>
    </row>
    <row r="61" spans="2:11" ht="18" customHeight="1">
      <c r="B61" s="244">
        <v>36765</v>
      </c>
      <c r="C61" s="245" t="s">
        <v>665</v>
      </c>
      <c r="D61" s="245" t="s">
        <v>523</v>
      </c>
      <c r="E61" s="245" t="s">
        <v>668</v>
      </c>
      <c r="F61" s="246">
        <v>45</v>
      </c>
      <c r="G61" s="246">
        <v>4.0199999999999996</v>
      </c>
      <c r="H61" s="246">
        <v>450</v>
      </c>
      <c r="I61" s="246">
        <v>1809</v>
      </c>
      <c r="J61" s="245" t="s">
        <v>662</v>
      </c>
      <c r="K61" s="247">
        <v>217.08</v>
      </c>
    </row>
    <row r="62" spans="2:11" ht="18" customHeight="1">
      <c r="B62" s="244">
        <v>36765</v>
      </c>
      <c r="C62" s="245" t="s">
        <v>667</v>
      </c>
      <c r="D62" s="245" t="s">
        <v>523</v>
      </c>
      <c r="E62" s="245" t="s">
        <v>673</v>
      </c>
      <c r="F62" s="246">
        <v>45</v>
      </c>
      <c r="G62" s="246">
        <v>5.56</v>
      </c>
      <c r="H62" s="246">
        <v>400</v>
      </c>
      <c r="I62" s="246">
        <v>2224</v>
      </c>
      <c r="J62" s="245" t="s">
        <v>662</v>
      </c>
      <c r="K62" s="247">
        <v>266.88</v>
      </c>
    </row>
    <row r="63" spans="2:11" ht="18" customHeight="1">
      <c r="B63" s="244">
        <v>36765</v>
      </c>
      <c r="C63" s="245" t="s">
        <v>665</v>
      </c>
      <c r="D63" s="245" t="s">
        <v>517</v>
      </c>
      <c r="E63" s="245" t="s">
        <v>674</v>
      </c>
      <c r="F63" s="246">
        <v>30</v>
      </c>
      <c r="G63" s="246">
        <v>2.77</v>
      </c>
      <c r="H63" s="246">
        <v>200</v>
      </c>
      <c r="I63" s="246">
        <v>554</v>
      </c>
      <c r="J63" s="245" t="s">
        <v>662</v>
      </c>
      <c r="K63" s="247">
        <v>66.48</v>
      </c>
    </row>
    <row r="64" spans="2:11" ht="18" customHeight="1">
      <c r="B64" s="244">
        <v>36673</v>
      </c>
      <c r="C64" s="245" t="s">
        <v>663</v>
      </c>
      <c r="D64" s="245" t="s">
        <v>517</v>
      </c>
      <c r="E64" s="245" t="s">
        <v>673</v>
      </c>
      <c r="F64" s="246">
        <v>45</v>
      </c>
      <c r="G64" s="246">
        <v>5.56</v>
      </c>
      <c r="H64" s="246">
        <v>1500</v>
      </c>
      <c r="I64" s="246">
        <v>8340</v>
      </c>
      <c r="J64" s="245" t="s">
        <v>662</v>
      </c>
      <c r="K64" s="247">
        <v>1000.8</v>
      </c>
    </row>
    <row r="65" spans="2:11" ht="18" customHeight="1">
      <c r="B65" s="244">
        <v>36753</v>
      </c>
      <c r="C65" s="245" t="s">
        <v>665</v>
      </c>
      <c r="D65" s="245" t="s">
        <v>523</v>
      </c>
      <c r="E65" s="245" t="s">
        <v>672</v>
      </c>
      <c r="F65" s="246">
        <v>45</v>
      </c>
      <c r="G65" s="246">
        <v>4.0199999999999996</v>
      </c>
      <c r="H65" s="246">
        <v>380</v>
      </c>
      <c r="I65" s="246">
        <v>1527.6</v>
      </c>
      <c r="J65" s="245" t="s">
        <v>662</v>
      </c>
      <c r="K65" s="247">
        <v>183.31199999999998</v>
      </c>
    </row>
    <row r="66" spans="2:11" ht="18" customHeight="1">
      <c r="B66" s="244">
        <v>36765</v>
      </c>
      <c r="C66" s="245" t="s">
        <v>667</v>
      </c>
      <c r="D66" s="245" t="s">
        <v>523</v>
      </c>
      <c r="E66" s="245" t="s">
        <v>668</v>
      </c>
      <c r="F66" s="246">
        <v>30</v>
      </c>
      <c r="G66" s="246">
        <v>5.56</v>
      </c>
      <c r="H66" s="246">
        <v>1300</v>
      </c>
      <c r="I66" s="246">
        <v>7228</v>
      </c>
      <c r="J66" s="245" t="s">
        <v>662</v>
      </c>
      <c r="K66" s="247">
        <v>867.36</v>
      </c>
    </row>
    <row r="67" spans="2:11" ht="18" customHeight="1">
      <c r="B67" s="244">
        <v>36765</v>
      </c>
      <c r="C67" s="245" t="s">
        <v>665</v>
      </c>
      <c r="D67" s="245" t="s">
        <v>517</v>
      </c>
      <c r="E67" s="245" t="s">
        <v>674</v>
      </c>
      <c r="F67" s="246">
        <v>45</v>
      </c>
      <c r="G67" s="246">
        <v>2.77</v>
      </c>
      <c r="H67" s="246">
        <v>460</v>
      </c>
      <c r="I67" s="246">
        <v>1274.2</v>
      </c>
      <c r="J67" s="245" t="s">
        <v>662</v>
      </c>
      <c r="K67" s="247">
        <v>152.904</v>
      </c>
    </row>
    <row r="68" spans="2:11" ht="18" customHeight="1">
      <c r="B68" s="244">
        <v>36765</v>
      </c>
      <c r="C68" s="245" t="s">
        <v>663</v>
      </c>
      <c r="D68" s="245" t="s">
        <v>19</v>
      </c>
      <c r="E68" s="245" t="s">
        <v>670</v>
      </c>
      <c r="F68" s="246">
        <v>45</v>
      </c>
      <c r="G68" s="246">
        <v>9.6</v>
      </c>
      <c r="H68" s="246">
        <v>450</v>
      </c>
      <c r="I68" s="246">
        <v>4320</v>
      </c>
      <c r="J68" s="245" t="s">
        <v>662</v>
      </c>
      <c r="K68" s="247">
        <v>518.4</v>
      </c>
    </row>
    <row r="69" spans="2:11" ht="18" customHeight="1">
      <c r="B69" s="244">
        <v>36753</v>
      </c>
      <c r="C69" s="245" t="s">
        <v>665</v>
      </c>
      <c r="D69" s="245" t="s">
        <v>523</v>
      </c>
      <c r="E69" s="245" t="s">
        <v>672</v>
      </c>
      <c r="F69" s="246">
        <v>30</v>
      </c>
      <c r="G69" s="246">
        <v>4.0199999999999996</v>
      </c>
      <c r="H69" s="246">
        <v>560</v>
      </c>
      <c r="I69" s="246">
        <v>2251.1999999999998</v>
      </c>
      <c r="J69" s="245" t="s">
        <v>671</v>
      </c>
      <c r="K69" s="247">
        <v>270.14399999999995</v>
      </c>
    </row>
    <row r="70" spans="2:11" ht="18" customHeight="1">
      <c r="B70" s="244">
        <v>36765</v>
      </c>
      <c r="C70" s="245" t="s">
        <v>667</v>
      </c>
      <c r="D70" s="245" t="s">
        <v>517</v>
      </c>
      <c r="E70" s="245" t="s">
        <v>674</v>
      </c>
      <c r="F70" s="246">
        <v>45</v>
      </c>
      <c r="G70" s="246">
        <v>2.77</v>
      </c>
      <c r="H70" s="246">
        <v>1000</v>
      </c>
      <c r="I70" s="246">
        <v>2770</v>
      </c>
      <c r="J70" s="245" t="s">
        <v>662</v>
      </c>
      <c r="K70" s="247">
        <v>332.4</v>
      </c>
    </row>
    <row r="71" spans="2:11" ht="18" customHeight="1">
      <c r="B71" s="244">
        <v>36765</v>
      </c>
      <c r="C71" s="245" t="s">
        <v>665</v>
      </c>
      <c r="D71" s="245" t="s">
        <v>517</v>
      </c>
      <c r="E71" s="245" t="s">
        <v>670</v>
      </c>
      <c r="F71" s="246">
        <v>45</v>
      </c>
      <c r="G71" s="246">
        <v>9.6</v>
      </c>
      <c r="H71" s="246">
        <v>500</v>
      </c>
      <c r="I71" s="246">
        <v>4800</v>
      </c>
      <c r="J71" s="245" t="s">
        <v>662</v>
      </c>
      <c r="K71" s="247">
        <v>576</v>
      </c>
    </row>
    <row r="72" spans="2:11" ht="18" customHeight="1">
      <c r="B72" s="244">
        <v>36765</v>
      </c>
      <c r="C72" s="245" t="s">
        <v>663</v>
      </c>
      <c r="D72" s="245" t="s">
        <v>19</v>
      </c>
      <c r="E72" s="245" t="s">
        <v>668</v>
      </c>
      <c r="F72" s="246">
        <v>30</v>
      </c>
      <c r="G72" s="246">
        <v>2.77</v>
      </c>
      <c r="H72" s="246">
        <v>450</v>
      </c>
      <c r="I72" s="246">
        <v>1246.5</v>
      </c>
      <c r="J72" s="245" t="s">
        <v>430</v>
      </c>
      <c r="K72" s="247">
        <v>149.58000000000001</v>
      </c>
    </row>
    <row r="73" spans="2:11" ht="18" customHeight="1">
      <c r="B73" s="244">
        <v>36765</v>
      </c>
      <c r="C73" s="245" t="s">
        <v>665</v>
      </c>
      <c r="D73" s="245" t="s">
        <v>517</v>
      </c>
      <c r="E73" s="245" t="s">
        <v>674</v>
      </c>
      <c r="F73" s="246">
        <v>30</v>
      </c>
      <c r="G73" s="246">
        <v>2.77</v>
      </c>
      <c r="H73" s="246">
        <v>650</v>
      </c>
      <c r="I73" s="246">
        <v>1800.5</v>
      </c>
      <c r="J73" s="245" t="s">
        <v>662</v>
      </c>
      <c r="K73" s="247">
        <v>216.06</v>
      </c>
    </row>
    <row r="74" spans="2:11" ht="18" customHeight="1">
      <c r="B74" s="244">
        <v>36765</v>
      </c>
      <c r="C74" s="245" t="s">
        <v>667</v>
      </c>
      <c r="D74" s="245" t="s">
        <v>19</v>
      </c>
      <c r="E74" s="245" t="s">
        <v>673</v>
      </c>
      <c r="F74" s="246">
        <v>45</v>
      </c>
      <c r="G74" s="246">
        <v>5.56</v>
      </c>
      <c r="H74" s="246">
        <v>750</v>
      </c>
      <c r="I74" s="246">
        <v>4170</v>
      </c>
      <c r="J74" s="245" t="s">
        <v>662</v>
      </c>
      <c r="K74" s="247">
        <v>500.4</v>
      </c>
    </row>
    <row r="75" spans="2:11" ht="18" customHeight="1">
      <c r="B75" s="244">
        <v>36753</v>
      </c>
      <c r="C75" s="245" t="s">
        <v>665</v>
      </c>
      <c r="D75" s="245" t="s">
        <v>19</v>
      </c>
      <c r="E75" s="245" t="s">
        <v>674</v>
      </c>
      <c r="F75" s="246">
        <v>30</v>
      </c>
      <c r="G75" s="246">
        <v>2.77</v>
      </c>
      <c r="H75" s="246">
        <v>800</v>
      </c>
      <c r="I75" s="246">
        <v>2216</v>
      </c>
      <c r="J75" s="245" t="s">
        <v>430</v>
      </c>
      <c r="K75" s="247">
        <v>265.92</v>
      </c>
    </row>
    <row r="76" spans="2:11" ht="18" customHeight="1">
      <c r="B76" s="244">
        <v>36753</v>
      </c>
      <c r="C76" s="245" t="s">
        <v>663</v>
      </c>
      <c r="D76" s="245" t="s">
        <v>517</v>
      </c>
      <c r="E76" s="245" t="s">
        <v>670</v>
      </c>
      <c r="F76" s="246">
        <v>45</v>
      </c>
      <c r="G76" s="246">
        <v>9.6</v>
      </c>
      <c r="H76" s="246">
        <v>500</v>
      </c>
      <c r="I76" s="246">
        <v>4800</v>
      </c>
      <c r="J76" s="245" t="s">
        <v>662</v>
      </c>
      <c r="K76" s="247">
        <v>576</v>
      </c>
    </row>
    <row r="77" spans="2:11" ht="18" customHeight="1">
      <c r="B77" s="244">
        <v>36765</v>
      </c>
      <c r="C77" s="245" t="s">
        <v>665</v>
      </c>
      <c r="D77" s="245" t="s">
        <v>517</v>
      </c>
      <c r="E77" s="245" t="s">
        <v>672</v>
      </c>
      <c r="F77" s="246">
        <v>45</v>
      </c>
      <c r="G77" s="246">
        <v>4.0199999999999996</v>
      </c>
      <c r="H77" s="246">
        <v>600</v>
      </c>
      <c r="I77" s="246">
        <v>2412</v>
      </c>
      <c r="J77" s="245" t="s">
        <v>662</v>
      </c>
      <c r="K77" s="247">
        <v>289.44</v>
      </c>
    </row>
    <row r="78" spans="2:11" ht="18" customHeight="1">
      <c r="B78" s="244">
        <v>36765</v>
      </c>
      <c r="C78" s="245" t="s">
        <v>667</v>
      </c>
      <c r="D78" s="245" t="s">
        <v>19</v>
      </c>
      <c r="E78" s="245" t="s">
        <v>674</v>
      </c>
      <c r="F78" s="246">
        <v>60</v>
      </c>
      <c r="G78" s="246">
        <v>2.77</v>
      </c>
      <c r="H78" s="246">
        <v>300</v>
      </c>
      <c r="I78" s="246">
        <v>831</v>
      </c>
      <c r="J78" s="245" t="s">
        <v>662</v>
      </c>
      <c r="K78" s="247">
        <v>99.72</v>
      </c>
    </row>
    <row r="79" spans="2:11" ht="18" customHeight="1">
      <c r="B79" s="244">
        <v>36673</v>
      </c>
      <c r="C79" s="245" t="s">
        <v>665</v>
      </c>
      <c r="D79" s="245" t="s">
        <v>517</v>
      </c>
      <c r="E79" s="245" t="s">
        <v>672</v>
      </c>
      <c r="F79" s="246">
        <v>45</v>
      </c>
      <c r="G79" s="246">
        <v>4.0199999999999996</v>
      </c>
      <c r="H79" s="246">
        <v>600</v>
      </c>
      <c r="I79" s="246">
        <v>2412</v>
      </c>
      <c r="J79" s="245" t="s">
        <v>662</v>
      </c>
      <c r="K79" s="247">
        <v>289.44</v>
      </c>
    </row>
    <row r="80" spans="2:11" ht="18" customHeight="1">
      <c r="B80" s="244">
        <v>36765</v>
      </c>
      <c r="C80" s="245" t="s">
        <v>663</v>
      </c>
      <c r="D80" s="245" t="s">
        <v>19</v>
      </c>
      <c r="E80" s="245" t="s">
        <v>674</v>
      </c>
      <c r="F80" s="246">
        <v>45</v>
      </c>
      <c r="G80" s="246">
        <v>2.77</v>
      </c>
      <c r="H80" s="246">
        <v>1000</v>
      </c>
      <c r="I80" s="246">
        <v>2770</v>
      </c>
      <c r="J80" s="245" t="s">
        <v>662</v>
      </c>
      <c r="K80" s="247">
        <v>332.4</v>
      </c>
    </row>
    <row r="81" spans="2:11" ht="18" customHeight="1">
      <c r="B81" s="244">
        <v>36717</v>
      </c>
      <c r="C81" s="245" t="s">
        <v>665</v>
      </c>
      <c r="D81" s="245" t="s">
        <v>19</v>
      </c>
      <c r="E81" s="245" t="s">
        <v>668</v>
      </c>
      <c r="F81" s="246">
        <v>60</v>
      </c>
      <c r="G81" s="246">
        <v>2.77</v>
      </c>
      <c r="H81" s="246">
        <v>1000</v>
      </c>
      <c r="I81" s="246">
        <v>2770</v>
      </c>
      <c r="J81" s="245" t="s">
        <v>662</v>
      </c>
      <c r="K81" s="247">
        <v>332.4</v>
      </c>
    </row>
    <row r="82" spans="2:11" ht="18" customHeight="1">
      <c r="B82" s="244">
        <v>36671</v>
      </c>
      <c r="C82" s="245" t="s">
        <v>665</v>
      </c>
      <c r="D82" s="245" t="s">
        <v>19</v>
      </c>
      <c r="E82" s="245" t="s">
        <v>664</v>
      </c>
      <c r="F82" s="246">
        <v>45</v>
      </c>
      <c r="G82" s="246">
        <v>7.04</v>
      </c>
      <c r="H82" s="246">
        <v>400</v>
      </c>
      <c r="I82" s="246">
        <v>2816</v>
      </c>
      <c r="J82" s="245" t="s">
        <v>666</v>
      </c>
      <c r="K82" s="247">
        <v>337.92</v>
      </c>
    </row>
    <row r="83" spans="2:11" ht="18" customHeight="1">
      <c r="B83" s="244">
        <v>36753</v>
      </c>
      <c r="C83" s="245" t="s">
        <v>663</v>
      </c>
      <c r="D83" s="245" t="s">
        <v>517</v>
      </c>
      <c r="E83" s="245" t="s">
        <v>675</v>
      </c>
      <c r="F83" s="246">
        <v>60</v>
      </c>
      <c r="G83" s="246">
        <v>5.56</v>
      </c>
      <c r="H83" s="246">
        <v>450</v>
      </c>
      <c r="I83" s="246">
        <v>2502</v>
      </c>
      <c r="J83" s="245" t="s">
        <v>430</v>
      </c>
      <c r="K83" s="247">
        <v>300.24</v>
      </c>
    </row>
    <row r="84" spans="2:11" ht="18" customHeight="1">
      <c r="B84" s="244">
        <v>36702</v>
      </c>
      <c r="C84" s="245" t="s">
        <v>665</v>
      </c>
      <c r="D84" s="245" t="s">
        <v>523</v>
      </c>
      <c r="E84" s="245" t="s">
        <v>661</v>
      </c>
      <c r="F84" s="246">
        <v>60</v>
      </c>
      <c r="G84" s="246">
        <v>2.6</v>
      </c>
      <c r="H84" s="246">
        <v>600</v>
      </c>
      <c r="I84" s="246">
        <v>1560</v>
      </c>
      <c r="J84" s="245" t="s">
        <v>666</v>
      </c>
      <c r="K84" s="247">
        <v>187.2</v>
      </c>
    </row>
    <row r="85" spans="2:11" ht="18" customHeight="1">
      <c r="B85" s="244">
        <v>36702</v>
      </c>
      <c r="C85" s="245" t="s">
        <v>667</v>
      </c>
      <c r="D85" s="245" t="s">
        <v>517</v>
      </c>
      <c r="E85" s="245" t="s">
        <v>661</v>
      </c>
      <c r="F85" s="246">
        <v>45</v>
      </c>
      <c r="G85" s="246">
        <v>2.6</v>
      </c>
      <c r="H85" s="246">
        <v>750</v>
      </c>
      <c r="I85" s="246">
        <v>1950</v>
      </c>
      <c r="J85" s="245" t="s">
        <v>662</v>
      </c>
      <c r="K85" s="247">
        <v>234</v>
      </c>
    </row>
    <row r="86" spans="2:11" ht="18" customHeight="1">
      <c r="B86" s="244">
        <v>36702</v>
      </c>
      <c r="C86" s="245" t="s">
        <v>665</v>
      </c>
      <c r="D86" s="245" t="s">
        <v>517</v>
      </c>
      <c r="E86" s="245" t="s">
        <v>668</v>
      </c>
      <c r="F86" s="246">
        <v>45</v>
      </c>
      <c r="G86" s="246">
        <v>2.77</v>
      </c>
      <c r="H86" s="246">
        <v>180</v>
      </c>
      <c r="I86" s="246">
        <v>498.6</v>
      </c>
      <c r="J86" s="245" t="s">
        <v>430</v>
      </c>
      <c r="K86" s="247">
        <v>59.832000000000001</v>
      </c>
    </row>
    <row r="87" spans="2:11" ht="18" customHeight="1">
      <c r="B87" s="244">
        <v>36702</v>
      </c>
      <c r="C87" s="245" t="s">
        <v>663</v>
      </c>
      <c r="D87" s="245" t="s">
        <v>517</v>
      </c>
      <c r="E87" s="245" t="s">
        <v>675</v>
      </c>
      <c r="F87" s="246">
        <v>60</v>
      </c>
      <c r="G87" s="246">
        <v>2.6</v>
      </c>
      <c r="H87" s="246">
        <v>300</v>
      </c>
      <c r="I87" s="246">
        <v>780</v>
      </c>
      <c r="J87" s="245" t="s">
        <v>662</v>
      </c>
      <c r="K87" s="247">
        <v>93.6</v>
      </c>
    </row>
    <row r="88" spans="2:11" ht="18" customHeight="1">
      <c r="B88" s="244">
        <v>36722</v>
      </c>
      <c r="C88" s="245" t="s">
        <v>665</v>
      </c>
      <c r="D88" s="245" t="s">
        <v>517</v>
      </c>
      <c r="E88" s="245" t="s">
        <v>664</v>
      </c>
      <c r="F88" s="246">
        <v>45</v>
      </c>
      <c r="G88" s="246">
        <v>7.04</v>
      </c>
      <c r="H88" s="246">
        <v>600</v>
      </c>
      <c r="I88" s="246">
        <v>4224</v>
      </c>
      <c r="J88" s="245" t="s">
        <v>662</v>
      </c>
      <c r="K88" s="247">
        <v>506.88</v>
      </c>
    </row>
    <row r="89" spans="2:11" ht="18" customHeight="1">
      <c r="B89" s="244">
        <v>36661</v>
      </c>
      <c r="C89" s="245" t="s">
        <v>665</v>
      </c>
      <c r="D89" s="245" t="s">
        <v>517</v>
      </c>
      <c r="E89" s="245" t="s">
        <v>661</v>
      </c>
      <c r="F89" s="246">
        <v>45</v>
      </c>
      <c r="G89" s="246">
        <v>2.6</v>
      </c>
      <c r="H89" s="246">
        <v>300</v>
      </c>
      <c r="I89" s="246">
        <v>780</v>
      </c>
      <c r="J89" s="245" t="s">
        <v>430</v>
      </c>
      <c r="K89" s="247">
        <v>93.6</v>
      </c>
    </row>
    <row r="90" spans="2:11" ht="18" customHeight="1">
      <c r="B90" s="244">
        <v>36722</v>
      </c>
      <c r="C90" s="245" t="s">
        <v>667</v>
      </c>
      <c r="D90" s="245" t="s">
        <v>523</v>
      </c>
      <c r="E90" s="245" t="s">
        <v>668</v>
      </c>
      <c r="F90" s="246">
        <v>60</v>
      </c>
      <c r="G90" s="246">
        <v>4.0199999999999996</v>
      </c>
      <c r="H90" s="246">
        <v>300</v>
      </c>
      <c r="I90" s="246">
        <v>1206</v>
      </c>
      <c r="J90" s="245" t="s">
        <v>430</v>
      </c>
      <c r="K90" s="247">
        <v>144.72</v>
      </c>
    </row>
    <row r="91" spans="2:11" ht="18" customHeight="1">
      <c r="B91" s="244">
        <v>36722</v>
      </c>
      <c r="C91" s="245" t="s">
        <v>665</v>
      </c>
      <c r="D91" s="245" t="s">
        <v>19</v>
      </c>
      <c r="E91" s="245" t="s">
        <v>664</v>
      </c>
      <c r="F91" s="246">
        <v>45</v>
      </c>
      <c r="G91" s="246">
        <v>7.04</v>
      </c>
      <c r="H91" s="246">
        <v>500</v>
      </c>
      <c r="I91" s="246">
        <v>3520</v>
      </c>
      <c r="J91" s="245" t="s">
        <v>662</v>
      </c>
      <c r="K91" s="247">
        <v>422.4</v>
      </c>
    </row>
    <row r="92" spans="2:11" ht="18" customHeight="1">
      <c r="B92" s="244">
        <v>36722</v>
      </c>
      <c r="C92" s="245" t="s">
        <v>663</v>
      </c>
      <c r="D92" s="245" t="s">
        <v>517</v>
      </c>
      <c r="E92" s="245" t="s">
        <v>672</v>
      </c>
      <c r="F92" s="246">
        <v>45</v>
      </c>
      <c r="G92" s="246">
        <v>4.0199999999999996</v>
      </c>
      <c r="H92" s="246">
        <v>200</v>
      </c>
      <c r="I92" s="246">
        <v>804</v>
      </c>
      <c r="J92" s="245" t="s">
        <v>662</v>
      </c>
      <c r="K92" s="247">
        <v>96.48</v>
      </c>
    </row>
    <row r="93" spans="2:11" ht="18" customHeight="1">
      <c r="B93" s="244">
        <v>36722</v>
      </c>
      <c r="C93" s="245" t="s">
        <v>665</v>
      </c>
      <c r="D93" s="245" t="s">
        <v>523</v>
      </c>
      <c r="E93" s="245" t="s">
        <v>673</v>
      </c>
      <c r="F93" s="246">
        <v>60</v>
      </c>
      <c r="G93" s="246">
        <v>5.56</v>
      </c>
      <c r="H93" s="246">
        <v>100</v>
      </c>
      <c r="I93" s="246">
        <v>556</v>
      </c>
      <c r="J93" s="245" t="s">
        <v>430</v>
      </c>
      <c r="K93" s="247">
        <v>66.72</v>
      </c>
    </row>
    <row r="94" spans="2:11" ht="18" customHeight="1">
      <c r="B94" s="244">
        <v>36671</v>
      </c>
      <c r="C94" s="245" t="s">
        <v>667</v>
      </c>
      <c r="D94" s="245" t="s">
        <v>517</v>
      </c>
      <c r="E94" s="245" t="s">
        <v>668</v>
      </c>
      <c r="F94" s="246">
        <v>45</v>
      </c>
      <c r="G94" s="246">
        <v>4.0199999999999996</v>
      </c>
      <c r="H94" s="246">
        <v>50</v>
      </c>
      <c r="I94" s="246">
        <v>201</v>
      </c>
      <c r="J94" s="245" t="s">
        <v>662</v>
      </c>
      <c r="K94" s="247">
        <v>24.12</v>
      </c>
    </row>
    <row r="95" spans="2:11" ht="18" customHeight="1">
      <c r="B95" s="244">
        <v>36702</v>
      </c>
      <c r="C95" s="245" t="s">
        <v>665</v>
      </c>
      <c r="D95" s="245" t="s">
        <v>19</v>
      </c>
      <c r="E95" s="245" t="s">
        <v>673</v>
      </c>
      <c r="F95" s="246">
        <v>30</v>
      </c>
      <c r="G95" s="246">
        <v>5.56</v>
      </c>
      <c r="H95" s="246">
        <v>200</v>
      </c>
      <c r="I95" s="246">
        <v>1112</v>
      </c>
      <c r="J95" s="245" t="s">
        <v>662</v>
      </c>
      <c r="K95" s="247">
        <v>133.44</v>
      </c>
    </row>
    <row r="96" spans="2:11" ht="18" customHeight="1">
      <c r="B96" s="244">
        <v>36719</v>
      </c>
      <c r="C96" s="245" t="s">
        <v>665</v>
      </c>
      <c r="D96" s="245" t="s">
        <v>517</v>
      </c>
      <c r="E96" s="245" t="s">
        <v>664</v>
      </c>
      <c r="F96" s="246">
        <v>45</v>
      </c>
      <c r="G96" s="246">
        <v>7.04</v>
      </c>
      <c r="H96" s="246">
        <v>1000</v>
      </c>
      <c r="I96" s="246">
        <v>7040</v>
      </c>
      <c r="J96" s="245" t="s">
        <v>666</v>
      </c>
      <c r="K96" s="247">
        <v>844.8</v>
      </c>
    </row>
    <row r="97" spans="2:11" ht="18" customHeight="1">
      <c r="B97" s="244">
        <v>36722</v>
      </c>
      <c r="C97" s="245" t="s">
        <v>663</v>
      </c>
      <c r="D97" s="245" t="s">
        <v>19</v>
      </c>
      <c r="E97" s="245" t="s">
        <v>664</v>
      </c>
      <c r="F97" s="246">
        <v>45</v>
      </c>
      <c r="G97" s="246">
        <v>7.04</v>
      </c>
      <c r="H97" s="246">
        <v>150</v>
      </c>
      <c r="I97" s="246">
        <v>1056</v>
      </c>
      <c r="J97" s="245" t="s">
        <v>666</v>
      </c>
      <c r="K97" s="247">
        <v>126.72</v>
      </c>
    </row>
    <row r="98" spans="2:11" ht="18" customHeight="1">
      <c r="B98" s="244">
        <v>36722</v>
      </c>
      <c r="C98" s="245" t="s">
        <v>665</v>
      </c>
      <c r="D98" s="245" t="s">
        <v>669</v>
      </c>
      <c r="E98" s="245" t="s">
        <v>664</v>
      </c>
      <c r="F98" s="246">
        <v>30</v>
      </c>
      <c r="G98" s="246">
        <v>7.04</v>
      </c>
      <c r="H98" s="246">
        <v>500</v>
      </c>
      <c r="I98" s="246">
        <v>3520</v>
      </c>
      <c r="J98" s="245" t="s">
        <v>666</v>
      </c>
      <c r="K98" s="247">
        <v>422.4</v>
      </c>
    </row>
    <row r="99" spans="2:11" ht="18" customHeight="1">
      <c r="B99" s="244">
        <v>36722</v>
      </c>
      <c r="C99" s="245" t="s">
        <v>667</v>
      </c>
      <c r="D99" s="245" t="s">
        <v>523</v>
      </c>
      <c r="E99" s="245" t="s">
        <v>670</v>
      </c>
      <c r="F99" s="246">
        <v>45</v>
      </c>
      <c r="G99" s="246">
        <v>9.6</v>
      </c>
      <c r="H99" s="246">
        <v>550</v>
      </c>
      <c r="I99" s="246">
        <v>5280</v>
      </c>
      <c r="J99" s="245" t="s">
        <v>671</v>
      </c>
      <c r="K99" s="247">
        <v>633.6</v>
      </c>
    </row>
    <row r="100" spans="2:11" ht="18" customHeight="1">
      <c r="B100" s="244">
        <v>36765</v>
      </c>
      <c r="C100" s="245" t="s">
        <v>665</v>
      </c>
      <c r="D100" s="245" t="s">
        <v>517</v>
      </c>
      <c r="E100" s="245" t="s">
        <v>661</v>
      </c>
      <c r="F100" s="246">
        <v>30</v>
      </c>
      <c r="G100" s="246">
        <v>2.6</v>
      </c>
      <c r="H100" s="246">
        <v>600</v>
      </c>
      <c r="I100" s="246">
        <v>1560</v>
      </c>
      <c r="J100" s="245" t="s">
        <v>662</v>
      </c>
      <c r="K100" s="247">
        <v>187.2</v>
      </c>
    </row>
    <row r="101" spans="2:11" ht="18" customHeight="1">
      <c r="B101" s="244">
        <v>36661</v>
      </c>
      <c r="C101" s="245" t="s">
        <v>663</v>
      </c>
      <c r="D101" s="245" t="s">
        <v>669</v>
      </c>
      <c r="E101" s="245" t="s">
        <v>672</v>
      </c>
      <c r="F101" s="246">
        <v>45</v>
      </c>
      <c r="G101" s="246">
        <v>4.0199999999999996</v>
      </c>
      <c r="H101" s="246">
        <v>100</v>
      </c>
      <c r="I101" s="246">
        <v>402</v>
      </c>
      <c r="J101" s="245" t="s">
        <v>662</v>
      </c>
      <c r="K101" s="247">
        <v>48.24</v>
      </c>
    </row>
    <row r="102" spans="2:11" ht="18" customHeight="1">
      <c r="B102" s="244">
        <v>36753</v>
      </c>
      <c r="C102" s="245" t="s">
        <v>665</v>
      </c>
      <c r="D102" s="245" t="s">
        <v>517</v>
      </c>
      <c r="E102" s="245" t="s">
        <v>661</v>
      </c>
      <c r="F102" s="246">
        <v>45</v>
      </c>
      <c r="G102" s="246">
        <v>2.6</v>
      </c>
      <c r="H102" s="246">
        <v>300</v>
      </c>
      <c r="I102" s="246">
        <v>780</v>
      </c>
      <c r="J102" s="245" t="s">
        <v>430</v>
      </c>
      <c r="K102" s="247">
        <v>93.6</v>
      </c>
    </row>
    <row r="103" spans="2:11" ht="18" customHeight="1">
      <c r="B103" s="244">
        <v>36722</v>
      </c>
      <c r="C103" s="245" t="s">
        <v>667</v>
      </c>
      <c r="D103" s="245" t="s">
        <v>523</v>
      </c>
      <c r="E103" s="245" t="s">
        <v>675</v>
      </c>
      <c r="F103" s="246">
        <v>60</v>
      </c>
      <c r="G103" s="246">
        <v>4.0199999999999996</v>
      </c>
      <c r="H103" s="246">
        <v>300</v>
      </c>
      <c r="I103" s="246">
        <v>1206</v>
      </c>
      <c r="J103" s="245" t="s">
        <v>430</v>
      </c>
      <c r="K103" s="247">
        <v>144.72</v>
      </c>
    </row>
    <row r="104" spans="2:11" ht="18" customHeight="1">
      <c r="B104" s="244">
        <v>36722</v>
      </c>
      <c r="C104" s="245" t="s">
        <v>665</v>
      </c>
      <c r="D104" s="245" t="s">
        <v>19</v>
      </c>
      <c r="E104" s="245" t="s">
        <v>664</v>
      </c>
      <c r="F104" s="246">
        <v>45</v>
      </c>
      <c r="G104" s="246">
        <v>7.04</v>
      </c>
      <c r="H104" s="246">
        <v>500</v>
      </c>
      <c r="I104" s="246">
        <v>3520</v>
      </c>
      <c r="J104" s="245" t="s">
        <v>662</v>
      </c>
      <c r="K104" s="247">
        <v>422.4</v>
      </c>
    </row>
    <row r="105" spans="2:11" ht="18" customHeight="1">
      <c r="B105" s="244">
        <v>36722</v>
      </c>
      <c r="C105" s="245" t="s">
        <v>663</v>
      </c>
      <c r="D105" s="245" t="s">
        <v>517</v>
      </c>
      <c r="E105" s="245" t="s">
        <v>672</v>
      </c>
      <c r="F105" s="246">
        <v>45</v>
      </c>
      <c r="G105" s="246">
        <v>4.0199999999999996</v>
      </c>
      <c r="H105" s="246">
        <v>200</v>
      </c>
      <c r="I105" s="246">
        <v>804</v>
      </c>
      <c r="J105" s="245" t="s">
        <v>662</v>
      </c>
      <c r="K105" s="247">
        <v>96.48</v>
      </c>
    </row>
    <row r="106" spans="2:11" ht="18" customHeight="1">
      <c r="B106" s="244">
        <v>36722</v>
      </c>
      <c r="C106" s="245" t="s">
        <v>665</v>
      </c>
      <c r="D106" s="245" t="s">
        <v>523</v>
      </c>
      <c r="E106" s="245" t="s">
        <v>673</v>
      </c>
      <c r="F106" s="246">
        <v>60</v>
      </c>
      <c r="G106" s="246">
        <v>5.56</v>
      </c>
      <c r="H106" s="246">
        <v>100</v>
      </c>
      <c r="I106" s="246">
        <v>556</v>
      </c>
      <c r="J106" s="245" t="s">
        <v>430</v>
      </c>
      <c r="K106" s="247">
        <v>66.72</v>
      </c>
    </row>
    <row r="107" spans="2:11" ht="18" customHeight="1">
      <c r="B107" s="244">
        <v>36702</v>
      </c>
      <c r="C107" s="245" t="s">
        <v>667</v>
      </c>
      <c r="D107" s="245" t="s">
        <v>517</v>
      </c>
      <c r="E107" s="245" t="s">
        <v>668</v>
      </c>
      <c r="F107" s="246">
        <v>45</v>
      </c>
      <c r="G107" s="246">
        <v>4.0199999999999996</v>
      </c>
      <c r="H107" s="246">
        <v>50</v>
      </c>
      <c r="I107" s="246">
        <v>201</v>
      </c>
      <c r="J107" s="245" t="s">
        <v>662</v>
      </c>
      <c r="K107" s="247">
        <v>24.12</v>
      </c>
    </row>
    <row r="108" spans="2:11" ht="18" customHeight="1">
      <c r="B108" s="244">
        <v>36702</v>
      </c>
      <c r="C108" s="245" t="s">
        <v>665</v>
      </c>
      <c r="D108" s="245" t="s">
        <v>19</v>
      </c>
      <c r="E108" s="245" t="s">
        <v>668</v>
      </c>
      <c r="F108" s="246">
        <v>45</v>
      </c>
      <c r="G108" s="246">
        <v>5.56</v>
      </c>
      <c r="H108" s="246">
        <v>200</v>
      </c>
      <c r="I108" s="246">
        <v>1112</v>
      </c>
      <c r="J108" s="245" t="s">
        <v>662</v>
      </c>
      <c r="K108" s="247">
        <v>133.44</v>
      </c>
    </row>
    <row r="109" spans="2:11" ht="18" customHeight="1">
      <c r="B109" s="244">
        <v>36673</v>
      </c>
      <c r="C109" s="245" t="s">
        <v>663</v>
      </c>
      <c r="D109" s="245" t="s">
        <v>517</v>
      </c>
      <c r="E109" s="245" t="s">
        <v>674</v>
      </c>
      <c r="F109" s="246">
        <v>45</v>
      </c>
      <c r="G109" s="246">
        <v>2.77</v>
      </c>
      <c r="H109" s="246">
        <v>40</v>
      </c>
      <c r="I109" s="246">
        <v>110.8</v>
      </c>
      <c r="J109" s="245" t="s">
        <v>662</v>
      </c>
      <c r="K109" s="247">
        <v>13.295999999999999</v>
      </c>
    </row>
    <row r="110" spans="2:11" ht="18" customHeight="1">
      <c r="B110" s="244">
        <v>36722</v>
      </c>
      <c r="C110" s="245" t="s">
        <v>663</v>
      </c>
      <c r="D110" s="245" t="s">
        <v>669</v>
      </c>
      <c r="E110" s="245" t="s">
        <v>668</v>
      </c>
      <c r="F110" s="246">
        <v>30</v>
      </c>
      <c r="G110" s="246">
        <v>4.0199999999999996</v>
      </c>
      <c r="H110" s="246">
        <v>100</v>
      </c>
      <c r="I110" s="246">
        <v>402</v>
      </c>
      <c r="J110" s="245" t="s">
        <v>662</v>
      </c>
      <c r="K110" s="247">
        <v>48.24</v>
      </c>
    </row>
    <row r="111" spans="2:11" ht="18" customHeight="1">
      <c r="B111" s="244">
        <v>36753</v>
      </c>
      <c r="C111" s="245" t="s">
        <v>665</v>
      </c>
      <c r="D111" s="245" t="s">
        <v>517</v>
      </c>
      <c r="E111" s="245" t="s">
        <v>661</v>
      </c>
      <c r="F111" s="246">
        <v>45</v>
      </c>
      <c r="G111" s="246">
        <v>2.6</v>
      </c>
      <c r="H111" s="246">
        <v>300</v>
      </c>
      <c r="I111" s="246">
        <v>780</v>
      </c>
      <c r="J111" s="245" t="s">
        <v>430</v>
      </c>
      <c r="K111" s="247">
        <v>93.6</v>
      </c>
    </row>
    <row r="112" spans="2:11" ht="18" customHeight="1">
      <c r="B112" s="244">
        <v>36722</v>
      </c>
      <c r="C112" s="245" t="s">
        <v>667</v>
      </c>
      <c r="D112" s="245" t="s">
        <v>523</v>
      </c>
      <c r="E112" s="245" t="s">
        <v>668</v>
      </c>
      <c r="F112" s="246">
        <v>45</v>
      </c>
      <c r="G112" s="246">
        <v>4.0199999999999996</v>
      </c>
      <c r="H112" s="246">
        <v>300</v>
      </c>
      <c r="I112" s="246">
        <v>1206</v>
      </c>
      <c r="J112" s="245" t="s">
        <v>430</v>
      </c>
      <c r="K112" s="247">
        <v>144.72</v>
      </c>
    </row>
    <row r="113" spans="2:11" ht="18" customHeight="1">
      <c r="B113" s="244">
        <v>36661</v>
      </c>
      <c r="C113" s="245" t="s">
        <v>665</v>
      </c>
      <c r="D113" s="245" t="s">
        <v>19</v>
      </c>
      <c r="E113" s="245" t="s">
        <v>664</v>
      </c>
      <c r="F113" s="246">
        <v>60</v>
      </c>
      <c r="G113" s="246">
        <v>7.04</v>
      </c>
      <c r="H113" s="246">
        <v>500</v>
      </c>
      <c r="I113" s="246">
        <v>3520</v>
      </c>
      <c r="J113" s="245" t="s">
        <v>662</v>
      </c>
      <c r="K113" s="247">
        <v>422.4</v>
      </c>
    </row>
    <row r="114" spans="2:11" ht="18" customHeight="1">
      <c r="B114" s="244">
        <v>36661</v>
      </c>
      <c r="C114" s="245" t="s">
        <v>663</v>
      </c>
      <c r="D114" s="245" t="s">
        <v>517</v>
      </c>
      <c r="E114" s="245" t="s">
        <v>672</v>
      </c>
      <c r="F114" s="246">
        <v>45</v>
      </c>
      <c r="G114" s="246">
        <v>4.0199999999999996</v>
      </c>
      <c r="H114" s="246">
        <v>200</v>
      </c>
      <c r="I114" s="246">
        <v>804</v>
      </c>
      <c r="J114" s="245" t="s">
        <v>662</v>
      </c>
      <c r="K114" s="247">
        <v>96.48</v>
      </c>
    </row>
    <row r="115" spans="2:11" ht="18" customHeight="1">
      <c r="B115" s="244">
        <v>36765</v>
      </c>
      <c r="C115" s="245" t="s">
        <v>665</v>
      </c>
      <c r="D115" s="245" t="s">
        <v>517</v>
      </c>
      <c r="E115" s="245" t="s">
        <v>661</v>
      </c>
      <c r="F115" s="246">
        <v>60</v>
      </c>
      <c r="G115" s="246">
        <v>2.6</v>
      </c>
      <c r="H115" s="246">
        <v>600</v>
      </c>
      <c r="I115" s="246">
        <v>1560</v>
      </c>
      <c r="J115" s="245" t="s">
        <v>662</v>
      </c>
      <c r="K115" s="247">
        <v>187.2</v>
      </c>
    </row>
    <row r="116" spans="2:11" ht="18" customHeight="1">
      <c r="B116" s="244">
        <v>36661</v>
      </c>
      <c r="C116" s="245" t="s">
        <v>663</v>
      </c>
      <c r="D116" s="245" t="s">
        <v>669</v>
      </c>
      <c r="E116" s="245" t="s">
        <v>672</v>
      </c>
      <c r="F116" s="246">
        <v>45</v>
      </c>
      <c r="G116" s="246">
        <v>4.0199999999999996</v>
      </c>
      <c r="H116" s="246">
        <v>100</v>
      </c>
      <c r="I116" s="246">
        <v>402</v>
      </c>
      <c r="J116" s="245" t="s">
        <v>662</v>
      </c>
      <c r="K116" s="247">
        <v>48.24</v>
      </c>
    </row>
    <row r="117" spans="2:11" ht="18" customHeight="1" thickBot="1">
      <c r="B117" s="248">
        <v>36753</v>
      </c>
      <c r="C117" s="249" t="s">
        <v>665</v>
      </c>
      <c r="D117" s="249" t="s">
        <v>517</v>
      </c>
      <c r="E117" s="249" t="s">
        <v>661</v>
      </c>
      <c r="F117" s="250">
        <v>45</v>
      </c>
      <c r="G117" s="250">
        <v>2.6</v>
      </c>
      <c r="H117" s="250">
        <v>300</v>
      </c>
      <c r="I117" s="250">
        <v>780</v>
      </c>
      <c r="J117" s="249" t="s">
        <v>430</v>
      </c>
      <c r="K117" s="251">
        <v>93.6</v>
      </c>
    </row>
    <row r="119" spans="2:11" s="252" customFormat="1" ht="18" customHeight="1" thickBot="1"/>
    <row r="120" spans="2:11" ht="18" customHeight="1">
      <c r="B120" s="236" t="s">
        <v>677</v>
      </c>
      <c r="C120" s="253"/>
      <c r="D120" s="253"/>
      <c r="E120" s="253"/>
      <c r="F120" s="253"/>
      <c r="G120" s="253"/>
      <c r="H120" s="253"/>
      <c r="I120" s="253"/>
      <c r="J120" s="253"/>
      <c r="K120" s="254"/>
    </row>
    <row r="121" spans="2:11" ht="18" customHeight="1" thickBot="1">
      <c r="B121" s="255" t="s">
        <v>565</v>
      </c>
      <c r="C121" s="256" t="s">
        <v>678</v>
      </c>
      <c r="D121" s="256" t="s">
        <v>676</v>
      </c>
      <c r="E121" s="256" t="s">
        <v>546</v>
      </c>
      <c r="F121" s="256" t="s">
        <v>679</v>
      </c>
      <c r="G121" s="256" t="s">
        <v>680</v>
      </c>
      <c r="H121" s="256" t="s">
        <v>681</v>
      </c>
      <c r="I121" s="256" t="s">
        <v>682</v>
      </c>
      <c r="J121" s="256" t="s">
        <v>683</v>
      </c>
      <c r="K121" s="257" t="s">
        <v>684</v>
      </c>
    </row>
    <row r="123" spans="2:11" s="258" customFormat="1" ht="18" customHeight="1"/>
    <row r="124" spans="2:11" ht="18" customHeight="1">
      <c r="B124" s="845" t="s">
        <v>685</v>
      </c>
      <c r="C124" s="845"/>
      <c r="D124" s="845"/>
      <c r="E124" s="845"/>
      <c r="F124" s="845"/>
      <c r="G124" s="845"/>
    </row>
    <row r="125" spans="2:11" ht="18" customHeight="1">
      <c r="B125" s="845"/>
      <c r="C125" s="845"/>
      <c r="D125" s="845"/>
      <c r="E125" s="845"/>
      <c r="F125" s="845"/>
      <c r="G125" s="845"/>
    </row>
    <row r="126" spans="2:11" ht="18" customHeight="1" thickBot="1"/>
    <row r="127" spans="2:11" ht="18" customHeight="1">
      <c r="B127" s="236" t="s">
        <v>598</v>
      </c>
      <c r="C127" s="237" t="s">
        <v>0</v>
      </c>
      <c r="D127" s="238" t="s">
        <v>112</v>
      </c>
      <c r="E127" s="259" t="s">
        <v>330</v>
      </c>
    </row>
    <row r="128" spans="2:11" ht="18" customHeight="1">
      <c r="B128" s="240">
        <f ca="1">INT(TODAY() - (100 * RAND()))</f>
        <v>46006</v>
      </c>
      <c r="C128" s="241" t="str">
        <f ca="1">CHOOSE(1 + FLOOR(COLUMNS($B$121:$F$121) * RAND(), 1), $B$121, $C$121, $D$121, $E$121, $F$121)</f>
        <v>Alice</v>
      </c>
      <c r="D128" s="260">
        <f ca="1">INT(200 + (80 * RAND()))</f>
        <v>219</v>
      </c>
      <c r="E128" s="261">
        <f ca="1" xml:space="preserve"> ROUND(40000 + (10000 * RAND()), 2)</f>
        <v>42532.46</v>
      </c>
    </row>
    <row r="129" spans="2:5" ht="18" customHeight="1">
      <c r="B129" s="244">
        <f ca="1">B128 + 1</f>
        <v>46007</v>
      </c>
      <c r="C129" s="245" t="str">
        <f t="shared" ref="C129:C142" ca="1" si="0">CHOOSE(1 + FLOOR(COLUMNS($B$121:$F$121) * RAND(), 1), $B$121, $C$121, $D$121, $E$121, $F$121)</f>
        <v>Alice</v>
      </c>
      <c r="D129" s="262">
        <f t="shared" ref="D129:D142" ca="1" si="1">INT(200 + (80 * RAND()))</f>
        <v>267</v>
      </c>
      <c r="E129" s="263">
        <f t="shared" ref="E129:E142" ca="1" si="2" xml:space="preserve"> ROUND(40000 + (10000 * RAND()), 2)</f>
        <v>43713.62</v>
      </c>
    </row>
    <row r="130" spans="2:5" ht="18" customHeight="1">
      <c r="B130" s="244">
        <f t="shared" ref="B130:B142" ca="1" si="3">B129 + 1</f>
        <v>46008</v>
      </c>
      <c r="C130" s="245" t="str">
        <f t="shared" ca="1" si="0"/>
        <v>David</v>
      </c>
      <c r="D130" s="262">
        <f t="shared" ca="1" si="1"/>
        <v>218</v>
      </c>
      <c r="E130" s="263">
        <f t="shared" ca="1" si="2"/>
        <v>46918.29</v>
      </c>
    </row>
    <row r="131" spans="2:5" ht="18" customHeight="1">
      <c r="B131" s="244">
        <f t="shared" ca="1" si="3"/>
        <v>46009</v>
      </c>
      <c r="C131" s="245" t="str">
        <f t="shared" ca="1" si="0"/>
        <v>Carolina</v>
      </c>
      <c r="D131" s="262">
        <f t="shared" ca="1" si="1"/>
        <v>214</v>
      </c>
      <c r="E131" s="263">
        <f t="shared" ca="1" si="2"/>
        <v>44040.03</v>
      </c>
    </row>
    <row r="132" spans="2:5" ht="18" customHeight="1">
      <c r="B132" s="244">
        <f t="shared" ca="1" si="3"/>
        <v>46010</v>
      </c>
      <c r="C132" s="245" t="str">
        <f t="shared" ca="1" si="0"/>
        <v>Carlos</v>
      </c>
      <c r="D132" s="262">
        <f t="shared" ca="1" si="1"/>
        <v>266</v>
      </c>
      <c r="E132" s="263">
        <f t="shared" ca="1" si="2"/>
        <v>42729.75</v>
      </c>
    </row>
    <row r="133" spans="2:5" ht="18" customHeight="1">
      <c r="B133" s="244">
        <f t="shared" ca="1" si="3"/>
        <v>46011</v>
      </c>
      <c r="C133" s="245" t="str">
        <f t="shared" ca="1" si="0"/>
        <v>Carolina</v>
      </c>
      <c r="D133" s="262">
        <f t="shared" ca="1" si="1"/>
        <v>218</v>
      </c>
      <c r="E133" s="263">
        <f t="shared" ca="1" si="2"/>
        <v>43372.87</v>
      </c>
    </row>
    <row r="134" spans="2:5" ht="18" customHeight="1">
      <c r="B134" s="244">
        <f t="shared" ca="1" si="3"/>
        <v>46012</v>
      </c>
      <c r="C134" s="245" t="str">
        <f t="shared" ca="1" si="0"/>
        <v>Carlos</v>
      </c>
      <c r="D134" s="262">
        <f t="shared" ca="1" si="1"/>
        <v>234</v>
      </c>
      <c r="E134" s="263">
        <f t="shared" ca="1" si="2"/>
        <v>46000.89</v>
      </c>
    </row>
    <row r="135" spans="2:5" ht="18" customHeight="1">
      <c r="B135" s="244">
        <f t="shared" ca="1" si="3"/>
        <v>46013</v>
      </c>
      <c r="C135" s="245" t="str">
        <f t="shared" ca="1" si="0"/>
        <v>Alice</v>
      </c>
      <c r="D135" s="262">
        <f t="shared" ca="1" si="1"/>
        <v>233</v>
      </c>
      <c r="E135" s="263">
        <f t="shared" ca="1" si="2"/>
        <v>45482.32</v>
      </c>
    </row>
    <row r="136" spans="2:5" ht="18" customHeight="1">
      <c r="B136" s="244">
        <f t="shared" ca="1" si="3"/>
        <v>46014</v>
      </c>
      <c r="C136" s="245" t="str">
        <f t="shared" ca="1" si="0"/>
        <v>Alice</v>
      </c>
      <c r="D136" s="262">
        <f t="shared" ca="1" si="1"/>
        <v>261</v>
      </c>
      <c r="E136" s="263">
        <f t="shared" ca="1" si="2"/>
        <v>40491.269999999997</v>
      </c>
    </row>
    <row r="137" spans="2:5" ht="18" customHeight="1">
      <c r="B137" s="244">
        <f t="shared" ca="1" si="3"/>
        <v>46015</v>
      </c>
      <c r="C137" s="245" t="str">
        <f t="shared" ca="1" si="0"/>
        <v>Carolina</v>
      </c>
      <c r="D137" s="262">
        <f t="shared" ca="1" si="1"/>
        <v>210</v>
      </c>
      <c r="E137" s="263">
        <f t="shared" ca="1" si="2"/>
        <v>47210.66</v>
      </c>
    </row>
    <row r="138" spans="2:5" ht="18" customHeight="1">
      <c r="B138" s="244">
        <f t="shared" ca="1" si="3"/>
        <v>46016</v>
      </c>
      <c r="C138" s="245" t="str">
        <f t="shared" ca="1" si="0"/>
        <v>Ana</v>
      </c>
      <c r="D138" s="262">
        <f t="shared" ca="1" si="1"/>
        <v>218</v>
      </c>
      <c r="E138" s="263">
        <f t="shared" ca="1" si="2"/>
        <v>46634.8</v>
      </c>
    </row>
    <row r="139" spans="2:5" ht="18" customHeight="1">
      <c r="B139" s="244">
        <f t="shared" ca="1" si="3"/>
        <v>46017</v>
      </c>
      <c r="C139" s="245" t="str">
        <f t="shared" ca="1" si="0"/>
        <v>Carlos</v>
      </c>
      <c r="D139" s="262">
        <f t="shared" ca="1" si="1"/>
        <v>220</v>
      </c>
      <c r="E139" s="263">
        <f t="shared" ca="1" si="2"/>
        <v>41737.269999999997</v>
      </c>
    </row>
    <row r="140" spans="2:5" ht="18" customHeight="1">
      <c r="B140" s="244">
        <f t="shared" ca="1" si="3"/>
        <v>46018</v>
      </c>
      <c r="C140" s="245" t="str">
        <f t="shared" ca="1" si="0"/>
        <v>Alice</v>
      </c>
      <c r="D140" s="262">
        <f t="shared" ca="1" si="1"/>
        <v>257</v>
      </c>
      <c r="E140" s="263">
        <f t="shared" ca="1" si="2"/>
        <v>40223.949999999997</v>
      </c>
    </row>
    <row r="141" spans="2:5" ht="18" customHeight="1">
      <c r="B141" s="244">
        <f t="shared" ca="1" si="3"/>
        <v>46019</v>
      </c>
      <c r="C141" s="245" t="str">
        <f t="shared" ca="1" si="0"/>
        <v>David</v>
      </c>
      <c r="D141" s="262">
        <f t="shared" ca="1" si="1"/>
        <v>208</v>
      </c>
      <c r="E141" s="263">
        <f t="shared" ca="1" si="2"/>
        <v>40579.339999999997</v>
      </c>
    </row>
    <row r="142" spans="2:5" ht="18" customHeight="1" thickBot="1">
      <c r="B142" s="248">
        <f t="shared" ca="1" si="3"/>
        <v>46020</v>
      </c>
      <c r="C142" s="249" t="str">
        <f t="shared" ca="1" si="0"/>
        <v>David</v>
      </c>
      <c r="D142" s="264">
        <f t="shared" ca="1" si="1"/>
        <v>218</v>
      </c>
      <c r="E142" s="265">
        <f t="shared" ca="1" si="2"/>
        <v>43277.43</v>
      </c>
    </row>
  </sheetData>
  <mergeCells count="1">
    <mergeCell ref="B124:G125"/>
  </mergeCells>
  <pageMargins left="0.78740157499999996" right="0.78740157499999996" top="0.984251969" bottom="0.984251969" header="0.5" footer="0.5"/>
  <pageSetup paperSize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89</vt:i4>
      </vt:variant>
      <vt:variant>
        <vt:lpstr>Intervalos Nomeados</vt:lpstr>
      </vt:variant>
      <vt:variant>
        <vt:i4>9</vt:i4>
      </vt:variant>
    </vt:vector>
  </HeadingPairs>
  <TitlesOfParts>
    <vt:vector size="98" baseType="lpstr">
      <vt:lpstr>Desafio Mês (2)</vt:lpstr>
      <vt:lpstr>Neste Treinamento</vt:lpstr>
      <vt:lpstr>CAP 01 - FORMATAÇÃO DE DADOS</vt:lpstr>
      <vt:lpstr>Deslocamento | Seleção | Mover</vt:lpstr>
      <vt:lpstr>Alça de Preenchimento</vt:lpstr>
      <vt:lpstr>Área de Transferência</vt:lpstr>
      <vt:lpstr>Fonte, Alinhamento e Número</vt:lpstr>
      <vt:lpstr>Grupo Células</vt:lpstr>
      <vt:lpstr>Grupo Edição</vt:lpstr>
      <vt:lpstr>Preenchimento Relâmpago</vt:lpstr>
      <vt:lpstr>CAP 02 - TABELAS e SEGMENTAÇÕES</vt:lpstr>
      <vt:lpstr>Formatar como Tabela</vt:lpstr>
      <vt:lpstr>Remover duplicata de uma tabela</vt:lpstr>
      <vt:lpstr>Segmentação de dados</vt:lpstr>
      <vt:lpstr>Enunciado Desafio - CAP 02</vt:lpstr>
      <vt:lpstr>Resolução do Desafio - CAP 02</vt:lpstr>
      <vt:lpstr>CAP 03 - CÁLCULOS NO EXCEL</vt:lpstr>
      <vt:lpstr>Noções básicas</vt:lpstr>
      <vt:lpstr>Adição</vt:lpstr>
      <vt:lpstr>Subtração</vt:lpstr>
      <vt:lpstr>Multiplicação</vt:lpstr>
      <vt:lpstr>Divisão</vt:lpstr>
      <vt:lpstr>Enunciado Desafio - CAP 03</vt:lpstr>
      <vt:lpstr>Resolução do Desafio - CAP  03</vt:lpstr>
      <vt:lpstr>CAP 04 - FUNÇÕES ESSENCIAIS</vt:lpstr>
      <vt:lpstr>Soma (Orçamento Doméstico)</vt:lpstr>
      <vt:lpstr>SomarProduto</vt:lpstr>
      <vt:lpstr>Média Salarial</vt:lpstr>
      <vt:lpstr>Máximo e Mínimo</vt:lpstr>
      <vt:lpstr>Cont.núm | Contar.vazio</vt:lpstr>
      <vt:lpstr>Soma (Custos de Escritório)</vt:lpstr>
      <vt:lpstr>Desafio Filiais</vt:lpstr>
      <vt:lpstr>Desafio Metas</vt:lpstr>
      <vt:lpstr>CAP 05 - TRATAMENTO DE NÚMEROS</vt:lpstr>
      <vt:lpstr>FUNÇÃO ARRED</vt:lpstr>
      <vt:lpstr>Descontos e Acréscimos Salário</vt:lpstr>
      <vt:lpstr>Parte Inteira (INT)</vt:lpstr>
      <vt:lpstr>Módulo ABS</vt:lpstr>
      <vt:lpstr>Desafio Capítulo Tratamento</vt:lpstr>
      <vt:lpstr>CAP 06 - CÁLCULOS DATA E HORA</vt:lpstr>
      <vt:lpstr>Entenda os cálculos data|hora</vt:lpstr>
      <vt:lpstr>Horas trabalhadas</vt:lpstr>
      <vt:lpstr>Reforma de Casa</vt:lpstr>
      <vt:lpstr>Cálculo de data</vt:lpstr>
      <vt:lpstr>Cálculo Hora</vt:lpstr>
      <vt:lpstr>Desafio - Folha de Ponto</vt:lpstr>
      <vt:lpstr>CAP 07 - FUNÇÕES DATA E HORA</vt:lpstr>
      <vt:lpstr>Função Hoje</vt:lpstr>
      <vt:lpstr>Função Agora</vt:lpstr>
      <vt:lpstr>Hora | Minuto | Segundo</vt:lpstr>
      <vt:lpstr>Dia | Mês | Ano</vt:lpstr>
      <vt:lpstr>Função Data</vt:lpstr>
      <vt:lpstr>PROJETO DESAFIO MES</vt:lpstr>
      <vt:lpstr>Desafio Dia</vt:lpstr>
      <vt:lpstr>Desafio Ano</vt:lpstr>
      <vt:lpstr>Desafio Funções Data e Hora</vt:lpstr>
      <vt:lpstr>CAP 08 - FUNÇÕES TEXTO</vt:lpstr>
      <vt:lpstr>Funções de texto</vt:lpstr>
      <vt:lpstr>Concatenar</vt:lpstr>
      <vt:lpstr>Concat "NOVO"</vt:lpstr>
      <vt:lpstr>UnirTexto 1</vt:lpstr>
      <vt:lpstr>Unirtexto 2</vt:lpstr>
      <vt:lpstr>Função Caract</vt:lpstr>
      <vt:lpstr>Desafio Final Funções Texto</vt:lpstr>
      <vt:lpstr>CAP 09 - Função SE</vt:lpstr>
      <vt:lpstr>Sinais na função Se</vt:lpstr>
      <vt:lpstr>Entendendo a Função Se</vt:lpstr>
      <vt:lpstr>Função Se Simples I</vt:lpstr>
      <vt:lpstr>Função Se Simples II</vt:lpstr>
      <vt:lpstr>Função Se - Desafio I</vt:lpstr>
      <vt:lpstr>Função Se Desafio II</vt:lpstr>
      <vt:lpstr>CAP 10 - GRÁFICOS</vt:lpstr>
      <vt:lpstr>Gráfico I Pt1</vt:lpstr>
      <vt:lpstr>Gráfico I Pt2</vt:lpstr>
      <vt:lpstr>Graf Linha, Coluna e Combinação</vt:lpstr>
      <vt:lpstr>Gráf. Vendas Região (Treemap)</vt:lpstr>
      <vt:lpstr>Gráf. Diagrama de Pareto</vt:lpstr>
      <vt:lpstr>Desafio Gráficos</vt:lpstr>
      <vt:lpstr>Painel Desafio Gráficos</vt:lpstr>
      <vt:lpstr>CAP 11 - CLASSIFICAÇÃO E FILTRO</vt:lpstr>
      <vt:lpstr>Classificar e Filtrar Básico</vt:lpstr>
      <vt:lpstr>Filtro de dados por cor</vt:lpstr>
      <vt:lpstr>Classificação Personalizada</vt:lpstr>
      <vt:lpstr>CAP 12 - IMPRESSÃO</vt:lpstr>
      <vt:lpstr>Configuração de Página</vt:lpstr>
      <vt:lpstr>Quebras</vt:lpstr>
      <vt:lpstr>Imprimir Títulos</vt:lpstr>
      <vt:lpstr>Modos de Exibição</vt:lpstr>
      <vt:lpstr>Congelar Painéis</vt:lpstr>
      <vt:lpstr>'CAP 01 - FORMATAÇÃO DE DADOS'!Area_de_impressao</vt:lpstr>
      <vt:lpstr>'Enunciado Desafio - CAP 02'!Area_de_impressao</vt:lpstr>
      <vt:lpstr>'Classificar e Filtrar Básico'!SemanaTerminando</vt:lpstr>
      <vt:lpstr>'Grupo Células'!SemanaTerminando</vt:lpstr>
      <vt:lpstr>'Grupo Edição'!SemanaTerminando</vt:lpstr>
      <vt:lpstr>SemanaTerminando</vt:lpstr>
      <vt:lpstr>TaxadeQuilometragem</vt:lpstr>
      <vt:lpstr>TOTAL</vt:lpstr>
      <vt:lpstr>TOTAL_DESPESAS</vt:lpstr>
    </vt:vector>
  </TitlesOfParts>
  <Manager>Eduardo Y. Yto</Manager>
  <Company>Yto Nihon Treinamentos - Educação Levada a sério</Company>
  <LinksUpToDate>false</LinksUpToDate>
  <SharedDoc>false</SharedDoc>
  <HyperlinkBase>www.ytonihon.com.br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MS Excel</dc:title>
  <dc:subject>Treinamento Excel</dc:subject>
  <dc:creator>Eduardo Yoshio Yto</dc:creator>
  <cp:keywords>Yto</cp:keywords>
  <dc:description>Este kit de exercícios foi criado e desenvolvido pela equipe da Yto Nihon Treinamentos e está registrado e tem seus direitos de Copyright ligados a Yto Nihon Treinamentos. Qualquer cópia e ou divulgação deste material é expressamente proibido.</dc:description>
  <cp:lastModifiedBy>Cristiano de godoi Franciscano</cp:lastModifiedBy>
  <cp:lastPrinted>2023-07-11T00:09:17Z</cp:lastPrinted>
  <dcterms:created xsi:type="dcterms:W3CDTF">2018-03-29T19:48:19Z</dcterms:created>
  <dcterms:modified xsi:type="dcterms:W3CDTF">2026-02-08T02:33:45Z</dcterms:modified>
</cp:coreProperties>
</file>