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4.xml" ContentType="application/vnd.openxmlformats-officedocument.spreadsheetml.comments+xml"/>
  <Override PartName="/xl/drawings/drawing19.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20.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1.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22.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23.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24.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drawings/drawing25.xml" ContentType="application/vnd.openxmlformats-officedocument.drawing+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6.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27.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28.xml" ContentType="application/vnd.openxmlformats-officedocument.drawing+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omments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EstaPastaDeTrabalho"/>
  <mc:AlternateContent xmlns:mc="http://schemas.openxmlformats.org/markup-compatibility/2006">
    <mc:Choice Requires="x15">
      <x15ac:absPath xmlns:x15ac="http://schemas.microsoft.com/office/spreadsheetml/2010/11/ac" url="C:\Backup 10 Dez 2023\02 - UNIDO\GRANFPOLIS - SC\templates\"/>
    </mc:Choice>
  </mc:AlternateContent>
  <xr:revisionPtr revIDLastSave="0" documentId="13_ncr:1_{A4B62B09-5576-4935-AEA0-0C618319BEAC}" xr6:coauthVersionLast="47" xr6:coauthVersionMax="47" xr10:uidLastSave="{00000000-0000-0000-0000-000000000000}"/>
  <bookViews>
    <workbookView xWindow="-120" yWindow="-120" windowWidth="29040" windowHeight="15720" tabRatio="882" firstSheet="5" activeTab="9"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R&amp;C-Painel de Controle" sheetId="8" r:id="rId7"/>
    <sheet name="C-Calc Tarifa" sheetId="9" r:id="rId8"/>
    <sheet name="C-FCL Real" sheetId="11" r:id="rId9"/>
    <sheet name="C-Dados RT Simplif." sheetId="22" r:id="rId10"/>
    <sheet name="C-Triagem Man" sheetId="13" r:id="rId11"/>
    <sheet name="C-Triagem Mec" sheetId="14" r:id="rId12"/>
    <sheet name="C-Produção CDR-TM" sheetId="15" r:id="rId13"/>
    <sheet name="C-Produção CDR-TMB" sheetId="16" r:id="rId14"/>
    <sheet name="C-Compostagem" sheetId="17" r:id="rId15"/>
    <sheet name="C-Biodigestão" sheetId="18" r:id="rId16"/>
    <sheet name="C-Incineração" sheetId="19" r:id="rId17"/>
    <sheet name="C-Aterro Sanitário" sheetId="20" r:id="rId18"/>
    <sheet name="CO2 - Intro" sheetId="35" r:id="rId19"/>
    <sheet name="CO2 - Início" sheetId="36" r:id="rId20"/>
    <sheet name="CO2 - Reciclagem" sheetId="37" r:id="rId21"/>
    <sheet name="CO2 - Destinação" sheetId="38" r:id="rId22"/>
    <sheet name="CO2 - Cenário Base" sheetId="39" r:id="rId23"/>
    <sheet name="CO2 - Cenário RT 1A" sheetId="40" r:id="rId24"/>
    <sheet name="CO2 - Cenário RT 1B" sheetId="41" r:id="rId25"/>
    <sheet name="CO2 - Cenário RT 1C" sheetId="42" r:id="rId26"/>
    <sheet name="CO2 - Cenário RT 2" sheetId="43" r:id="rId27"/>
    <sheet name="CO2 - Cenário RT 3" sheetId="44" r:id="rId28"/>
    <sheet name="CO2 - Cenário RT 4" sheetId="45" r:id="rId29"/>
    <sheet name="CO2 - Cenário RT 5" sheetId="46" r:id="rId30"/>
    <sheet name="CO2 - Todos Resultados" sheetId="47" r:id="rId31"/>
    <sheet name="CO2 - Cálculos" sheetId="48" r:id="rId32"/>
  </sheets>
  <externalReferences>
    <externalReference r:id="rId33"/>
    <externalReference r:id="rId34"/>
    <externalReference r:id="rId35"/>
  </externalReferences>
  <definedNames>
    <definedName name="_xlnm.Print_Area" localSheetId="18">'CO2 - Intro'!$A$1:$W$54</definedName>
    <definedName name="langue" localSheetId="18">[1]Intro!#REF!</definedName>
    <definedName name="langue">#REF!</definedName>
    <definedName name="ListeA">'[2]Ne pas modifier - Do not modify'!$C$2:$C$638</definedName>
    <definedName name="ListeF">'[2]Ne pas modifier - Do not modify'!$B$2:$B$638</definedName>
    <definedName name="solver_opt" localSheetId="8">'C-FCL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42" i="22" l="1"/>
  <c r="C141" i="22"/>
  <c r="E40" i="36"/>
  <c r="E41" i="36"/>
  <c r="E42" i="36"/>
  <c r="E43" i="36"/>
  <c r="E44" i="36"/>
  <c r="E45" i="36"/>
  <c r="E46" i="36"/>
  <c r="C57" i="48" s="1"/>
  <c r="E47" i="36"/>
  <c r="C58" i="48" s="1"/>
  <c r="E39" i="36"/>
  <c r="E38" i="36"/>
  <c r="C49" i="48" s="1"/>
  <c r="E36" i="36"/>
  <c r="E37" i="36"/>
  <c r="C48" i="48" s="1"/>
  <c r="E35" i="36"/>
  <c r="E26" i="36"/>
  <c r="E9" i="36"/>
  <c r="X114" i="48"/>
  <c r="W114" i="48"/>
  <c r="V114" i="48"/>
  <c r="U114" i="48"/>
  <c r="T114" i="48"/>
  <c r="S114" i="48"/>
  <c r="R114" i="48"/>
  <c r="Q114" i="48"/>
  <c r="AC92" i="48"/>
  <c r="AC91" i="48"/>
  <c r="AC90" i="48"/>
  <c r="AC89" i="48"/>
  <c r="AC88" i="48"/>
  <c r="AC87" i="48"/>
  <c r="AC86" i="48"/>
  <c r="AC85" i="48"/>
  <c r="AC84" i="48"/>
  <c r="AK83" i="48"/>
  <c r="AJ83" i="48"/>
  <c r="AI83" i="48"/>
  <c r="AH83" i="48"/>
  <c r="AG83" i="48"/>
  <c r="AF83" i="48"/>
  <c r="AE83" i="48"/>
  <c r="AD83" i="48"/>
  <c r="AC83" i="48"/>
  <c r="AC81" i="48"/>
  <c r="AC80" i="48"/>
  <c r="AC79" i="48"/>
  <c r="AC78" i="48"/>
  <c r="K79" i="46" s="1"/>
  <c r="AC77" i="48"/>
  <c r="K78" i="46" s="1"/>
  <c r="AC76" i="48"/>
  <c r="AC75" i="48"/>
  <c r="X75" i="48"/>
  <c r="W75" i="48"/>
  <c r="V75" i="48"/>
  <c r="U75" i="48"/>
  <c r="T75" i="48"/>
  <c r="S75" i="48"/>
  <c r="R75" i="48"/>
  <c r="Q75" i="48"/>
  <c r="AC74" i="48"/>
  <c r="AC73" i="48"/>
  <c r="AC72" i="48"/>
  <c r="K72" i="48"/>
  <c r="J72" i="48"/>
  <c r="I72" i="48"/>
  <c r="H72" i="48"/>
  <c r="G72" i="48"/>
  <c r="F72" i="48"/>
  <c r="F83" i="48" s="1"/>
  <c r="E72" i="48"/>
  <c r="D72" i="48"/>
  <c r="D101" i="48" s="1"/>
  <c r="AC70" i="48"/>
  <c r="AC69" i="48"/>
  <c r="K70" i="46" s="1"/>
  <c r="AC68" i="48"/>
  <c r="K69" i="46" s="1"/>
  <c r="X68" i="48"/>
  <c r="W68" i="48"/>
  <c r="V68" i="48"/>
  <c r="U68" i="48"/>
  <c r="T68" i="48"/>
  <c r="S68" i="48"/>
  <c r="R68" i="48"/>
  <c r="Q68" i="48"/>
  <c r="AC67" i="48"/>
  <c r="AC66" i="48"/>
  <c r="AC65" i="48"/>
  <c r="AC64" i="48"/>
  <c r="AC63" i="48"/>
  <c r="X63" i="48"/>
  <c r="W63" i="48"/>
  <c r="V63" i="48"/>
  <c r="U63" i="48"/>
  <c r="T63" i="48"/>
  <c r="S63" i="48"/>
  <c r="R63" i="48"/>
  <c r="Q63" i="48"/>
  <c r="AC62" i="48"/>
  <c r="AC61" i="48"/>
  <c r="C56" i="48"/>
  <c r="C55" i="48"/>
  <c r="C54" i="48"/>
  <c r="C53" i="48"/>
  <c r="C52" i="48"/>
  <c r="C51" i="48"/>
  <c r="C47" i="48"/>
  <c r="C46" i="48"/>
  <c r="AK45" i="48"/>
  <c r="AH45" i="48"/>
  <c r="AG45" i="48"/>
  <c r="AF45" i="48"/>
  <c r="AE45" i="48"/>
  <c r="AD45" i="48"/>
  <c r="V45" i="48"/>
  <c r="U45" i="48"/>
  <c r="S45" i="48"/>
  <c r="R45" i="48"/>
  <c r="Q45" i="48"/>
  <c r="O45" i="48"/>
  <c r="W45" i="48" s="1"/>
  <c r="W44" i="48"/>
  <c r="V44" i="48"/>
  <c r="U44" i="48"/>
  <c r="T44" i="48"/>
  <c r="S44" i="48"/>
  <c r="R44" i="48"/>
  <c r="Q44" i="48"/>
  <c r="O44" i="48"/>
  <c r="X44" i="48" s="1"/>
  <c r="O43" i="48"/>
  <c r="AC41" i="48"/>
  <c r="AC40" i="48"/>
  <c r="AC39" i="48"/>
  <c r="AC38" i="48"/>
  <c r="AC37" i="48"/>
  <c r="AC36" i="48"/>
  <c r="AC35" i="48"/>
  <c r="AC34" i="48"/>
  <c r="AC32" i="48"/>
  <c r="AC31" i="48"/>
  <c r="AC30" i="48"/>
  <c r="B76" i="46" s="1"/>
  <c r="AC29" i="48"/>
  <c r="B75" i="46" s="1"/>
  <c r="AC28" i="48"/>
  <c r="AC27" i="48"/>
  <c r="AC26" i="48"/>
  <c r="AC25" i="48"/>
  <c r="AC23" i="48"/>
  <c r="J23" i="48"/>
  <c r="AC22" i="48"/>
  <c r="B68" i="46" s="1"/>
  <c r="J22" i="48"/>
  <c r="AC21" i="48"/>
  <c r="J21" i="48"/>
  <c r="AC20" i="48"/>
  <c r="J20" i="48"/>
  <c r="AC19" i="48"/>
  <c r="J19" i="48"/>
  <c r="AC18" i="48"/>
  <c r="B64" i="46" s="1"/>
  <c r="J18" i="48"/>
  <c r="AC17" i="48"/>
  <c r="X17" i="48"/>
  <c r="U17" i="48"/>
  <c r="T17" i="48"/>
  <c r="S17" i="48"/>
  <c r="R17" i="48"/>
  <c r="Q17" i="48"/>
  <c r="J17" i="48"/>
  <c r="AC16" i="48"/>
  <c r="J16" i="48"/>
  <c r="J15" i="48"/>
  <c r="R14" i="48"/>
  <c r="J14" i="48"/>
  <c r="R13" i="48"/>
  <c r="J13" i="48"/>
  <c r="J12" i="48"/>
  <c r="J11" i="48"/>
  <c r="V8" i="48"/>
  <c r="T8" i="48"/>
  <c r="S8" i="48"/>
  <c r="R8" i="48"/>
  <c r="Q8" i="48"/>
  <c r="P8" i="48"/>
  <c r="O8" i="48"/>
  <c r="U7" i="48"/>
  <c r="U8" i="48" s="1"/>
  <c r="R6" i="48"/>
  <c r="C6" i="48"/>
  <c r="AK3" i="48"/>
  <c r="AJ3" i="48"/>
  <c r="AH3" i="48"/>
  <c r="AG3" i="48"/>
  <c r="AF3" i="48"/>
  <c r="AE3" i="48"/>
  <c r="AD3" i="48"/>
  <c r="C3" i="48"/>
  <c r="J31" i="47"/>
  <c r="C31" i="47"/>
  <c r="J2" i="47"/>
  <c r="I2" i="47"/>
  <c r="I31" i="47" s="1"/>
  <c r="H2" i="47"/>
  <c r="H31" i="47" s="1"/>
  <c r="G2" i="47"/>
  <c r="G31" i="47" s="1"/>
  <c r="F2" i="47"/>
  <c r="F31" i="47" s="1"/>
  <c r="E2" i="47"/>
  <c r="E31" i="47" s="1"/>
  <c r="D2" i="47"/>
  <c r="D31" i="47" s="1"/>
  <c r="C2" i="47"/>
  <c r="K82" i="46"/>
  <c r="K81" i="46"/>
  <c r="K80" i="46"/>
  <c r="B78" i="46"/>
  <c r="K77" i="46"/>
  <c r="B77" i="46"/>
  <c r="L76" i="46"/>
  <c r="K76" i="46"/>
  <c r="L75" i="46"/>
  <c r="K75" i="46"/>
  <c r="L74" i="46"/>
  <c r="K74" i="46"/>
  <c r="B74" i="46"/>
  <c r="L73" i="46"/>
  <c r="K73" i="46"/>
  <c r="B73" i="46"/>
  <c r="B72" i="46"/>
  <c r="K71" i="46"/>
  <c r="B71" i="46"/>
  <c r="B69" i="46"/>
  <c r="K68" i="46"/>
  <c r="K67" i="46"/>
  <c r="B67" i="46"/>
  <c r="K66" i="46"/>
  <c r="B66" i="46"/>
  <c r="K65" i="46"/>
  <c r="B65" i="46"/>
  <c r="K63" i="46"/>
  <c r="B63" i="46"/>
  <c r="L62" i="46"/>
  <c r="K62" i="46"/>
  <c r="B62" i="46"/>
  <c r="B54" i="46"/>
  <c r="B53" i="46"/>
  <c r="B52" i="46"/>
  <c r="B51" i="46"/>
  <c r="B50" i="46"/>
  <c r="B49" i="46"/>
  <c r="D48" i="46"/>
  <c r="B48" i="46"/>
  <c r="D47" i="46"/>
  <c r="B47" i="46"/>
  <c r="D46" i="46"/>
  <c r="B46" i="46"/>
  <c r="D45" i="46"/>
  <c r="C45" i="46"/>
  <c r="B45" i="46"/>
  <c r="B41" i="46"/>
  <c r="B40" i="46"/>
  <c r="B39" i="46"/>
  <c r="B38" i="46"/>
  <c r="B37" i="46"/>
  <c r="B36" i="46"/>
  <c r="B35" i="46"/>
  <c r="B34" i="46"/>
  <c r="R20" i="46"/>
  <c r="R19" i="46"/>
  <c r="R18" i="46"/>
  <c r="M18" i="46"/>
  <c r="R17" i="46"/>
  <c r="M17" i="46"/>
  <c r="R16" i="46"/>
  <c r="M16" i="46"/>
  <c r="R15" i="46"/>
  <c r="M15" i="46"/>
  <c r="R14" i="46"/>
  <c r="M14" i="46"/>
  <c r="R13" i="46"/>
  <c r="M13" i="46"/>
  <c r="R12" i="46"/>
  <c r="M12" i="46"/>
  <c r="R11" i="46"/>
  <c r="M11" i="46"/>
  <c r="K82" i="45"/>
  <c r="K81" i="45"/>
  <c r="K80" i="45"/>
  <c r="K79" i="45"/>
  <c r="K78" i="45"/>
  <c r="B78" i="45"/>
  <c r="K77" i="45"/>
  <c r="B77" i="45"/>
  <c r="L76" i="45"/>
  <c r="K76" i="45"/>
  <c r="B76" i="45"/>
  <c r="L75" i="45"/>
  <c r="D47" i="45" s="1"/>
  <c r="K75" i="45"/>
  <c r="B75" i="45"/>
  <c r="L74" i="45"/>
  <c r="K74" i="45"/>
  <c r="B74" i="45"/>
  <c r="L73" i="45"/>
  <c r="K73" i="45"/>
  <c r="B73" i="45"/>
  <c r="B72" i="45"/>
  <c r="K71" i="45"/>
  <c r="B71" i="45"/>
  <c r="K70" i="45"/>
  <c r="K69" i="45"/>
  <c r="B69" i="45"/>
  <c r="K68" i="45"/>
  <c r="B68" i="45"/>
  <c r="K67" i="45"/>
  <c r="B67" i="45"/>
  <c r="K66" i="45"/>
  <c r="B66" i="45"/>
  <c r="K65" i="45"/>
  <c r="B65" i="45"/>
  <c r="B64" i="45"/>
  <c r="K63" i="45"/>
  <c r="B63" i="45"/>
  <c r="L62" i="45"/>
  <c r="K62" i="45"/>
  <c r="B62" i="45"/>
  <c r="B54" i="45"/>
  <c r="B53" i="45"/>
  <c r="B52" i="45"/>
  <c r="B51" i="45"/>
  <c r="B50" i="45"/>
  <c r="B49" i="45"/>
  <c r="D48" i="45"/>
  <c r="B48" i="45"/>
  <c r="B47" i="45"/>
  <c r="D46" i="45"/>
  <c r="B46" i="45"/>
  <c r="D45" i="45"/>
  <c r="B45" i="45"/>
  <c r="B41" i="45"/>
  <c r="B40" i="45"/>
  <c r="B39" i="45"/>
  <c r="B38" i="45"/>
  <c r="B37" i="45"/>
  <c r="B36" i="45"/>
  <c r="B35" i="45"/>
  <c r="B34" i="45"/>
  <c r="R20" i="45"/>
  <c r="R19" i="45"/>
  <c r="R18" i="45"/>
  <c r="M18" i="45"/>
  <c r="R17" i="45"/>
  <c r="M17" i="45"/>
  <c r="R16" i="45"/>
  <c r="M16" i="45"/>
  <c r="R15" i="45"/>
  <c r="M15" i="45"/>
  <c r="R14" i="45"/>
  <c r="M14" i="45"/>
  <c r="R13" i="45"/>
  <c r="M13" i="45"/>
  <c r="R12" i="45"/>
  <c r="M12" i="45"/>
  <c r="R11" i="45"/>
  <c r="M11" i="45"/>
  <c r="K82" i="44"/>
  <c r="K81" i="44"/>
  <c r="K80" i="44"/>
  <c r="K79" i="44"/>
  <c r="K78" i="44"/>
  <c r="B78" i="44"/>
  <c r="K77" i="44"/>
  <c r="B77" i="44"/>
  <c r="L76" i="44"/>
  <c r="K76" i="44"/>
  <c r="B76" i="44"/>
  <c r="L75" i="44"/>
  <c r="D47" i="44" s="1"/>
  <c r="K75" i="44"/>
  <c r="B75" i="44"/>
  <c r="L74" i="44"/>
  <c r="K74" i="44"/>
  <c r="B74" i="44"/>
  <c r="L73" i="44"/>
  <c r="K73" i="44"/>
  <c r="B73" i="44"/>
  <c r="B72" i="44"/>
  <c r="K71" i="44"/>
  <c r="B71" i="44"/>
  <c r="K70" i="44"/>
  <c r="K69" i="44"/>
  <c r="B69" i="44"/>
  <c r="K68" i="44"/>
  <c r="B68" i="44"/>
  <c r="K67" i="44"/>
  <c r="B67" i="44"/>
  <c r="K66" i="44"/>
  <c r="B66" i="44"/>
  <c r="K65" i="44"/>
  <c r="B65" i="44"/>
  <c r="K64" i="44"/>
  <c r="B64" i="44"/>
  <c r="K63" i="44"/>
  <c r="B63" i="44"/>
  <c r="L62" i="44"/>
  <c r="K62" i="44"/>
  <c r="B62" i="44"/>
  <c r="B54" i="44"/>
  <c r="B53" i="44"/>
  <c r="B52" i="44"/>
  <c r="B51" i="44"/>
  <c r="B50" i="44"/>
  <c r="B49" i="44"/>
  <c r="D48" i="44"/>
  <c r="B48" i="44"/>
  <c r="B47" i="44"/>
  <c r="D46" i="44"/>
  <c r="B46" i="44"/>
  <c r="D45" i="44"/>
  <c r="C45" i="44"/>
  <c r="B45" i="44"/>
  <c r="B41" i="44"/>
  <c r="B40" i="44"/>
  <c r="B39" i="44"/>
  <c r="B38" i="44"/>
  <c r="B37" i="44"/>
  <c r="B36" i="44"/>
  <c r="B35" i="44"/>
  <c r="B34" i="44"/>
  <c r="R20" i="44"/>
  <c r="R19" i="44"/>
  <c r="R18" i="44"/>
  <c r="M18" i="44"/>
  <c r="R17" i="44"/>
  <c r="M17" i="44"/>
  <c r="R16" i="44"/>
  <c r="M16" i="44"/>
  <c r="R15" i="44"/>
  <c r="M15" i="44"/>
  <c r="R14" i="44"/>
  <c r="M14" i="44"/>
  <c r="R13" i="44"/>
  <c r="M13" i="44"/>
  <c r="R12" i="44"/>
  <c r="M12" i="44"/>
  <c r="R11" i="44"/>
  <c r="M11" i="44"/>
  <c r="K82" i="43"/>
  <c r="K81" i="43"/>
  <c r="K80" i="43"/>
  <c r="K79" i="43"/>
  <c r="K78" i="43"/>
  <c r="B78" i="43"/>
  <c r="K77" i="43"/>
  <c r="B77" i="43"/>
  <c r="L76" i="43"/>
  <c r="D48" i="43" s="1"/>
  <c r="K76" i="43"/>
  <c r="B76" i="43"/>
  <c r="L75" i="43"/>
  <c r="D47" i="43" s="1"/>
  <c r="K75" i="43"/>
  <c r="B75" i="43"/>
  <c r="L74" i="43"/>
  <c r="K74" i="43"/>
  <c r="B74" i="43"/>
  <c r="L73" i="43"/>
  <c r="D45" i="43" s="1"/>
  <c r="K73" i="43"/>
  <c r="B73" i="43"/>
  <c r="B72" i="43"/>
  <c r="K71" i="43"/>
  <c r="B71" i="43"/>
  <c r="K70" i="43"/>
  <c r="K69" i="43"/>
  <c r="B69" i="43"/>
  <c r="K68" i="43"/>
  <c r="B68" i="43"/>
  <c r="K67" i="43"/>
  <c r="B67" i="43"/>
  <c r="K66" i="43"/>
  <c r="B66" i="43"/>
  <c r="K65" i="43"/>
  <c r="B65" i="43"/>
  <c r="K64" i="43"/>
  <c r="B64" i="43"/>
  <c r="K63" i="43"/>
  <c r="B63" i="43"/>
  <c r="L62" i="43"/>
  <c r="K62" i="43"/>
  <c r="B62" i="43"/>
  <c r="B54" i="43"/>
  <c r="B53" i="43"/>
  <c r="B52" i="43"/>
  <c r="B51" i="43"/>
  <c r="B50" i="43"/>
  <c r="B49" i="43"/>
  <c r="B48" i="43"/>
  <c r="B47" i="43"/>
  <c r="D46" i="43"/>
  <c r="B46" i="43"/>
  <c r="E45" i="43"/>
  <c r="C45" i="43"/>
  <c r="B45" i="43"/>
  <c r="B41" i="43"/>
  <c r="B40" i="43"/>
  <c r="B39" i="43"/>
  <c r="B38" i="43"/>
  <c r="B37" i="43"/>
  <c r="B36" i="43"/>
  <c r="B35" i="43"/>
  <c r="B34" i="43"/>
  <c r="R20" i="43"/>
  <c r="R19" i="43"/>
  <c r="R18" i="43"/>
  <c r="M18" i="43"/>
  <c r="R17" i="43"/>
  <c r="M17" i="43"/>
  <c r="R16" i="43"/>
  <c r="M16" i="43"/>
  <c r="R15" i="43"/>
  <c r="M15" i="43"/>
  <c r="R14" i="43"/>
  <c r="M14" i="43"/>
  <c r="R13" i="43"/>
  <c r="M13" i="43"/>
  <c r="R12" i="43"/>
  <c r="M12" i="43"/>
  <c r="R11" i="43"/>
  <c r="M11" i="43"/>
  <c r="K82" i="42"/>
  <c r="K81" i="42"/>
  <c r="K80" i="42"/>
  <c r="K79" i="42"/>
  <c r="K78" i="42"/>
  <c r="B78" i="42"/>
  <c r="K77" i="42"/>
  <c r="B77" i="42"/>
  <c r="L76" i="42"/>
  <c r="K76" i="42"/>
  <c r="B76" i="42"/>
  <c r="L75" i="42"/>
  <c r="K75" i="42"/>
  <c r="B75" i="42"/>
  <c r="L74" i="42"/>
  <c r="K74" i="42"/>
  <c r="B74" i="42"/>
  <c r="L73" i="42"/>
  <c r="K73" i="42"/>
  <c r="B73" i="42"/>
  <c r="B72" i="42"/>
  <c r="K71" i="42"/>
  <c r="B71" i="42"/>
  <c r="K70" i="42"/>
  <c r="K69" i="42"/>
  <c r="B69" i="42"/>
  <c r="K68" i="42"/>
  <c r="B68" i="42"/>
  <c r="K67" i="42"/>
  <c r="B67" i="42"/>
  <c r="K66" i="42"/>
  <c r="B66" i="42"/>
  <c r="K65" i="42"/>
  <c r="B65" i="42"/>
  <c r="K64" i="42"/>
  <c r="B64" i="42"/>
  <c r="K63" i="42"/>
  <c r="B63" i="42"/>
  <c r="L62" i="42"/>
  <c r="K62" i="42"/>
  <c r="B62" i="42"/>
  <c r="B54" i="42"/>
  <c r="B53" i="42"/>
  <c r="B52" i="42"/>
  <c r="B51" i="42"/>
  <c r="B50" i="42"/>
  <c r="B49" i="42"/>
  <c r="D48" i="42"/>
  <c r="B48" i="42"/>
  <c r="D47" i="42"/>
  <c r="B47" i="42"/>
  <c r="D46" i="42"/>
  <c r="B46" i="42"/>
  <c r="D45" i="42"/>
  <c r="E45" i="42" s="1"/>
  <c r="C45" i="42"/>
  <c r="B45" i="42"/>
  <c r="B41" i="42"/>
  <c r="B40" i="42"/>
  <c r="B39" i="42"/>
  <c r="B38" i="42"/>
  <c r="B37" i="42"/>
  <c r="B36" i="42"/>
  <c r="B35" i="42"/>
  <c r="B34" i="42"/>
  <c r="R20" i="42"/>
  <c r="R19" i="42"/>
  <c r="R18" i="42"/>
  <c r="M18" i="42"/>
  <c r="R17" i="42"/>
  <c r="M17" i="42"/>
  <c r="R16" i="42"/>
  <c r="M16" i="42"/>
  <c r="R15" i="42"/>
  <c r="M15" i="42"/>
  <c r="R14" i="42"/>
  <c r="M14" i="42"/>
  <c r="R13" i="42"/>
  <c r="M13" i="42"/>
  <c r="R12" i="42"/>
  <c r="M12" i="42"/>
  <c r="R11" i="42"/>
  <c r="M11" i="42"/>
  <c r="K82" i="41"/>
  <c r="K81" i="41"/>
  <c r="K80" i="41"/>
  <c r="K79" i="41"/>
  <c r="K78" i="41"/>
  <c r="B78" i="41"/>
  <c r="K77" i="41"/>
  <c r="B77" i="41"/>
  <c r="L76" i="41"/>
  <c r="K76" i="41"/>
  <c r="B76" i="41"/>
  <c r="L75" i="41"/>
  <c r="D47" i="41" s="1"/>
  <c r="K75" i="41"/>
  <c r="B75" i="41"/>
  <c r="L74" i="41"/>
  <c r="K74" i="41"/>
  <c r="B74" i="41"/>
  <c r="L73" i="41"/>
  <c r="D45" i="41" s="1"/>
  <c r="K73" i="41"/>
  <c r="B73" i="41"/>
  <c r="B72" i="41"/>
  <c r="K71" i="41"/>
  <c r="B71" i="41"/>
  <c r="K70" i="41"/>
  <c r="K69" i="41"/>
  <c r="B69" i="41"/>
  <c r="K68" i="41"/>
  <c r="B68" i="41"/>
  <c r="K67" i="41"/>
  <c r="B67" i="41"/>
  <c r="K66" i="41"/>
  <c r="B66" i="41"/>
  <c r="K65" i="41"/>
  <c r="B65" i="41"/>
  <c r="K64" i="41"/>
  <c r="B64" i="41"/>
  <c r="K63" i="41"/>
  <c r="B63" i="41"/>
  <c r="L62" i="41"/>
  <c r="K62" i="41"/>
  <c r="B62" i="41"/>
  <c r="B54" i="41"/>
  <c r="B53" i="41"/>
  <c r="B52" i="41"/>
  <c r="B51" i="41"/>
  <c r="B50" i="41"/>
  <c r="B49" i="41"/>
  <c r="D48" i="41"/>
  <c r="B48" i="41"/>
  <c r="B47" i="41"/>
  <c r="D46" i="41"/>
  <c r="B46" i="41"/>
  <c r="B45" i="41"/>
  <c r="B41" i="41"/>
  <c r="B40" i="41"/>
  <c r="B39" i="41"/>
  <c r="B38" i="41"/>
  <c r="B37" i="41"/>
  <c r="B36" i="41"/>
  <c r="B35" i="41"/>
  <c r="B34" i="41"/>
  <c r="R20" i="41"/>
  <c r="R19" i="41"/>
  <c r="R18" i="41"/>
  <c r="M18" i="41"/>
  <c r="R17" i="41"/>
  <c r="M17" i="41"/>
  <c r="R16" i="41"/>
  <c r="M16" i="41"/>
  <c r="R15" i="41"/>
  <c r="M15" i="41"/>
  <c r="R14" i="41"/>
  <c r="M14" i="41"/>
  <c r="R13" i="41"/>
  <c r="M13" i="41"/>
  <c r="R12" i="41"/>
  <c r="M12" i="41"/>
  <c r="R11" i="41"/>
  <c r="M11" i="41"/>
  <c r="K82" i="40"/>
  <c r="K81" i="40"/>
  <c r="K80" i="40"/>
  <c r="K79" i="40"/>
  <c r="K78" i="40"/>
  <c r="B78" i="40"/>
  <c r="K77" i="40"/>
  <c r="B77" i="40"/>
  <c r="L76" i="40"/>
  <c r="K76" i="40"/>
  <c r="B76" i="40"/>
  <c r="L75" i="40"/>
  <c r="K75" i="40"/>
  <c r="B75" i="40"/>
  <c r="L74" i="40"/>
  <c r="K74" i="40"/>
  <c r="B74" i="40"/>
  <c r="L73" i="40"/>
  <c r="K73" i="40"/>
  <c r="B73" i="40"/>
  <c r="B72" i="40"/>
  <c r="K71" i="40"/>
  <c r="B71" i="40"/>
  <c r="K70" i="40"/>
  <c r="K69" i="40"/>
  <c r="B69" i="40"/>
  <c r="K68" i="40"/>
  <c r="B68" i="40"/>
  <c r="K67" i="40"/>
  <c r="B67" i="40"/>
  <c r="K66" i="40"/>
  <c r="B66" i="40"/>
  <c r="K65" i="40"/>
  <c r="B65" i="40"/>
  <c r="K64" i="40"/>
  <c r="B64" i="40"/>
  <c r="K63" i="40"/>
  <c r="B63" i="40"/>
  <c r="L62" i="40"/>
  <c r="K62" i="40"/>
  <c r="B62" i="40"/>
  <c r="B54" i="40"/>
  <c r="B53" i="40"/>
  <c r="B52" i="40"/>
  <c r="B51" i="40"/>
  <c r="B50" i="40"/>
  <c r="B49" i="40"/>
  <c r="D48" i="40"/>
  <c r="B48" i="40"/>
  <c r="D47" i="40"/>
  <c r="B47" i="40"/>
  <c r="D46" i="40"/>
  <c r="B46" i="40"/>
  <c r="D45" i="40"/>
  <c r="C45" i="40"/>
  <c r="B45" i="40"/>
  <c r="B41" i="40"/>
  <c r="B40" i="40"/>
  <c r="B39" i="40"/>
  <c r="B38" i="40"/>
  <c r="B37" i="40"/>
  <c r="B36" i="40"/>
  <c r="B35" i="40"/>
  <c r="B34" i="40"/>
  <c r="R20" i="40"/>
  <c r="R19" i="40"/>
  <c r="R18" i="40"/>
  <c r="M18" i="40"/>
  <c r="R17" i="40"/>
  <c r="M17" i="40"/>
  <c r="R16" i="40"/>
  <c r="M16" i="40"/>
  <c r="R15" i="40"/>
  <c r="M15" i="40"/>
  <c r="R14" i="40"/>
  <c r="M14" i="40"/>
  <c r="R13" i="40"/>
  <c r="M13" i="40"/>
  <c r="R12" i="40"/>
  <c r="M12" i="40"/>
  <c r="R11" i="40"/>
  <c r="M11" i="40"/>
  <c r="K82" i="39"/>
  <c r="K81" i="39"/>
  <c r="K80" i="39"/>
  <c r="K79" i="39"/>
  <c r="K78" i="39"/>
  <c r="B78" i="39"/>
  <c r="K77" i="39"/>
  <c r="B77" i="39"/>
  <c r="L76" i="39"/>
  <c r="K76" i="39"/>
  <c r="B76" i="39"/>
  <c r="L75" i="39"/>
  <c r="K75" i="39"/>
  <c r="B75" i="39"/>
  <c r="L74" i="39"/>
  <c r="D46" i="39" s="1"/>
  <c r="K74" i="39"/>
  <c r="B74" i="39"/>
  <c r="L73" i="39"/>
  <c r="K73" i="39"/>
  <c r="B73" i="39"/>
  <c r="B72" i="39"/>
  <c r="K71" i="39"/>
  <c r="B71" i="39"/>
  <c r="K70" i="39"/>
  <c r="K69" i="39"/>
  <c r="B69" i="39"/>
  <c r="K68" i="39"/>
  <c r="B68" i="39"/>
  <c r="K67" i="39"/>
  <c r="B67" i="39"/>
  <c r="K66" i="39"/>
  <c r="B66" i="39"/>
  <c r="K65" i="39"/>
  <c r="B65" i="39"/>
  <c r="K64" i="39"/>
  <c r="B64" i="39"/>
  <c r="K63" i="39"/>
  <c r="B63" i="39"/>
  <c r="L62" i="39"/>
  <c r="K62" i="39"/>
  <c r="B62" i="39"/>
  <c r="B54" i="39"/>
  <c r="B53" i="39"/>
  <c r="B52" i="39"/>
  <c r="B51" i="39"/>
  <c r="B50" i="39"/>
  <c r="B49" i="39"/>
  <c r="D48" i="39"/>
  <c r="B48" i="39"/>
  <c r="D47" i="39"/>
  <c r="B47" i="39"/>
  <c r="B46" i="39"/>
  <c r="D45" i="39"/>
  <c r="C45" i="39"/>
  <c r="B45" i="39"/>
  <c r="B41" i="39"/>
  <c r="B40" i="39"/>
  <c r="B39" i="39"/>
  <c r="B38" i="39"/>
  <c r="B37" i="39"/>
  <c r="B36" i="39"/>
  <c r="B35" i="39"/>
  <c r="B34" i="39"/>
  <c r="R20" i="39"/>
  <c r="R19" i="39"/>
  <c r="R18" i="39"/>
  <c r="M18" i="39"/>
  <c r="R17" i="39"/>
  <c r="M17" i="39"/>
  <c r="R16" i="39"/>
  <c r="M16" i="39"/>
  <c r="R15" i="39"/>
  <c r="M15" i="39"/>
  <c r="R14" i="39"/>
  <c r="M14" i="39"/>
  <c r="R13" i="39"/>
  <c r="M13" i="39"/>
  <c r="R12" i="39"/>
  <c r="M12" i="39"/>
  <c r="R11" i="39"/>
  <c r="M11" i="39"/>
  <c r="M53" i="38"/>
  <c r="L53" i="38"/>
  <c r="K53" i="38"/>
  <c r="J53" i="38"/>
  <c r="I53" i="38"/>
  <c r="H53" i="38"/>
  <c r="G53" i="38"/>
  <c r="E53" i="38"/>
  <c r="M48" i="38"/>
  <c r="L48" i="38"/>
  <c r="K48" i="38"/>
  <c r="J48" i="38"/>
  <c r="I48" i="38"/>
  <c r="H48" i="38"/>
  <c r="G48" i="38"/>
  <c r="E48" i="38"/>
  <c r="M36" i="38"/>
  <c r="L36" i="38"/>
  <c r="K36" i="38"/>
  <c r="J36" i="38"/>
  <c r="I36" i="38"/>
  <c r="H36" i="38"/>
  <c r="G36" i="38"/>
  <c r="E36" i="38"/>
  <c r="M20" i="38"/>
  <c r="L20" i="38"/>
  <c r="K20" i="38"/>
  <c r="J20" i="38"/>
  <c r="I20" i="38"/>
  <c r="H20" i="38"/>
  <c r="G20" i="38"/>
  <c r="E20" i="38"/>
  <c r="M5" i="38"/>
  <c r="L5" i="38"/>
  <c r="K5" i="38"/>
  <c r="J5" i="38"/>
  <c r="I5" i="38"/>
  <c r="H5" i="38"/>
  <c r="G5" i="38"/>
  <c r="E5" i="38"/>
  <c r="M41" i="37"/>
  <c r="L41" i="37"/>
  <c r="K41" i="37"/>
  <c r="J41" i="37"/>
  <c r="I41" i="37"/>
  <c r="H41" i="37"/>
  <c r="G41" i="37"/>
  <c r="E41" i="37"/>
  <c r="S35" i="37"/>
  <c r="S34" i="37"/>
  <c r="S33" i="37"/>
  <c r="S32" i="37"/>
  <c r="M32" i="37"/>
  <c r="L32" i="37"/>
  <c r="K32" i="37"/>
  <c r="J32" i="37"/>
  <c r="I32" i="37"/>
  <c r="H32" i="37"/>
  <c r="G32" i="37"/>
  <c r="E32" i="37"/>
  <c r="S31" i="37"/>
  <c r="S30" i="37"/>
  <c r="S29" i="37"/>
  <c r="D48" i="36"/>
  <c r="C48" i="36"/>
  <c r="J26" i="36"/>
  <c r="J24" i="36"/>
  <c r="D44" i="48" s="1"/>
  <c r="D19" i="36"/>
  <c r="E48" i="36" l="1"/>
  <c r="C50" i="48"/>
  <c r="T33" i="37"/>
  <c r="T31" i="37"/>
  <c r="T35" i="37"/>
  <c r="T32" i="37"/>
  <c r="U32" i="37"/>
  <c r="U29" i="37"/>
  <c r="T30" i="37"/>
  <c r="U34" i="37"/>
  <c r="U31" i="37"/>
  <c r="U30" i="37"/>
  <c r="U35" i="37"/>
  <c r="D56" i="48"/>
  <c r="D52" i="48"/>
  <c r="D48" i="48"/>
  <c r="D55" i="48"/>
  <c r="D51" i="48"/>
  <c r="D47" i="48"/>
  <c r="D57" i="48"/>
  <c r="D53" i="48"/>
  <c r="D49" i="48"/>
  <c r="D46" i="48"/>
  <c r="D58" i="48"/>
  <c r="D50" i="48"/>
  <c r="D54" i="48"/>
  <c r="U33" i="37"/>
  <c r="E45" i="39"/>
  <c r="C45" i="41"/>
  <c r="T29" i="37"/>
  <c r="T34" i="37"/>
  <c r="X138" i="48"/>
  <c r="W138" i="48"/>
  <c r="V138" i="48"/>
  <c r="U138" i="48"/>
  <c r="T138" i="48"/>
  <c r="Q138" i="48"/>
  <c r="S138" i="48"/>
  <c r="V105" i="48"/>
  <c r="Q90" i="48"/>
  <c r="R138" i="48"/>
  <c r="U105" i="48"/>
  <c r="X90" i="48"/>
  <c r="T105" i="48"/>
  <c r="W90" i="48"/>
  <c r="S105" i="48"/>
  <c r="V90" i="48"/>
  <c r="R105" i="48"/>
  <c r="U90" i="48"/>
  <c r="W105" i="48"/>
  <c r="R90" i="48"/>
  <c r="W77" i="48"/>
  <c r="W78" i="48" s="1"/>
  <c r="T65" i="48"/>
  <c r="V77" i="48"/>
  <c r="S65" i="48"/>
  <c r="Q43" i="48"/>
  <c r="T90" i="48"/>
  <c r="U77" i="48"/>
  <c r="R65" i="48"/>
  <c r="S90" i="48"/>
  <c r="T77" i="48"/>
  <c r="Q65" i="48"/>
  <c r="Q66" i="48" s="1"/>
  <c r="S77" i="48"/>
  <c r="X65" i="48"/>
  <c r="X77" i="48"/>
  <c r="X78" i="48" s="1"/>
  <c r="U65" i="48"/>
  <c r="U66" i="48" s="1"/>
  <c r="V65" i="48"/>
  <c r="V66" i="48" s="1"/>
  <c r="T43" i="48"/>
  <c r="X105" i="48"/>
  <c r="R77" i="48"/>
  <c r="R78" i="48" s="1"/>
  <c r="W65" i="48"/>
  <c r="W66" i="48" s="1"/>
  <c r="Q105" i="48"/>
  <c r="Q77" i="48"/>
  <c r="Q78" i="48" s="1"/>
  <c r="U43" i="48"/>
  <c r="C45" i="45"/>
  <c r="T78" i="48"/>
  <c r="K64" i="45"/>
  <c r="K64" i="46"/>
  <c r="E45" i="40"/>
  <c r="E45" i="44"/>
  <c r="E45" i="46"/>
  <c r="T66" i="48"/>
  <c r="R66" i="48"/>
  <c r="D152" i="48"/>
  <c r="D147" i="48"/>
  <c r="D130" i="48"/>
  <c r="S66" i="48"/>
  <c r="S78" i="48"/>
  <c r="U78" i="48"/>
  <c r="C67" i="48"/>
  <c r="C62" i="48"/>
  <c r="C59" i="48"/>
  <c r="C68" i="48"/>
  <c r="C63" i="48"/>
  <c r="K64" i="36" s="1"/>
  <c r="V78" i="48"/>
  <c r="R43" i="48"/>
  <c r="I123" i="48"/>
  <c r="I118" i="48"/>
  <c r="I101" i="48"/>
  <c r="I83" i="48"/>
  <c r="AI45" i="48"/>
  <c r="V17" i="48"/>
  <c r="AI3" i="48"/>
  <c r="X66" i="48"/>
  <c r="J123" i="48"/>
  <c r="J118" i="48"/>
  <c r="J83" i="48"/>
  <c r="J101" i="48"/>
  <c r="AJ45" i="48"/>
  <c r="W17" i="48"/>
  <c r="S43" i="48"/>
  <c r="X45" i="48"/>
  <c r="H123" i="48"/>
  <c r="H118" i="48"/>
  <c r="H101" i="48"/>
  <c r="H83" i="48"/>
  <c r="V43" i="48"/>
  <c r="K123" i="48"/>
  <c r="K118" i="48"/>
  <c r="K83" i="48"/>
  <c r="W43" i="48"/>
  <c r="T45" i="48"/>
  <c r="D118" i="48"/>
  <c r="D83" i="48"/>
  <c r="K101" i="48"/>
  <c r="D123" i="48"/>
  <c r="X43" i="48"/>
  <c r="E118" i="48"/>
  <c r="E101" i="48"/>
  <c r="E123" i="48"/>
  <c r="F101" i="48"/>
  <c r="F123" i="48"/>
  <c r="F118" i="48"/>
  <c r="G123" i="48"/>
  <c r="G118" i="48"/>
  <c r="G101" i="48"/>
  <c r="G83" i="48"/>
  <c r="E83" i="48"/>
  <c r="D34" i="8"/>
  <c r="K62" i="36" l="1"/>
  <c r="V35" i="37"/>
  <c r="V30" i="37"/>
  <c r="I95" i="48"/>
  <c r="H95" i="48"/>
  <c r="G95" i="48"/>
  <c r="F95" i="48"/>
  <c r="E95" i="48"/>
  <c r="J95" i="48"/>
  <c r="D95" i="48"/>
  <c r="K95" i="48"/>
  <c r="J92" i="48"/>
  <c r="I92" i="48"/>
  <c r="H92" i="48"/>
  <c r="G92" i="48"/>
  <c r="F92" i="48"/>
  <c r="K92" i="48"/>
  <c r="D92" i="48"/>
  <c r="E92" i="48"/>
  <c r="E74" i="48"/>
  <c r="AE6" i="48" s="1"/>
  <c r="D74" i="48"/>
  <c r="AD6" i="48" s="1"/>
  <c r="K74" i="48"/>
  <c r="AK6" i="48" s="1"/>
  <c r="J74" i="48"/>
  <c r="AJ6" i="48" s="1"/>
  <c r="D85" i="48"/>
  <c r="I74" i="48"/>
  <c r="AI6" i="48" s="1"/>
  <c r="F74" i="48"/>
  <c r="AF6" i="48" s="1"/>
  <c r="H74" i="48"/>
  <c r="AH6" i="48" s="1"/>
  <c r="G74" i="48"/>
  <c r="AG6" i="48" s="1"/>
  <c r="Q130" i="48"/>
  <c r="Q80" i="48"/>
  <c r="I96" i="48"/>
  <c r="H96" i="48"/>
  <c r="G96" i="48"/>
  <c r="F96" i="48"/>
  <c r="E96" i="48"/>
  <c r="J96" i="48"/>
  <c r="K96" i="48"/>
  <c r="D96" i="48"/>
  <c r="I93" i="48"/>
  <c r="H93" i="48"/>
  <c r="G93" i="48"/>
  <c r="F93" i="48"/>
  <c r="E93" i="48"/>
  <c r="J93" i="48"/>
  <c r="D93" i="48"/>
  <c r="K93" i="48"/>
  <c r="J77" i="48"/>
  <c r="AJ9" i="48" s="1"/>
  <c r="I77" i="48"/>
  <c r="AI9" i="48" s="1"/>
  <c r="H77" i="48"/>
  <c r="AH9" i="48" s="1"/>
  <c r="G77" i="48"/>
  <c r="AG9" i="48" s="1"/>
  <c r="F77" i="48"/>
  <c r="AF9" i="48" s="1"/>
  <c r="K77" i="48"/>
  <c r="AK9" i="48" s="1"/>
  <c r="E77" i="48"/>
  <c r="AE9" i="48" s="1"/>
  <c r="D77" i="48"/>
  <c r="AD9" i="48" s="1"/>
  <c r="D181" i="48"/>
  <c r="D176" i="48"/>
  <c r="D159" i="48"/>
  <c r="F73" i="48"/>
  <c r="F84" i="48" s="1"/>
  <c r="E73" i="48"/>
  <c r="E84" i="48" s="1"/>
  <c r="D73" i="48"/>
  <c r="D84" i="48" s="1"/>
  <c r="K73" i="48"/>
  <c r="K84" i="48" s="1"/>
  <c r="D59" i="48"/>
  <c r="J73" i="48"/>
  <c r="G73" i="48"/>
  <c r="G84" i="48" s="1"/>
  <c r="I73" i="48"/>
  <c r="I84" i="48" s="1"/>
  <c r="H73" i="48"/>
  <c r="H84" i="48" s="1"/>
  <c r="D75" i="48"/>
  <c r="AD7" i="48" s="1"/>
  <c r="K75" i="48"/>
  <c r="AK7" i="48" s="1"/>
  <c r="J75" i="48"/>
  <c r="AJ7" i="48" s="1"/>
  <c r="I75" i="48"/>
  <c r="AI7" i="48" s="1"/>
  <c r="H75" i="48"/>
  <c r="AH7" i="48" s="1"/>
  <c r="E75" i="48"/>
  <c r="AE7" i="48" s="1"/>
  <c r="G75" i="48"/>
  <c r="AG7" i="48" s="1"/>
  <c r="F75" i="48"/>
  <c r="AF7" i="48" s="1"/>
  <c r="E45" i="41"/>
  <c r="G152" i="48"/>
  <c r="G147" i="48"/>
  <c r="G130" i="48"/>
  <c r="I78" i="48"/>
  <c r="AI10" i="48" s="1"/>
  <c r="H78" i="48"/>
  <c r="AH10" i="48" s="1"/>
  <c r="G78" i="48"/>
  <c r="AG10" i="48" s="1"/>
  <c r="F78" i="48"/>
  <c r="AF10" i="48" s="1"/>
  <c r="E78" i="48"/>
  <c r="AE10" i="48" s="1"/>
  <c r="J78" i="48"/>
  <c r="AJ10" i="48" s="1"/>
  <c r="K78" i="48"/>
  <c r="AK10" i="48" s="1"/>
  <c r="D78" i="48"/>
  <c r="AD10" i="48" s="1"/>
  <c r="K152" i="48"/>
  <c r="K147" i="48"/>
  <c r="K130" i="48"/>
  <c r="X130" i="48"/>
  <c r="W130" i="48"/>
  <c r="V130" i="48"/>
  <c r="X80" i="48"/>
  <c r="W80" i="48"/>
  <c r="V80" i="48"/>
  <c r="I152" i="48"/>
  <c r="I147" i="48"/>
  <c r="I130" i="48"/>
  <c r="K76" i="48"/>
  <c r="AK8" i="48" s="1"/>
  <c r="J76" i="48"/>
  <c r="AJ8" i="48" s="1"/>
  <c r="I76" i="48"/>
  <c r="AI8" i="48" s="1"/>
  <c r="H76" i="48"/>
  <c r="AH8" i="48" s="1"/>
  <c r="G76" i="48"/>
  <c r="AG8" i="48" s="1"/>
  <c r="D76" i="48"/>
  <c r="AD8" i="48" s="1"/>
  <c r="F76" i="48"/>
  <c r="AF8" i="48" s="1"/>
  <c r="E76" i="48"/>
  <c r="AE8" i="48" s="1"/>
  <c r="K79" i="48"/>
  <c r="AK11" i="48" s="1"/>
  <c r="J79" i="48"/>
  <c r="AJ11" i="48" s="1"/>
  <c r="I79" i="48"/>
  <c r="AI11" i="48" s="1"/>
  <c r="H79" i="48"/>
  <c r="AH11" i="48" s="1"/>
  <c r="G79" i="48"/>
  <c r="AG11" i="48" s="1"/>
  <c r="F79" i="48"/>
  <c r="AF11" i="48" s="1"/>
  <c r="D79" i="48"/>
  <c r="AD11" i="48" s="1"/>
  <c r="E79" i="48"/>
  <c r="AE11" i="48" s="1"/>
  <c r="E130" i="48"/>
  <c r="E152" i="48"/>
  <c r="E147" i="48"/>
  <c r="T130" i="48"/>
  <c r="R130" i="48"/>
  <c r="S80" i="48"/>
  <c r="S130" i="48"/>
  <c r="T80" i="48"/>
  <c r="R80" i="48"/>
  <c r="J152" i="48"/>
  <c r="J147" i="48"/>
  <c r="J130" i="48"/>
  <c r="F130" i="48"/>
  <c r="F147" i="48"/>
  <c r="F152" i="48"/>
  <c r="H152" i="48"/>
  <c r="H147" i="48"/>
  <c r="H130" i="48"/>
  <c r="C64" i="48"/>
  <c r="K65" i="36" s="1"/>
  <c r="K63" i="36"/>
  <c r="E45" i="45"/>
  <c r="U130" i="48"/>
  <c r="U80" i="48"/>
  <c r="K80" i="48"/>
  <c r="AK12" i="48" s="1"/>
  <c r="J80" i="48"/>
  <c r="AJ12" i="48" s="1"/>
  <c r="I80" i="48"/>
  <c r="AI12" i="48" s="1"/>
  <c r="F80" i="48"/>
  <c r="AF12" i="48" s="1"/>
  <c r="G80" i="48"/>
  <c r="AG12" i="48" s="1"/>
  <c r="E80" i="48"/>
  <c r="AE12" i="48" s="1"/>
  <c r="D80" i="48"/>
  <c r="AD12" i="48" s="1"/>
  <c r="H80" i="48"/>
  <c r="AH12" i="48" s="1"/>
  <c r="I94" i="48"/>
  <c r="H94" i="48"/>
  <c r="G94" i="48"/>
  <c r="F94" i="48"/>
  <c r="E94" i="48"/>
  <c r="J94" i="48"/>
  <c r="K94" i="48"/>
  <c r="D94" i="48"/>
  <c r="C140" i="22"/>
  <c r="V32" i="20"/>
  <c r="R32" i="20"/>
  <c r="N32" i="20"/>
  <c r="J32" i="20"/>
  <c r="F32" i="20"/>
  <c r="D32" i="20"/>
  <c r="C110" i="22"/>
  <c r="C133" i="22"/>
  <c r="C130" i="22"/>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E91" i="48" l="1"/>
  <c r="F91" i="48"/>
  <c r="F90" i="48"/>
  <c r="I88" i="48"/>
  <c r="I87" i="48"/>
  <c r="J87" i="48"/>
  <c r="D86" i="48"/>
  <c r="D88" i="48"/>
  <c r="I90" i="48"/>
  <c r="K85" i="48"/>
  <c r="H87" i="48"/>
  <c r="K87" i="48"/>
  <c r="G85" i="48"/>
  <c r="J86" i="48"/>
  <c r="K91" i="48"/>
  <c r="H90" i="48"/>
  <c r="F89" i="48"/>
  <c r="G86" i="48"/>
  <c r="E87" i="48"/>
  <c r="K86" i="48"/>
  <c r="J90" i="48"/>
  <c r="E85" i="48"/>
  <c r="D91" i="48"/>
  <c r="D90" i="48"/>
  <c r="G89" i="48"/>
  <c r="K88" i="48"/>
  <c r="F85" i="48"/>
  <c r="H89" i="48"/>
  <c r="H88" i="48"/>
  <c r="E88" i="48"/>
  <c r="H85" i="48"/>
  <c r="J81" i="48"/>
  <c r="J97" i="48" s="1"/>
  <c r="J113" i="48" s="1"/>
  <c r="J171" i="48" s="1"/>
  <c r="AJ5" i="48"/>
  <c r="I181" i="48"/>
  <c r="I176" i="48"/>
  <c r="I159" i="48"/>
  <c r="E86" i="48"/>
  <c r="G91" i="48"/>
  <c r="G90" i="48"/>
  <c r="AD19" i="48"/>
  <c r="AD28" i="48"/>
  <c r="C74" i="39" s="1"/>
  <c r="D37" i="39" s="1"/>
  <c r="C10" i="47"/>
  <c r="C10" i="39"/>
  <c r="N14" i="39" s="1"/>
  <c r="D87" i="48"/>
  <c r="AJ21" i="48"/>
  <c r="I12" i="47"/>
  <c r="C12" i="45"/>
  <c r="N16" i="45" s="1"/>
  <c r="AJ30" i="48"/>
  <c r="C76" i="45" s="1"/>
  <c r="D39" i="45" s="1"/>
  <c r="C12" i="46"/>
  <c r="N16" i="46" s="1"/>
  <c r="F86" i="48"/>
  <c r="K81" i="48"/>
  <c r="K97" i="48" s="1"/>
  <c r="AK5" i="48"/>
  <c r="AG29" i="48"/>
  <c r="C75" i="42" s="1"/>
  <c r="D38" i="42" s="1"/>
  <c r="F11" i="47"/>
  <c r="AG20" i="48"/>
  <c r="C11" i="41"/>
  <c r="N15" i="41" s="1"/>
  <c r="C11" i="42"/>
  <c r="N15" i="42" s="1"/>
  <c r="AJ17" i="48"/>
  <c r="AJ26" i="48"/>
  <c r="C72" i="45" s="1"/>
  <c r="D35" i="45" s="1"/>
  <c r="I8" i="47"/>
  <c r="C8" i="45"/>
  <c r="N12" i="45" s="1"/>
  <c r="C8" i="46"/>
  <c r="N12" i="46" s="1"/>
  <c r="AF19" i="48"/>
  <c r="E10" i="47"/>
  <c r="AF28" i="48"/>
  <c r="C74" i="41" s="1"/>
  <c r="D37" i="41" s="1"/>
  <c r="H14" i="47"/>
  <c r="AI23" i="48"/>
  <c r="AI32" i="48"/>
  <c r="C78" i="44" s="1"/>
  <c r="D41" i="44" s="1"/>
  <c r="C14" i="44"/>
  <c r="N18" i="44" s="1"/>
  <c r="AF29" i="48"/>
  <c r="C75" i="41" s="1"/>
  <c r="D38" i="41" s="1"/>
  <c r="E11" i="47"/>
  <c r="AF20" i="48"/>
  <c r="AG31" i="48"/>
  <c r="C77" i="42" s="1"/>
  <c r="D40" i="42" s="1"/>
  <c r="AG22" i="48"/>
  <c r="F13" i="47"/>
  <c r="C13" i="41"/>
  <c r="N17" i="41" s="1"/>
  <c r="C13" i="42"/>
  <c r="N17" i="42" s="1"/>
  <c r="F10" i="47"/>
  <c r="AG28" i="48"/>
  <c r="C74" i="42" s="1"/>
  <c r="D37" i="42" s="1"/>
  <c r="AG19" i="48"/>
  <c r="C10" i="42"/>
  <c r="N14" i="42" s="1"/>
  <c r="C10" i="41"/>
  <c r="N14" i="41" s="1"/>
  <c r="AE30" i="48"/>
  <c r="C76" i="40" s="1"/>
  <c r="D39" i="40" s="1"/>
  <c r="D12" i="47"/>
  <c r="AE21" i="48"/>
  <c r="C12" i="40"/>
  <c r="N16" i="40" s="1"/>
  <c r="I89" i="48"/>
  <c r="H9" i="47"/>
  <c r="AI27" i="48"/>
  <c r="C73" i="44" s="1"/>
  <c r="D36" i="44" s="1"/>
  <c r="AI18" i="48"/>
  <c r="C9" i="44"/>
  <c r="N13" i="44" s="1"/>
  <c r="AH29" i="48"/>
  <c r="C75" i="43" s="1"/>
  <c r="D38" i="43" s="1"/>
  <c r="G11" i="47"/>
  <c r="AH20" i="48"/>
  <c r="C11" i="43"/>
  <c r="N15" i="43" s="1"/>
  <c r="F88" i="48"/>
  <c r="G181" i="48"/>
  <c r="G176" i="48"/>
  <c r="G159" i="48"/>
  <c r="H8" i="47"/>
  <c r="AI17" i="48"/>
  <c r="AI26" i="48"/>
  <c r="C72" i="44" s="1"/>
  <c r="D35" i="44" s="1"/>
  <c r="C8" i="44"/>
  <c r="N12" i="44" s="1"/>
  <c r="H12" i="47"/>
  <c r="AI21" i="48"/>
  <c r="AI30" i="48"/>
  <c r="C76" i="44" s="1"/>
  <c r="D39" i="44" s="1"/>
  <c r="C12" i="44"/>
  <c r="N16" i="44" s="1"/>
  <c r="AJ32" i="48"/>
  <c r="C78" i="45" s="1"/>
  <c r="D41" i="45" s="1"/>
  <c r="AJ23" i="48"/>
  <c r="I14" i="47"/>
  <c r="C14" i="46"/>
  <c r="N18" i="46" s="1"/>
  <c r="C14" i="45"/>
  <c r="N18" i="45" s="1"/>
  <c r="AD32" i="48"/>
  <c r="C78" i="39" s="1"/>
  <c r="D41" i="39" s="1"/>
  <c r="AD23" i="48"/>
  <c r="C14" i="47"/>
  <c r="C14" i="39"/>
  <c r="N18" i="39" s="1"/>
  <c r="H91" i="48"/>
  <c r="AH22" i="48"/>
  <c r="G13" i="47"/>
  <c r="AH31" i="48"/>
  <c r="C77" i="43" s="1"/>
  <c r="D40" i="43" s="1"/>
  <c r="C13" i="43"/>
  <c r="N17" i="43" s="1"/>
  <c r="K90" i="48"/>
  <c r="G10" i="47"/>
  <c r="AH28" i="48"/>
  <c r="C74" i="43" s="1"/>
  <c r="D37" i="43" s="1"/>
  <c r="AH19" i="48"/>
  <c r="C10" i="43"/>
  <c r="N14" i="43" s="1"/>
  <c r="F87" i="48"/>
  <c r="AF30" i="48"/>
  <c r="C76" i="41" s="1"/>
  <c r="D39" i="41" s="1"/>
  <c r="E12" i="47"/>
  <c r="AF21" i="48"/>
  <c r="J89" i="48"/>
  <c r="AJ27" i="48"/>
  <c r="C73" i="45" s="1"/>
  <c r="D36" i="45" s="1"/>
  <c r="I9" i="47"/>
  <c r="AJ18" i="48"/>
  <c r="C9" i="45"/>
  <c r="N13" i="45" s="1"/>
  <c r="C9" i="46"/>
  <c r="N13" i="46" s="1"/>
  <c r="H86" i="48"/>
  <c r="D81" i="48"/>
  <c r="D97" i="48" s="1"/>
  <c r="D102" i="48" s="1"/>
  <c r="AD5" i="48"/>
  <c r="AI29" i="48"/>
  <c r="C75" i="44" s="1"/>
  <c r="D38" i="44" s="1"/>
  <c r="H11" i="47"/>
  <c r="AI20" i="48"/>
  <c r="C11" i="44"/>
  <c r="N15" i="44" s="1"/>
  <c r="AK26" i="48"/>
  <c r="C72" i="46" s="1"/>
  <c r="D35" i="46" s="1"/>
  <c r="AK17" i="48"/>
  <c r="J8" i="47"/>
  <c r="I85" i="48"/>
  <c r="H181" i="48"/>
  <c r="H176" i="48"/>
  <c r="H159" i="48"/>
  <c r="AK31" i="48"/>
  <c r="C77" i="46" s="1"/>
  <c r="D40" i="46" s="1"/>
  <c r="J13" i="47"/>
  <c r="AK22" i="48"/>
  <c r="AK21" i="48"/>
  <c r="J12" i="47"/>
  <c r="AK30" i="48"/>
  <c r="C76" i="46" s="1"/>
  <c r="D39" i="46" s="1"/>
  <c r="AH18" i="48"/>
  <c r="G9" i="47"/>
  <c r="AH27" i="48"/>
  <c r="C73" i="43" s="1"/>
  <c r="D36" i="43" s="1"/>
  <c r="C9" i="43"/>
  <c r="N13" i="43" s="1"/>
  <c r="G14" i="47"/>
  <c r="AH23" i="48"/>
  <c r="C14" i="43"/>
  <c r="N18" i="43" s="1"/>
  <c r="AH32" i="48"/>
  <c r="C78" i="43" s="1"/>
  <c r="D41" i="43" s="1"/>
  <c r="AE32" i="48"/>
  <c r="C78" i="40" s="1"/>
  <c r="D41" i="40" s="1"/>
  <c r="AE23" i="48"/>
  <c r="D14" i="47"/>
  <c r="C14" i="40"/>
  <c r="N18" i="40" s="1"/>
  <c r="AK32" i="48"/>
  <c r="C78" i="46" s="1"/>
  <c r="D41" i="46" s="1"/>
  <c r="AK23" i="48"/>
  <c r="J14" i="47"/>
  <c r="F159" i="48"/>
  <c r="F181" i="48"/>
  <c r="F176" i="48"/>
  <c r="E159" i="48"/>
  <c r="E181" i="48"/>
  <c r="E176" i="48"/>
  <c r="H13" i="47"/>
  <c r="AI22" i="48"/>
  <c r="C13" i="44"/>
  <c r="N17" i="44" s="1"/>
  <c r="AI31" i="48"/>
  <c r="C77" i="44" s="1"/>
  <c r="D40" i="44" s="1"/>
  <c r="H10" i="47"/>
  <c r="AI28" i="48"/>
  <c r="C74" i="44" s="1"/>
  <c r="D37" i="44" s="1"/>
  <c r="AI19" i="48"/>
  <c r="C10" i="44"/>
  <c r="N14" i="44" s="1"/>
  <c r="G87" i="48"/>
  <c r="K181" i="48"/>
  <c r="K176" i="48"/>
  <c r="K159" i="48"/>
  <c r="AG30" i="48"/>
  <c r="C76" i="42" s="1"/>
  <c r="D39" i="42" s="1"/>
  <c r="F12" i="47"/>
  <c r="AG21" i="48"/>
  <c r="C12" i="42"/>
  <c r="N16" i="42" s="1"/>
  <c r="C12" i="41"/>
  <c r="N16" i="41" s="1"/>
  <c r="K89" i="48"/>
  <c r="AK27" i="48"/>
  <c r="C73" i="46" s="1"/>
  <c r="D36" i="46" s="1"/>
  <c r="AK18" i="48"/>
  <c r="J9" i="47"/>
  <c r="H81" i="48"/>
  <c r="H97" i="48" s="1"/>
  <c r="H102" i="48" s="1"/>
  <c r="AH5" i="48"/>
  <c r="J84" i="48"/>
  <c r="AD20" i="48"/>
  <c r="AD29" i="48"/>
  <c r="C75" i="39" s="1"/>
  <c r="D38" i="39" s="1"/>
  <c r="C11" i="47"/>
  <c r="C11" i="39"/>
  <c r="N15" i="39" s="1"/>
  <c r="AJ20" i="48"/>
  <c r="AJ29" i="48"/>
  <c r="C75" i="45" s="1"/>
  <c r="D38" i="45" s="1"/>
  <c r="I11" i="47"/>
  <c r="C11" i="45"/>
  <c r="N15" i="45" s="1"/>
  <c r="C11" i="46"/>
  <c r="N15" i="46" s="1"/>
  <c r="F8" i="47"/>
  <c r="AG17" i="48"/>
  <c r="AG26" i="48"/>
  <c r="C72" i="42" s="1"/>
  <c r="D35" i="42" s="1"/>
  <c r="C8" i="41"/>
  <c r="N12" i="41" s="1"/>
  <c r="C8" i="42"/>
  <c r="N12" i="42" s="1"/>
  <c r="AD26" i="48"/>
  <c r="C72" i="39" s="1"/>
  <c r="D35" i="39" s="1"/>
  <c r="AD17" i="48"/>
  <c r="C8" i="47"/>
  <c r="C8" i="39"/>
  <c r="N12" i="39" s="1"/>
  <c r="AE29" i="48"/>
  <c r="C75" i="40" s="1"/>
  <c r="D38" i="40" s="1"/>
  <c r="D11" i="47"/>
  <c r="AE20" i="48"/>
  <c r="C11" i="40"/>
  <c r="N15" i="40" s="1"/>
  <c r="G88" i="48"/>
  <c r="G8" i="47"/>
  <c r="AH17" i="48"/>
  <c r="AH26" i="48"/>
  <c r="C72" i="43" s="1"/>
  <c r="D35" i="43" s="1"/>
  <c r="C8" i="43"/>
  <c r="N12" i="43" s="1"/>
  <c r="D8" i="47"/>
  <c r="AE26" i="48"/>
  <c r="C72" i="40" s="1"/>
  <c r="D35" i="40" s="1"/>
  <c r="C8" i="40"/>
  <c r="N12" i="40" s="1"/>
  <c r="AE17" i="48"/>
  <c r="AD30" i="48"/>
  <c r="C76" i="39" s="1"/>
  <c r="D39" i="39" s="1"/>
  <c r="AD21" i="48"/>
  <c r="C12" i="47"/>
  <c r="C12" i="39"/>
  <c r="N16" i="39" s="1"/>
  <c r="AE18" i="48"/>
  <c r="D9" i="47"/>
  <c r="AE27" i="48"/>
  <c r="C73" i="40" s="1"/>
  <c r="D36" i="40" s="1"/>
  <c r="C9" i="40"/>
  <c r="N13" i="40" s="1"/>
  <c r="AF31" i="48"/>
  <c r="C77" i="41" s="1"/>
  <c r="D40" i="41" s="1"/>
  <c r="AF22" i="48"/>
  <c r="E13" i="47"/>
  <c r="F14" i="47"/>
  <c r="AG32" i="48"/>
  <c r="C78" i="42" s="1"/>
  <c r="D41" i="42" s="1"/>
  <c r="AG23" i="48"/>
  <c r="C14" i="42"/>
  <c r="N18" i="42" s="1"/>
  <c r="C14" i="41"/>
  <c r="N18" i="41" s="1"/>
  <c r="I91" i="48"/>
  <c r="J181" i="48"/>
  <c r="J176" i="48"/>
  <c r="J159" i="48"/>
  <c r="AE31" i="48"/>
  <c r="C77" i="40" s="1"/>
  <c r="D40" i="40" s="1"/>
  <c r="AE22" i="48"/>
  <c r="D13" i="47"/>
  <c r="C13" i="40"/>
  <c r="N17" i="40" s="1"/>
  <c r="E90" i="48"/>
  <c r="AJ28" i="48"/>
  <c r="C74" i="45" s="1"/>
  <c r="D37" i="45" s="1"/>
  <c r="AJ19" i="48"/>
  <c r="I10" i="47"/>
  <c r="C10" i="46"/>
  <c r="N14" i="46" s="1"/>
  <c r="C10" i="45"/>
  <c r="N14" i="45" s="1"/>
  <c r="G107" i="48"/>
  <c r="G165" i="48" s="1"/>
  <c r="D89" i="48"/>
  <c r="AF18" i="48"/>
  <c r="E9" i="47"/>
  <c r="AF27" i="48"/>
  <c r="C73" i="41" s="1"/>
  <c r="D36" i="41" s="1"/>
  <c r="AD18" i="48"/>
  <c r="AD27" i="48"/>
  <c r="C73" i="39" s="1"/>
  <c r="D36" i="39" s="1"/>
  <c r="C9" i="47"/>
  <c r="C9" i="39"/>
  <c r="N13" i="39" s="1"/>
  <c r="I81" i="48"/>
  <c r="I97" i="48" s="1"/>
  <c r="I108" i="48" s="1"/>
  <c r="I166" i="48" s="1"/>
  <c r="AI5" i="48"/>
  <c r="E81" i="48"/>
  <c r="E97" i="48" s="1"/>
  <c r="E109" i="48" s="1"/>
  <c r="AE5" i="48"/>
  <c r="AF32" i="48"/>
  <c r="C78" i="41" s="1"/>
  <c r="D41" i="41" s="1"/>
  <c r="AF23" i="48"/>
  <c r="E14" i="47"/>
  <c r="J91" i="48"/>
  <c r="AD31" i="48"/>
  <c r="C77" i="39" s="1"/>
  <c r="D40" i="39" s="1"/>
  <c r="AD22" i="48"/>
  <c r="C13" i="47"/>
  <c r="C13" i="39"/>
  <c r="N17" i="39" s="1"/>
  <c r="I13" i="47"/>
  <c r="AJ31" i="48"/>
  <c r="C77" i="45" s="1"/>
  <c r="D40" i="45" s="1"/>
  <c r="AJ22" i="48"/>
  <c r="C13" i="45"/>
  <c r="N17" i="45" s="1"/>
  <c r="C13" i="46"/>
  <c r="N17" i="46" s="1"/>
  <c r="AE19" i="48"/>
  <c r="D10" i="47"/>
  <c r="AE28" i="48"/>
  <c r="C74" i="40" s="1"/>
  <c r="D37" i="40" s="1"/>
  <c r="C10" i="40"/>
  <c r="N14" i="40" s="1"/>
  <c r="AK19" i="48"/>
  <c r="AK28" i="48"/>
  <c r="C74" i="46" s="1"/>
  <c r="D37" i="46" s="1"/>
  <c r="J10" i="47"/>
  <c r="AH30" i="48"/>
  <c r="C76" i="43" s="1"/>
  <c r="D39" i="43" s="1"/>
  <c r="G12" i="47"/>
  <c r="AH21" i="48"/>
  <c r="C12" i="43"/>
  <c r="N16" i="43" s="1"/>
  <c r="E89" i="48"/>
  <c r="AG18" i="48"/>
  <c r="F9" i="47"/>
  <c r="AG27" i="48"/>
  <c r="C73" i="42" s="1"/>
  <c r="D36" i="42" s="1"/>
  <c r="C9" i="41"/>
  <c r="N13" i="41" s="1"/>
  <c r="C9" i="42"/>
  <c r="N13" i="42" s="1"/>
  <c r="I86" i="48"/>
  <c r="AG5" i="48"/>
  <c r="G81" i="48"/>
  <c r="G97" i="48" s="1"/>
  <c r="G114" i="48" s="1"/>
  <c r="AF5" i="48"/>
  <c r="F81" i="48"/>
  <c r="F97" i="48" s="1"/>
  <c r="F103" i="48" s="1"/>
  <c r="F161" i="48" s="1"/>
  <c r="AK20" i="48"/>
  <c r="AK29" i="48"/>
  <c r="C75" i="46" s="1"/>
  <c r="D38" i="46" s="1"/>
  <c r="J11" i="47"/>
  <c r="J88" i="48"/>
  <c r="E8" i="47"/>
  <c r="AF17" i="48"/>
  <c r="AF26" i="48"/>
  <c r="C72" i="41" s="1"/>
  <c r="D35" i="41" s="1"/>
  <c r="J85" i="48"/>
  <c r="P49" i="19"/>
  <c r="N49" i="19"/>
  <c r="M49" i="19" s="1"/>
  <c r="J49" i="19"/>
  <c r="I49" i="19" s="1"/>
  <c r="J109" i="48" l="1"/>
  <c r="J111" i="48"/>
  <c r="J103" i="48"/>
  <c r="J161" i="48" s="1"/>
  <c r="J112" i="48"/>
  <c r="J141" i="48" s="1"/>
  <c r="J170" i="48" s="1"/>
  <c r="J106" i="48"/>
  <c r="J164" i="48" s="1"/>
  <c r="J107" i="48"/>
  <c r="J165" i="48" s="1"/>
  <c r="J108" i="48"/>
  <c r="J166" i="48" s="1"/>
  <c r="G104" i="48"/>
  <c r="G133" i="48" s="1"/>
  <c r="G162" i="48" s="1"/>
  <c r="G111" i="48"/>
  <c r="G140" i="48" s="1"/>
  <c r="G169" i="48" s="1"/>
  <c r="I104" i="48"/>
  <c r="D109" i="48"/>
  <c r="D138" i="48" s="1"/>
  <c r="D167" i="48" s="1"/>
  <c r="D111" i="48"/>
  <c r="E108" i="48"/>
  <c r="E166" i="48" s="1"/>
  <c r="I105" i="48"/>
  <c r="I134" i="48" s="1"/>
  <c r="I163" i="48" s="1"/>
  <c r="D98" i="48"/>
  <c r="E104" i="48"/>
  <c r="E133" i="48" s="1"/>
  <c r="H105" i="48"/>
  <c r="H134" i="48" s="1"/>
  <c r="H163" i="48" s="1"/>
  <c r="H113" i="48"/>
  <c r="H171" i="48" s="1"/>
  <c r="H109" i="48"/>
  <c r="H138" i="48" s="1"/>
  <c r="H167" i="48" s="1"/>
  <c r="H114" i="48"/>
  <c r="H143" i="48" s="1"/>
  <c r="H172" i="48" s="1"/>
  <c r="K98" i="48"/>
  <c r="I103" i="48"/>
  <c r="I161" i="48" s="1"/>
  <c r="K109" i="48"/>
  <c r="K138" i="48" s="1"/>
  <c r="K167" i="48" s="1"/>
  <c r="I113" i="48"/>
  <c r="I171" i="48" s="1"/>
  <c r="I107" i="48"/>
  <c r="I165" i="48" s="1"/>
  <c r="H112" i="48"/>
  <c r="H141" i="48" s="1"/>
  <c r="H170" i="48" s="1"/>
  <c r="D110" i="48"/>
  <c r="D139" i="48" s="1"/>
  <c r="D168" i="48" s="1"/>
  <c r="E110" i="48"/>
  <c r="E139" i="48" s="1"/>
  <c r="E168" i="48" s="1"/>
  <c r="D104" i="48"/>
  <c r="D133" i="48" s="1"/>
  <c r="D162" i="48" s="1"/>
  <c r="D107" i="48"/>
  <c r="D165" i="48" s="1"/>
  <c r="D113" i="48"/>
  <c r="D171" i="48" s="1"/>
  <c r="G105" i="48"/>
  <c r="G134" i="48" s="1"/>
  <c r="G163" i="48" s="1"/>
  <c r="I112" i="48"/>
  <c r="I141" i="48" s="1"/>
  <c r="D105" i="48"/>
  <c r="D134" i="48" s="1"/>
  <c r="D163" i="48" s="1"/>
  <c r="K106" i="48"/>
  <c r="K164" i="48" s="1"/>
  <c r="G109" i="48"/>
  <c r="G138" i="48" s="1"/>
  <c r="G167" i="48" s="1"/>
  <c r="D106" i="48"/>
  <c r="D164" i="48" s="1"/>
  <c r="D114" i="48"/>
  <c r="D143" i="48" s="1"/>
  <c r="D172" i="48" s="1"/>
  <c r="D103" i="48"/>
  <c r="D161" i="48" s="1"/>
  <c r="E107" i="48"/>
  <c r="E165" i="48" s="1"/>
  <c r="D160" i="48"/>
  <c r="AF35" i="48"/>
  <c r="C63" i="41"/>
  <c r="C35" i="41" s="1"/>
  <c r="E35" i="41" s="1"/>
  <c r="AJ40" i="48"/>
  <c r="C68" i="45"/>
  <c r="C40" i="45" s="1"/>
  <c r="AI40" i="48"/>
  <c r="C68" i="44"/>
  <c r="C40" i="44" s="1"/>
  <c r="E40" i="44" s="1"/>
  <c r="AH36" i="48"/>
  <c r="C64" i="43"/>
  <c r="C36" i="43" s="1"/>
  <c r="E36" i="43" s="1"/>
  <c r="C67" i="45"/>
  <c r="C39" i="45" s="1"/>
  <c r="E39" i="45" s="1"/>
  <c r="AJ39" i="48"/>
  <c r="AF13" i="48"/>
  <c r="E5" i="47" s="1"/>
  <c r="E7" i="47"/>
  <c r="AF25" i="48"/>
  <c r="C71" i="41" s="1"/>
  <c r="D34" i="41" s="1"/>
  <c r="AF16" i="48"/>
  <c r="AG36" i="48"/>
  <c r="C64" i="42"/>
  <c r="C36" i="42" s="1"/>
  <c r="E36" i="42" s="1"/>
  <c r="AF41" i="48"/>
  <c r="C69" i="41"/>
  <c r="C41" i="41" s="1"/>
  <c r="AF40" i="48"/>
  <c r="C68" i="41"/>
  <c r="C40" i="41" s="1"/>
  <c r="E40" i="41" s="1"/>
  <c r="AH35" i="48"/>
  <c r="C63" i="43"/>
  <c r="C35" i="43" s="1"/>
  <c r="E35" i="43" s="1"/>
  <c r="AH13" i="48"/>
  <c r="G7" i="47"/>
  <c r="AH16" i="48"/>
  <c r="AH25" i="48"/>
  <c r="C71" i="43" s="1"/>
  <c r="D34" i="43" s="1"/>
  <c r="C7" i="43"/>
  <c r="N11" i="43" s="1"/>
  <c r="C69" i="46"/>
  <c r="C41" i="46" s="1"/>
  <c r="AK41" i="48"/>
  <c r="AH37" i="48"/>
  <c r="C65" i="43"/>
  <c r="C37" i="43" s="1"/>
  <c r="E37" i="43" s="1"/>
  <c r="E138" i="48"/>
  <c r="E167" i="48" s="1"/>
  <c r="F104" i="48"/>
  <c r="F109" i="48"/>
  <c r="AJ53" i="48"/>
  <c r="AJ49" i="48"/>
  <c r="AJ56" i="48"/>
  <c r="AJ52" i="48"/>
  <c r="AJ48" i="48"/>
  <c r="AJ55" i="48"/>
  <c r="AJ51" i="48"/>
  <c r="AJ47" i="48"/>
  <c r="AJ50" i="48"/>
  <c r="AJ54" i="48"/>
  <c r="K114" i="48"/>
  <c r="AG54" i="48"/>
  <c r="AG50" i="48"/>
  <c r="AG53" i="48"/>
  <c r="AG49" i="48"/>
  <c r="AG55" i="48"/>
  <c r="AG51" i="48"/>
  <c r="AG47" i="48"/>
  <c r="AG56" i="48"/>
  <c r="AG52" i="48"/>
  <c r="AG48" i="48"/>
  <c r="E41" i="41"/>
  <c r="AE40" i="48"/>
  <c r="C68" i="40"/>
  <c r="C40" i="40" s="1"/>
  <c r="E40" i="40" s="1"/>
  <c r="AG41" i="48"/>
  <c r="C69" i="42"/>
  <c r="C41" i="42" s="1"/>
  <c r="E41" i="42" s="1"/>
  <c r="AE36" i="48"/>
  <c r="C64" i="40"/>
  <c r="C36" i="40" s="1"/>
  <c r="E36" i="40" s="1"/>
  <c r="AH54" i="48"/>
  <c r="AH50" i="48"/>
  <c r="AH53" i="48"/>
  <c r="AH49" i="48"/>
  <c r="AH56" i="48"/>
  <c r="AH52" i="48"/>
  <c r="AH48" i="48"/>
  <c r="AH47" i="48"/>
  <c r="AH55" i="48"/>
  <c r="AH51" i="48"/>
  <c r="AG39" i="48"/>
  <c r="C67" i="42"/>
  <c r="C39" i="42" s="1"/>
  <c r="E39" i="42" s="1"/>
  <c r="AI37" i="48"/>
  <c r="C65" i="44"/>
  <c r="C37" i="44" s="1"/>
  <c r="E41" i="46"/>
  <c r="AH41" i="48"/>
  <c r="C69" i="43"/>
  <c r="C41" i="43" s="1"/>
  <c r="E41" i="43" s="1"/>
  <c r="H108" i="48"/>
  <c r="H166" i="48" s="1"/>
  <c r="AK35" i="48"/>
  <c r="C63" i="46"/>
  <c r="C35" i="46" s="1"/>
  <c r="E35" i="46" s="1"/>
  <c r="I106" i="48"/>
  <c r="I164" i="48" s="1"/>
  <c r="AJ41" i="48"/>
  <c r="C69" i="45"/>
  <c r="C41" i="45" s="1"/>
  <c r="E41" i="45" s="1"/>
  <c r="F108" i="48"/>
  <c r="F166" i="48" s="1"/>
  <c r="F106" i="48"/>
  <c r="F164" i="48" s="1"/>
  <c r="AE39" i="48"/>
  <c r="C67" i="40"/>
  <c r="C39" i="40" s="1"/>
  <c r="AF38" i="48"/>
  <c r="C66" i="41"/>
  <c r="C38" i="41" s="1"/>
  <c r="E38" i="41" s="1"/>
  <c r="AG38" i="48"/>
  <c r="C66" i="42"/>
  <c r="C38" i="42" s="1"/>
  <c r="E38" i="42" s="1"/>
  <c r="K104" i="48"/>
  <c r="K112" i="48"/>
  <c r="H107" i="48"/>
  <c r="H165" i="48" s="1"/>
  <c r="G143" i="48"/>
  <c r="G172" i="48" s="1"/>
  <c r="C69" i="44"/>
  <c r="C41" i="44" s="1"/>
  <c r="E41" i="44" s="1"/>
  <c r="AI41" i="48"/>
  <c r="AJ16" i="48"/>
  <c r="AJ25" i="48"/>
  <c r="C71" i="45" s="1"/>
  <c r="D34" i="45" s="1"/>
  <c r="AJ13" i="48"/>
  <c r="I5" i="47" s="1"/>
  <c r="I7" i="47"/>
  <c r="C7" i="45"/>
  <c r="N11" i="45" s="1"/>
  <c r="C7" i="46"/>
  <c r="N11" i="46" s="1"/>
  <c r="C65" i="46"/>
  <c r="C37" i="46" s="1"/>
  <c r="E37" i="46" s="1"/>
  <c r="AK37" i="48"/>
  <c r="AG35" i="48"/>
  <c r="C63" i="42"/>
  <c r="C35" i="42" s="1"/>
  <c r="E35" i="42" s="1"/>
  <c r="C67" i="46"/>
  <c r="C39" i="46" s="1"/>
  <c r="E39" i="46" s="1"/>
  <c r="AK39" i="48"/>
  <c r="E35" i="45"/>
  <c r="K113" i="48"/>
  <c r="K171" i="48" s="1"/>
  <c r="AE25" i="48"/>
  <c r="C71" i="40" s="1"/>
  <c r="D34" i="40" s="1"/>
  <c r="AE13" i="48"/>
  <c r="D7" i="47"/>
  <c r="AE16" i="48"/>
  <c r="C7" i="40"/>
  <c r="N11" i="40" s="1"/>
  <c r="AJ37" i="48"/>
  <c r="C65" i="45"/>
  <c r="C37" i="45" s="1"/>
  <c r="E37" i="45" s="1"/>
  <c r="J140" i="48"/>
  <c r="J169" i="48" s="1"/>
  <c r="K111" i="48"/>
  <c r="AK36" i="48"/>
  <c r="C64" i="46"/>
  <c r="C36" i="46" s="1"/>
  <c r="E36" i="46" s="1"/>
  <c r="AK40" i="48"/>
  <c r="C68" i="46"/>
  <c r="C40" i="46" s="1"/>
  <c r="E40" i="46" s="1"/>
  <c r="AD56" i="48"/>
  <c r="AD52" i="48"/>
  <c r="AD48" i="48"/>
  <c r="AD55" i="48"/>
  <c r="AD51" i="48"/>
  <c r="AD47" i="48"/>
  <c r="AD54" i="48"/>
  <c r="AD50" i="48"/>
  <c r="AD53" i="48"/>
  <c r="AD49" i="48"/>
  <c r="AF39" i="48"/>
  <c r="C67" i="41"/>
  <c r="C39" i="41" s="1"/>
  <c r="E39" i="41" s="1"/>
  <c r="K108" i="48"/>
  <c r="K166" i="48" s="1"/>
  <c r="AD41" i="48"/>
  <c r="C69" i="39"/>
  <c r="C41" i="39" s="1"/>
  <c r="E41" i="39" s="1"/>
  <c r="AI35" i="48"/>
  <c r="C63" i="44"/>
  <c r="C35" i="44" s="1"/>
  <c r="E35" i="44" s="1"/>
  <c r="F113" i="48"/>
  <c r="F171" i="48" s="1"/>
  <c r="AH38" i="48"/>
  <c r="C66" i="43"/>
  <c r="C38" i="43" s="1"/>
  <c r="E39" i="40"/>
  <c r="AF37" i="48"/>
  <c r="C65" i="41"/>
  <c r="C37" i="41" s="1"/>
  <c r="E37" i="41" s="1"/>
  <c r="AJ35" i="48"/>
  <c r="C63" i="45"/>
  <c r="C35" i="45" s="1"/>
  <c r="G110" i="48"/>
  <c r="I98" i="48"/>
  <c r="I133" i="48"/>
  <c r="I162" i="48" s="1"/>
  <c r="K110" i="48"/>
  <c r="AE37" i="48"/>
  <c r="C65" i="40"/>
  <c r="C37" i="40" s="1"/>
  <c r="E37" i="40" s="1"/>
  <c r="AD40" i="48"/>
  <c r="C68" i="39"/>
  <c r="C40" i="39" s="1"/>
  <c r="AE55" i="48"/>
  <c r="AE51" i="48"/>
  <c r="AE47" i="48"/>
  <c r="AE54" i="48"/>
  <c r="AE50" i="48"/>
  <c r="AE56" i="48"/>
  <c r="AE52" i="48"/>
  <c r="AE48" i="48"/>
  <c r="AE53" i="48"/>
  <c r="AE49" i="48"/>
  <c r="G112" i="48"/>
  <c r="K102" i="48"/>
  <c r="AD39" i="48"/>
  <c r="C67" i="39"/>
  <c r="C39" i="39" s="1"/>
  <c r="E39" i="39" s="1"/>
  <c r="G106" i="48"/>
  <c r="G164" i="48" s="1"/>
  <c r="I114" i="48"/>
  <c r="D108" i="48"/>
  <c r="D166" i="48" s="1"/>
  <c r="AE41" i="48"/>
  <c r="C69" i="40"/>
  <c r="C41" i="40" s="1"/>
  <c r="H111" i="48"/>
  <c r="H104" i="48"/>
  <c r="I110" i="48"/>
  <c r="AI36" i="48"/>
  <c r="C64" i="44"/>
  <c r="C36" i="44" s="1"/>
  <c r="E36" i="44" s="1"/>
  <c r="E105" i="48"/>
  <c r="K105" i="48"/>
  <c r="E113" i="48"/>
  <c r="E171" i="48" s="1"/>
  <c r="F114" i="48"/>
  <c r="G98" i="48"/>
  <c r="AD37" i="48"/>
  <c r="C65" i="39"/>
  <c r="C37" i="39" s="1"/>
  <c r="E37" i="39" s="1"/>
  <c r="D112" i="48"/>
  <c r="I102" i="48"/>
  <c r="AF55" i="48"/>
  <c r="AF51" i="48"/>
  <c r="AF47" i="48"/>
  <c r="AF54" i="48"/>
  <c r="AF50" i="48"/>
  <c r="AF53" i="48"/>
  <c r="AF49" i="48"/>
  <c r="AF48" i="48"/>
  <c r="AF56" i="48"/>
  <c r="AF52" i="48"/>
  <c r="AD36" i="48"/>
  <c r="C64" i="39"/>
  <c r="C36" i="39" s="1"/>
  <c r="E36" i="39" s="1"/>
  <c r="AE35" i="48"/>
  <c r="C63" i="40"/>
  <c r="C35" i="40" s="1"/>
  <c r="E35" i="40" s="1"/>
  <c r="AJ38" i="48"/>
  <c r="C66" i="45"/>
  <c r="C38" i="45" s="1"/>
  <c r="E38" i="45" s="1"/>
  <c r="F107" i="48"/>
  <c r="F165" i="48" s="1"/>
  <c r="AH39" i="48"/>
  <c r="C67" i="43"/>
  <c r="C39" i="43" s="1"/>
  <c r="E39" i="43" s="1"/>
  <c r="E40" i="39"/>
  <c r="AI13" i="48"/>
  <c r="H7" i="47"/>
  <c r="AI16" i="48"/>
  <c r="AI25" i="48"/>
  <c r="C71" i="44" s="1"/>
  <c r="D34" i="44" s="1"/>
  <c r="C7" i="44"/>
  <c r="N11" i="44" s="1"/>
  <c r="AF36" i="48"/>
  <c r="C64" i="41"/>
  <c r="C36" i="41" s="1"/>
  <c r="E36" i="41" s="1"/>
  <c r="J105" i="48"/>
  <c r="F98" i="48"/>
  <c r="AD35" i="48"/>
  <c r="C63" i="39"/>
  <c r="C35" i="39" s="1"/>
  <c r="E35" i="39" s="1"/>
  <c r="I111" i="48"/>
  <c r="J104" i="48"/>
  <c r="E41" i="40"/>
  <c r="G113" i="48"/>
  <c r="G171" i="48" s="1"/>
  <c r="E112" i="48"/>
  <c r="AI39" i="48"/>
  <c r="C67" i="44"/>
  <c r="C39" i="44" s="1"/>
  <c r="E39" i="44" s="1"/>
  <c r="H106" i="48"/>
  <c r="H164" i="48" s="1"/>
  <c r="H103" i="48"/>
  <c r="H161" i="48" s="1"/>
  <c r="E38" i="43"/>
  <c r="H110" i="48"/>
  <c r="F111" i="48"/>
  <c r="G102" i="48"/>
  <c r="E114" i="48"/>
  <c r="F110" i="48"/>
  <c r="E98" i="48"/>
  <c r="J102" i="48"/>
  <c r="J98" i="48"/>
  <c r="AJ36" i="48"/>
  <c r="C64" i="45"/>
  <c r="C36" i="45" s="1"/>
  <c r="E36" i="45" s="1"/>
  <c r="AH40" i="48"/>
  <c r="C68" i="43"/>
  <c r="C40" i="43" s="1"/>
  <c r="E40" i="43" s="1"/>
  <c r="H160" i="48"/>
  <c r="AG37" i="48"/>
  <c r="C65" i="42"/>
  <c r="C37" i="42" s="1"/>
  <c r="E37" i="42" s="1"/>
  <c r="AK56" i="48"/>
  <c r="AK52" i="48"/>
  <c r="AK48" i="48"/>
  <c r="AK55" i="48"/>
  <c r="AK51" i="48"/>
  <c r="AK47" i="48"/>
  <c r="AK53" i="48"/>
  <c r="AK49" i="48"/>
  <c r="AK50" i="48"/>
  <c r="AK54" i="48"/>
  <c r="E40" i="45"/>
  <c r="D140" i="48"/>
  <c r="D169" i="48" s="1"/>
  <c r="AG13" i="48"/>
  <c r="F5" i="47" s="1"/>
  <c r="F7" i="47"/>
  <c r="AG16" i="48"/>
  <c r="C7" i="41"/>
  <c r="N11" i="41" s="1"/>
  <c r="C7" i="42"/>
  <c r="N11" i="42" s="1"/>
  <c r="AG25" i="48"/>
  <c r="C71" i="42" s="1"/>
  <c r="D34" i="42" s="1"/>
  <c r="E37" i="44"/>
  <c r="AD16" i="48"/>
  <c r="AD25" i="48"/>
  <c r="C71" i="39" s="1"/>
  <c r="D34" i="39" s="1"/>
  <c r="C7" i="47"/>
  <c r="AD13" i="48"/>
  <c r="C7" i="39"/>
  <c r="N11" i="39" s="1"/>
  <c r="C66" i="46"/>
  <c r="C38" i="46" s="1"/>
  <c r="E38" i="46" s="1"/>
  <c r="AK38" i="48"/>
  <c r="J138" i="48"/>
  <c r="J167" i="48" s="1"/>
  <c r="AI53" i="48"/>
  <c r="AI49" i="48"/>
  <c r="AI56" i="48"/>
  <c r="AI52" i="48"/>
  <c r="AI48" i="48"/>
  <c r="AI54" i="48"/>
  <c r="AI50" i="48"/>
  <c r="AI47" i="48"/>
  <c r="AI51" i="48"/>
  <c r="AI55" i="48"/>
  <c r="I109" i="48"/>
  <c r="F102" i="48"/>
  <c r="AE38" i="48"/>
  <c r="C66" i="40"/>
  <c r="C38" i="40" s="1"/>
  <c r="E38" i="40" s="1"/>
  <c r="C66" i="39"/>
  <c r="C38" i="39" s="1"/>
  <c r="E38" i="39" s="1"/>
  <c r="AD38" i="48"/>
  <c r="K107" i="48"/>
  <c r="K165" i="48" s="1"/>
  <c r="F112" i="48"/>
  <c r="E103" i="48"/>
  <c r="E161" i="48" s="1"/>
  <c r="J110" i="48"/>
  <c r="AI38" i="48"/>
  <c r="C66" i="44"/>
  <c r="C38" i="44" s="1"/>
  <c r="E38" i="44" s="1"/>
  <c r="F105" i="48"/>
  <c r="K103" i="48"/>
  <c r="K161" i="48" s="1"/>
  <c r="H98" i="48"/>
  <c r="AG40" i="48"/>
  <c r="C68" i="42"/>
  <c r="C40" i="42" s="1"/>
  <c r="E40" i="42" s="1"/>
  <c r="G103" i="48"/>
  <c r="G161" i="48" s="1"/>
  <c r="E106" i="48"/>
  <c r="E164" i="48" s="1"/>
  <c r="AK16" i="48"/>
  <c r="AK25" i="48"/>
  <c r="C71" i="46" s="1"/>
  <c r="D34" i="46" s="1"/>
  <c r="J7" i="47"/>
  <c r="AK13" i="48"/>
  <c r="J5" i="47" s="1"/>
  <c r="G108" i="48"/>
  <c r="G166" i="48" s="1"/>
  <c r="E111" i="48"/>
  <c r="J114" i="48"/>
  <c r="E102" i="48"/>
  <c r="T49" i="19"/>
  <c r="V49" i="19" s="1"/>
  <c r="U49" i="19" s="1"/>
  <c r="R49" i="19"/>
  <c r="Q49" i="19" s="1"/>
  <c r="I170" i="48" l="1"/>
  <c r="I138" i="48"/>
  <c r="I167" i="48" s="1"/>
  <c r="E21" i="47"/>
  <c r="G22" i="47"/>
  <c r="C22" i="43"/>
  <c r="Q15" i="43" s="1"/>
  <c r="H20" i="47"/>
  <c r="C20" i="44"/>
  <c r="Q13" i="44" s="1"/>
  <c r="H54" i="45"/>
  <c r="I33" i="47" s="1"/>
  <c r="G26" i="47"/>
  <c r="C26" i="43"/>
  <c r="Q19" i="43" s="1"/>
  <c r="G25" i="47"/>
  <c r="C25" i="43"/>
  <c r="Q18" i="43" s="1"/>
  <c r="F19" i="47"/>
  <c r="C19" i="41"/>
  <c r="Q12" i="41" s="1"/>
  <c r="C19" i="42"/>
  <c r="Q12" i="42" s="1"/>
  <c r="F21" i="47"/>
  <c r="C21" i="41"/>
  <c r="Q14" i="41" s="1"/>
  <c r="C21" i="42"/>
  <c r="Q14" i="42" s="1"/>
  <c r="I19" i="47"/>
  <c r="C19" i="45"/>
  <c r="Q12" i="45" s="1"/>
  <c r="C19" i="46"/>
  <c r="Q12" i="46" s="1"/>
  <c r="H26" i="47"/>
  <c r="C26" i="44"/>
  <c r="Q19" i="44" s="1"/>
  <c r="D27" i="47"/>
  <c r="C27" i="40"/>
  <c r="Q20" i="40" s="1"/>
  <c r="AK34" i="48"/>
  <c r="C62" i="46"/>
  <c r="F141" i="48"/>
  <c r="F170" i="48" s="1"/>
  <c r="H22" i="47"/>
  <c r="C22" i="44"/>
  <c r="Q15" i="44" s="1"/>
  <c r="H24" i="47"/>
  <c r="C24" i="44"/>
  <c r="Q17" i="44" s="1"/>
  <c r="J26" i="47"/>
  <c r="H119" i="48"/>
  <c r="F139" i="48"/>
  <c r="F168" i="48" s="1"/>
  <c r="J133" i="48"/>
  <c r="J134" i="48"/>
  <c r="J163" i="48" s="1"/>
  <c r="E18" i="47"/>
  <c r="AF57" i="48"/>
  <c r="I139" i="48"/>
  <c r="K160" i="48"/>
  <c r="K125" i="48"/>
  <c r="K124" i="48"/>
  <c r="K120" i="48"/>
  <c r="K119" i="48"/>
  <c r="K115" i="48"/>
  <c r="D21" i="47"/>
  <c r="C21" i="40"/>
  <c r="Q14" i="40" s="1"/>
  <c r="C20" i="47"/>
  <c r="C20" i="39"/>
  <c r="Q13" i="39" s="1"/>
  <c r="C23" i="47"/>
  <c r="C23" i="39"/>
  <c r="Q16" i="39" s="1"/>
  <c r="AJ34" i="48"/>
  <c r="C62" i="45"/>
  <c r="G18" i="47"/>
  <c r="AH57" i="48"/>
  <c r="C18" i="43"/>
  <c r="Q11" i="43" s="1"/>
  <c r="F23" i="47"/>
  <c r="C23" i="41"/>
  <c r="Q16" i="41" s="1"/>
  <c r="C23" i="42"/>
  <c r="Q16" i="42" s="1"/>
  <c r="F25" i="47"/>
  <c r="C25" i="41"/>
  <c r="Q18" i="41" s="1"/>
  <c r="C25" i="42"/>
  <c r="Q18" i="42" s="1"/>
  <c r="I23" i="47"/>
  <c r="C23" i="45"/>
  <c r="Q16" i="45" s="1"/>
  <c r="C23" i="46"/>
  <c r="Q16" i="46" s="1"/>
  <c r="E160" i="48"/>
  <c r="E125" i="48"/>
  <c r="E115" i="48"/>
  <c r="E119" i="48"/>
  <c r="E120" i="48"/>
  <c r="E124" i="48"/>
  <c r="H18" i="47"/>
  <c r="AI57" i="48"/>
  <c r="C18" i="44"/>
  <c r="Q11" i="44" s="1"/>
  <c r="AG34" i="48"/>
  <c r="C62" i="42"/>
  <c r="J19" i="47"/>
  <c r="H120" i="48"/>
  <c r="E143" i="48"/>
  <c r="E172" i="48" s="1"/>
  <c r="E23" i="47"/>
  <c r="E22" i="47"/>
  <c r="F143" i="48"/>
  <c r="F172" i="48" s="1"/>
  <c r="G141" i="48"/>
  <c r="G170" i="48" s="1"/>
  <c r="D25" i="47"/>
  <c r="C25" i="40"/>
  <c r="Q18" i="40" s="1"/>
  <c r="G139" i="48"/>
  <c r="C24" i="47"/>
  <c r="C24" i="39"/>
  <c r="Q17" i="39" s="1"/>
  <c r="C27" i="47"/>
  <c r="C27" i="39"/>
  <c r="Q20" i="39" s="1"/>
  <c r="K141" i="48"/>
  <c r="K170" i="48" s="1"/>
  <c r="G19" i="47"/>
  <c r="C19" i="43"/>
  <c r="Q12" i="43" s="1"/>
  <c r="F27" i="47"/>
  <c r="C27" i="42"/>
  <c r="Q20" i="42" s="1"/>
  <c r="C27" i="41"/>
  <c r="Q20" i="41" s="1"/>
  <c r="K143" i="48"/>
  <c r="K172" i="48" s="1"/>
  <c r="I27" i="47"/>
  <c r="C27" i="46"/>
  <c r="Q20" i="46" s="1"/>
  <c r="C27" i="45"/>
  <c r="Q20" i="45" s="1"/>
  <c r="F133" i="48"/>
  <c r="AF34" i="48"/>
  <c r="C62" i="41"/>
  <c r="D120" i="48"/>
  <c r="H54" i="42"/>
  <c r="F33" i="47" s="1"/>
  <c r="G21" i="47"/>
  <c r="C21" i="43"/>
  <c r="Q14" i="43" s="1"/>
  <c r="J143" i="48"/>
  <c r="J172" i="48" s="1"/>
  <c r="F134" i="48"/>
  <c r="F163" i="48" s="1"/>
  <c r="H21" i="47"/>
  <c r="C21" i="44"/>
  <c r="Q14" i="44" s="1"/>
  <c r="C5" i="47"/>
  <c r="C5" i="39"/>
  <c r="N9" i="39" s="1"/>
  <c r="J25" i="47"/>
  <c r="J23" i="47"/>
  <c r="H124" i="48"/>
  <c r="I140" i="48"/>
  <c r="I169" i="48" s="1"/>
  <c r="E27" i="47"/>
  <c r="E26" i="47"/>
  <c r="D18" i="47"/>
  <c r="AE57" i="48"/>
  <c r="C18" i="40"/>
  <c r="Q11" i="40" s="1"/>
  <c r="K139" i="48"/>
  <c r="K168" i="48" s="1"/>
  <c r="C21" i="47"/>
  <c r="C21" i="39"/>
  <c r="Q14" i="39" s="1"/>
  <c r="AE34" i="48"/>
  <c r="C62" i="40"/>
  <c r="G23" i="47"/>
  <c r="C23" i="43"/>
  <c r="Q16" i="43" s="1"/>
  <c r="F18" i="47"/>
  <c r="AG57" i="48"/>
  <c r="C18" i="41"/>
  <c r="Q11" i="41" s="1"/>
  <c r="C18" i="42"/>
  <c r="Q11" i="42" s="1"/>
  <c r="I25" i="47"/>
  <c r="C25" i="45"/>
  <c r="Q18" i="45" s="1"/>
  <c r="C25" i="46"/>
  <c r="Q18" i="46" s="1"/>
  <c r="I20" i="47"/>
  <c r="C20" i="45"/>
  <c r="Q13" i="45" s="1"/>
  <c r="C20" i="46"/>
  <c r="Q13" i="46" s="1"/>
  <c r="H54" i="43"/>
  <c r="G33" i="47" s="1"/>
  <c r="H54" i="41"/>
  <c r="E33" i="47" s="1"/>
  <c r="D119" i="48"/>
  <c r="D23" i="47"/>
  <c r="C23" i="40"/>
  <c r="Q16" i="40" s="1"/>
  <c r="C26" i="47"/>
  <c r="C26" i="39"/>
  <c r="Q19" i="39" s="1"/>
  <c r="H115" i="48"/>
  <c r="E19" i="47"/>
  <c r="I160" i="48"/>
  <c r="I125" i="48"/>
  <c r="I124" i="48"/>
  <c r="I120" i="48"/>
  <c r="I119" i="48"/>
  <c r="I115" i="48"/>
  <c r="K134" i="48"/>
  <c r="K163" i="48" s="1"/>
  <c r="I143" i="48"/>
  <c r="I172" i="48" s="1"/>
  <c r="D20" i="47"/>
  <c r="C20" i="40"/>
  <c r="Q13" i="40" s="1"/>
  <c r="D22" i="47"/>
  <c r="C22" i="40"/>
  <c r="Q15" i="40" s="1"/>
  <c r="C25" i="47"/>
  <c r="C25" i="39"/>
  <c r="Q18" i="39" s="1"/>
  <c r="K140" i="48"/>
  <c r="K169" i="48" s="1"/>
  <c r="K133" i="48"/>
  <c r="G27" i="47"/>
  <c r="C27" i="43"/>
  <c r="Q20" i="43" s="1"/>
  <c r="F22" i="47"/>
  <c r="C22" i="41"/>
  <c r="Q15" i="41" s="1"/>
  <c r="C22" i="42"/>
  <c r="Q15" i="42" s="1"/>
  <c r="I21" i="47"/>
  <c r="C21" i="45"/>
  <c r="Q14" i="45" s="1"/>
  <c r="C21" i="46"/>
  <c r="Q14" i="46" s="1"/>
  <c r="I24" i="47"/>
  <c r="C24" i="46"/>
  <c r="Q17" i="46" s="1"/>
  <c r="C24" i="45"/>
  <c r="Q17" i="45" s="1"/>
  <c r="AH34" i="48"/>
  <c r="C62" i="43"/>
  <c r="D115" i="48"/>
  <c r="D125" i="48"/>
  <c r="J139" i="48"/>
  <c r="J168" i="48" s="1"/>
  <c r="H27" i="47"/>
  <c r="C27" i="44"/>
  <c r="Q20" i="44" s="1"/>
  <c r="AK57" i="48"/>
  <c r="J18" i="47"/>
  <c r="E141" i="48"/>
  <c r="E170" i="48" s="1"/>
  <c r="H54" i="46"/>
  <c r="J33" i="47" s="1"/>
  <c r="J22" i="47"/>
  <c r="H5" i="47"/>
  <c r="C5" i="45"/>
  <c r="N9" i="45" s="1"/>
  <c r="O11" i="45" s="1"/>
  <c r="C5" i="44"/>
  <c r="N9" i="44" s="1"/>
  <c r="O11" i="44" s="1"/>
  <c r="C5" i="46"/>
  <c r="N9" i="46" s="1"/>
  <c r="O11" i="46" s="1"/>
  <c r="E25" i="47"/>
  <c r="C19" i="39"/>
  <c r="Q12" i="39" s="1"/>
  <c r="C19" i="47"/>
  <c r="E140" i="48"/>
  <c r="E169" i="48" s="1"/>
  <c r="H25" i="47"/>
  <c r="C25" i="44"/>
  <c r="Q18" i="44" s="1"/>
  <c r="J21" i="47"/>
  <c r="J27" i="47"/>
  <c r="H125" i="48"/>
  <c r="J160" i="48"/>
  <c r="J125" i="48"/>
  <c r="J124" i="48"/>
  <c r="J120" i="48"/>
  <c r="J119" i="48"/>
  <c r="J115" i="48"/>
  <c r="G160" i="48"/>
  <c r="G125" i="48"/>
  <c r="G124" i="48"/>
  <c r="G120" i="48"/>
  <c r="G119" i="48"/>
  <c r="G115" i="48"/>
  <c r="H19" i="47"/>
  <c r="C19" i="44"/>
  <c r="Q12" i="44" s="1"/>
  <c r="H54" i="39"/>
  <c r="C33" i="47" s="1"/>
  <c r="J20" i="47"/>
  <c r="F140" i="48"/>
  <c r="F169" i="48" s="1"/>
  <c r="H54" i="44"/>
  <c r="H33" i="47" s="1"/>
  <c r="E20" i="47"/>
  <c r="D141" i="48"/>
  <c r="D170" i="48" s="1"/>
  <c r="D178" i="48" s="1"/>
  <c r="Q142" i="48" s="1"/>
  <c r="H133" i="48"/>
  <c r="H162" i="48" s="1"/>
  <c r="D24" i="47"/>
  <c r="C24" i="40"/>
  <c r="Q17" i="40" s="1"/>
  <c r="D26" i="47"/>
  <c r="C26" i="40"/>
  <c r="Q19" i="40" s="1"/>
  <c r="C18" i="47"/>
  <c r="AD57" i="48"/>
  <c r="C18" i="39"/>
  <c r="Q11" i="39" s="1"/>
  <c r="D5" i="47"/>
  <c r="C5" i="40"/>
  <c r="N9" i="40" s="1"/>
  <c r="O11" i="40" s="1"/>
  <c r="C5" i="41"/>
  <c r="N9" i="41" s="1"/>
  <c r="O11" i="41" s="1"/>
  <c r="C5" i="42"/>
  <c r="N9" i="42" s="1"/>
  <c r="G20" i="47"/>
  <c r="C20" i="43"/>
  <c r="Q13" i="43" s="1"/>
  <c r="F26" i="47"/>
  <c r="C26" i="41"/>
  <c r="Q19" i="41" s="1"/>
  <c r="C26" i="42"/>
  <c r="Q19" i="42" s="1"/>
  <c r="AJ57" i="48"/>
  <c r="I18" i="47"/>
  <c r="C18" i="46"/>
  <c r="Q11" i="46" s="1"/>
  <c r="C18" i="45"/>
  <c r="Q11" i="45" s="1"/>
  <c r="F160" i="48"/>
  <c r="F125" i="48"/>
  <c r="F115" i="48"/>
  <c r="F119" i="48"/>
  <c r="F120" i="48"/>
  <c r="F124" i="48"/>
  <c r="H23" i="47"/>
  <c r="C23" i="44"/>
  <c r="Q16" i="44" s="1"/>
  <c r="AD34" i="48"/>
  <c r="C62" i="39"/>
  <c r="J24" i="47"/>
  <c r="H139" i="48"/>
  <c r="H168" i="48" s="1"/>
  <c r="AI34" i="48"/>
  <c r="C62" i="44"/>
  <c r="E24" i="47"/>
  <c r="E134" i="48"/>
  <c r="H140" i="48"/>
  <c r="H169" i="48" s="1"/>
  <c r="D19" i="47"/>
  <c r="C19" i="40"/>
  <c r="Q12" i="40" s="1"/>
  <c r="C22" i="47"/>
  <c r="C22" i="39"/>
  <c r="Q15" i="39" s="1"/>
  <c r="H54" i="40"/>
  <c r="D33" i="47" s="1"/>
  <c r="G24" i="47"/>
  <c r="C24" i="43"/>
  <c r="Q17" i="43" s="1"/>
  <c r="F20" i="47"/>
  <c r="C20" i="41"/>
  <c r="Q13" i="41" s="1"/>
  <c r="C20" i="42"/>
  <c r="Q13" i="42" s="1"/>
  <c r="I22" i="47"/>
  <c r="C22" i="46"/>
  <c r="Q15" i="46" s="1"/>
  <c r="C22" i="45"/>
  <c r="Q15" i="45" s="1"/>
  <c r="E162" i="48"/>
  <c r="G5" i="47"/>
  <c r="C5" i="43"/>
  <c r="N9" i="43" s="1"/>
  <c r="D124" i="48"/>
  <c r="F24" i="47"/>
  <c r="C24" i="41"/>
  <c r="Q17" i="41" s="1"/>
  <c r="C24" i="42"/>
  <c r="Q17" i="42" s="1"/>
  <c r="I26" i="47"/>
  <c r="C26" i="45"/>
  <c r="Q19" i="45" s="1"/>
  <c r="C26" i="46"/>
  <c r="Q19" i="46" s="1"/>
  <c r="F138" i="48"/>
  <c r="F167" i="48" s="1"/>
  <c r="E43" i="19"/>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X53" i="48" l="1"/>
  <c r="D144" i="48"/>
  <c r="S53" i="48"/>
  <c r="S54" i="48" s="1"/>
  <c r="S55" i="48" s="1"/>
  <c r="G149" i="48"/>
  <c r="F121" i="48"/>
  <c r="S24" i="48" s="1"/>
  <c r="S27" i="48" s="1"/>
  <c r="S32" i="48" s="1"/>
  <c r="D148" i="48"/>
  <c r="D154" i="48"/>
  <c r="I148" i="48"/>
  <c r="I150" i="48" s="1"/>
  <c r="H173" i="48"/>
  <c r="H182" i="48" s="1"/>
  <c r="H177" i="48"/>
  <c r="H178" i="48"/>
  <c r="U142" i="48" s="1"/>
  <c r="O17" i="45"/>
  <c r="O13" i="45"/>
  <c r="O14" i="45"/>
  <c r="O12" i="45"/>
  <c r="O16" i="45"/>
  <c r="O18" i="45"/>
  <c r="O15" i="45"/>
  <c r="G144" i="48"/>
  <c r="G154" i="48" s="1"/>
  <c r="R53" i="48"/>
  <c r="G42" i="37"/>
  <c r="D80" i="45"/>
  <c r="C34" i="45"/>
  <c r="J149" i="48"/>
  <c r="J148" i="48"/>
  <c r="J144" i="48"/>
  <c r="J154" i="48" s="1"/>
  <c r="E148" i="48"/>
  <c r="O12" i="44"/>
  <c r="O13" i="44"/>
  <c r="O16" i="44"/>
  <c r="O15" i="44"/>
  <c r="O17" i="44"/>
  <c r="O14" i="44"/>
  <c r="O18" i="44"/>
  <c r="U19" i="48"/>
  <c r="U20" i="48" s="1"/>
  <c r="U51" i="48"/>
  <c r="U52" i="48" s="1"/>
  <c r="I44" i="37"/>
  <c r="J44" i="37"/>
  <c r="X56" i="48"/>
  <c r="X57" i="48" s="1"/>
  <c r="X54" i="48"/>
  <c r="X55" i="48" s="1"/>
  <c r="X58" i="48" s="1"/>
  <c r="AK81" i="48" s="1"/>
  <c r="L82" i="46" s="1"/>
  <c r="D54" i="46" s="1"/>
  <c r="D173" i="48"/>
  <c r="D183" i="48" s="1"/>
  <c r="O12" i="42"/>
  <c r="O18" i="42"/>
  <c r="O17" i="42"/>
  <c r="O13" i="42"/>
  <c r="O16" i="42"/>
  <c r="O15" i="42"/>
  <c r="O14" i="42"/>
  <c r="W51" i="48"/>
  <c r="W52" i="48" s="1"/>
  <c r="AJ70" i="48" s="1"/>
  <c r="W19" i="48"/>
  <c r="W20" i="48" s="1"/>
  <c r="AJ62" i="48" s="1"/>
  <c r="M44" i="37"/>
  <c r="K149" i="48"/>
  <c r="K148" i="48"/>
  <c r="K144" i="48"/>
  <c r="K154" i="48" s="1"/>
  <c r="D177" i="48"/>
  <c r="D179" i="48" s="1"/>
  <c r="Q53" i="48"/>
  <c r="E42" i="37"/>
  <c r="S51" i="48"/>
  <c r="S52" i="48" s="1"/>
  <c r="S19" i="48"/>
  <c r="S20" i="48" s="1"/>
  <c r="E144" i="48"/>
  <c r="E154" i="48" s="1"/>
  <c r="O12" i="41"/>
  <c r="O17" i="41"/>
  <c r="O13" i="41"/>
  <c r="O15" i="41"/>
  <c r="O18" i="41"/>
  <c r="O14" i="41"/>
  <c r="O16" i="41"/>
  <c r="G121" i="48"/>
  <c r="H43" i="37"/>
  <c r="W53" i="48"/>
  <c r="M42" i="37"/>
  <c r="K162" i="48"/>
  <c r="K178" i="48" s="1"/>
  <c r="X142" i="48" s="1"/>
  <c r="I144" i="48"/>
  <c r="D149" i="48"/>
  <c r="Q91" i="48" s="1"/>
  <c r="G168" i="48"/>
  <c r="G177" i="48" s="1"/>
  <c r="G148" i="48"/>
  <c r="R51" i="48"/>
  <c r="R52" i="48" s="1"/>
  <c r="AE70" i="48" s="1"/>
  <c r="R19" i="48"/>
  <c r="R20" i="48" s="1"/>
  <c r="AE62" i="48" s="1"/>
  <c r="G44" i="37"/>
  <c r="K173" i="48"/>
  <c r="J162" i="48"/>
  <c r="J173" i="48" s="1"/>
  <c r="I149" i="48"/>
  <c r="V51" i="48"/>
  <c r="V52" i="48" s="1"/>
  <c r="AI70" i="48" s="1"/>
  <c r="V19" i="48"/>
  <c r="V20" i="48" s="1"/>
  <c r="AI62" i="48" s="1"/>
  <c r="L44" i="37"/>
  <c r="K44" i="37"/>
  <c r="O17" i="39"/>
  <c r="O13" i="39"/>
  <c r="O14" i="39"/>
  <c r="O12" i="39"/>
  <c r="O16" i="39"/>
  <c r="O15" i="39"/>
  <c r="O18" i="39"/>
  <c r="Q51" i="48"/>
  <c r="Q52" i="48" s="1"/>
  <c r="AD70" i="48" s="1"/>
  <c r="Q19" i="48"/>
  <c r="Q20" i="48" s="1"/>
  <c r="AD62" i="48" s="1"/>
  <c r="E44" i="37"/>
  <c r="G153" i="48"/>
  <c r="I168" i="48"/>
  <c r="I173" i="48" s="1"/>
  <c r="D80" i="46"/>
  <c r="C34" i="46"/>
  <c r="H149" i="48"/>
  <c r="H148" i="48"/>
  <c r="H150" i="48" s="1"/>
  <c r="H144" i="48"/>
  <c r="H154" i="48" s="1"/>
  <c r="O18" i="43"/>
  <c r="O14" i="43"/>
  <c r="O17" i="43"/>
  <c r="O12" i="43"/>
  <c r="O16" i="43"/>
  <c r="O15" i="43"/>
  <c r="O13" i="43"/>
  <c r="C34" i="39"/>
  <c r="D80" i="39"/>
  <c r="O14" i="40"/>
  <c r="O15" i="40"/>
  <c r="O12" i="40"/>
  <c r="O13" i="40"/>
  <c r="O18" i="40"/>
  <c r="O17" i="40"/>
  <c r="O16" i="40"/>
  <c r="T19" i="48"/>
  <c r="T20" i="48" s="1"/>
  <c r="AF62" i="48" s="1"/>
  <c r="T51" i="48"/>
  <c r="T52" i="48" s="1"/>
  <c r="AF70" i="48" s="1"/>
  <c r="H44" i="37"/>
  <c r="D121" i="48"/>
  <c r="E43" i="37"/>
  <c r="C34" i="40"/>
  <c r="D80" i="40"/>
  <c r="E121" i="48"/>
  <c r="G43" i="37"/>
  <c r="J178" i="48"/>
  <c r="W142" i="48" s="1"/>
  <c r="C34" i="43"/>
  <c r="D80" i="43"/>
  <c r="V53" i="48"/>
  <c r="L42" i="37"/>
  <c r="K42" i="37"/>
  <c r="AG58" i="48"/>
  <c r="F16" i="47"/>
  <c r="U53" i="48"/>
  <c r="I42" i="37"/>
  <c r="J42" i="37"/>
  <c r="O11" i="42"/>
  <c r="D80" i="41"/>
  <c r="C34" i="41"/>
  <c r="F149" i="48"/>
  <c r="F144" i="48"/>
  <c r="F153" i="48" s="1"/>
  <c r="F148" i="48"/>
  <c r="O11" i="39"/>
  <c r="AF58" i="48"/>
  <c r="E16" i="47"/>
  <c r="H121" i="48"/>
  <c r="I43" i="37"/>
  <c r="J43" i="37"/>
  <c r="J121" i="48"/>
  <c r="M43" i="37"/>
  <c r="E149" i="48"/>
  <c r="I121" i="48"/>
  <c r="L43" i="37"/>
  <c r="K43" i="37"/>
  <c r="J16" i="47"/>
  <c r="AK58" i="48"/>
  <c r="AD58" i="48"/>
  <c r="C16" i="47"/>
  <c r="C16" i="39"/>
  <c r="Q9" i="39" s="1"/>
  <c r="P12" i="39" s="1"/>
  <c r="F162" i="48"/>
  <c r="K121" i="48"/>
  <c r="X24" i="48" s="1"/>
  <c r="X27" i="48" s="1"/>
  <c r="AE58" i="48"/>
  <c r="D16" i="47"/>
  <c r="C16" i="41"/>
  <c r="Q9" i="41" s="1"/>
  <c r="P11" i="41" s="1"/>
  <c r="C16" i="42"/>
  <c r="Q9" i="42" s="1"/>
  <c r="P14" i="42" s="1"/>
  <c r="C16" i="40"/>
  <c r="Q9" i="40" s="1"/>
  <c r="P20" i="40" s="1"/>
  <c r="D153" i="48"/>
  <c r="D80" i="42"/>
  <c r="C34" i="42"/>
  <c r="D80" i="44"/>
  <c r="C34" i="44"/>
  <c r="T53" i="48"/>
  <c r="H42" i="37"/>
  <c r="E163" i="48"/>
  <c r="E177" i="48" s="1"/>
  <c r="I16" i="47"/>
  <c r="AJ58" i="48"/>
  <c r="O18" i="46"/>
  <c r="O15" i="46"/>
  <c r="O12" i="46"/>
  <c r="O14" i="46"/>
  <c r="O16" i="46"/>
  <c r="O17" i="46"/>
  <c r="O13" i="46"/>
  <c r="O11" i="43"/>
  <c r="H16" i="47"/>
  <c r="AI58" i="48"/>
  <c r="C16" i="45"/>
  <c r="Q9" i="45" s="1"/>
  <c r="P13" i="45" s="1"/>
  <c r="C16" i="46"/>
  <c r="Q9" i="46" s="1"/>
  <c r="P11" i="46" s="1"/>
  <c r="C16" i="44"/>
  <c r="Q9" i="44" s="1"/>
  <c r="P16" i="44" s="1"/>
  <c r="AH58" i="48"/>
  <c r="G16" i="47"/>
  <c r="C16" i="43"/>
  <c r="Q9" i="43" s="1"/>
  <c r="P18" i="43" s="1"/>
  <c r="P13" i="39"/>
  <c r="X51" i="48"/>
  <c r="X52" i="48" s="1"/>
  <c r="AK70" i="48" s="1"/>
  <c r="X19" i="48"/>
  <c r="X20" i="48" s="1"/>
  <c r="AK62" i="48" s="1"/>
  <c r="H52" i="9"/>
  <c r="H78" i="9"/>
  <c r="H80" i="9"/>
  <c r="H55" i="9"/>
  <c r="H54" i="9"/>
  <c r="H81" i="9"/>
  <c r="H44" i="9"/>
  <c r="H83" i="9"/>
  <c r="H57" i="9"/>
  <c r="D7" i="9"/>
  <c r="S56" i="48" l="1"/>
  <c r="S57" i="48" s="1"/>
  <c r="J177" i="48"/>
  <c r="Q101" i="48"/>
  <c r="F154" i="48"/>
  <c r="F150" i="48"/>
  <c r="J179" i="48"/>
  <c r="S34" i="48"/>
  <c r="S35" i="48" s="1"/>
  <c r="G178" i="48"/>
  <c r="T142" i="48" s="1"/>
  <c r="P17" i="45"/>
  <c r="S29" i="48"/>
  <c r="S30" i="48" s="1"/>
  <c r="P15" i="40"/>
  <c r="G150" i="48"/>
  <c r="G173" i="48"/>
  <c r="G182" i="48" s="1"/>
  <c r="J150" i="48"/>
  <c r="P14" i="43"/>
  <c r="P18" i="40"/>
  <c r="P15" i="45"/>
  <c r="P19" i="46"/>
  <c r="K150" i="48"/>
  <c r="P19" i="43"/>
  <c r="P16" i="43"/>
  <c r="I183" i="48"/>
  <c r="P18" i="45"/>
  <c r="P16" i="40"/>
  <c r="E178" i="48"/>
  <c r="R142" i="48" s="1"/>
  <c r="Q134" i="48"/>
  <c r="P15" i="44"/>
  <c r="Q139" i="48"/>
  <c r="K177" i="48"/>
  <c r="K179" i="48" s="1"/>
  <c r="P13" i="46"/>
  <c r="H179" i="48"/>
  <c r="U115" i="48" s="1"/>
  <c r="P17" i="46"/>
  <c r="P19" i="42"/>
  <c r="P17" i="39"/>
  <c r="P13" i="40"/>
  <c r="Q152" i="48"/>
  <c r="P16" i="45"/>
  <c r="K183" i="48"/>
  <c r="P17" i="43"/>
  <c r="P11" i="42"/>
  <c r="P12" i="42"/>
  <c r="P18" i="39"/>
  <c r="P18" i="42"/>
  <c r="I178" i="48"/>
  <c r="V142" i="48" s="1"/>
  <c r="V150" i="48" s="1"/>
  <c r="F173" i="48"/>
  <c r="F183" i="48" s="1"/>
  <c r="P20" i="44"/>
  <c r="P12" i="43"/>
  <c r="P14" i="46"/>
  <c r="P13" i="42"/>
  <c r="P14" i="44"/>
  <c r="P13" i="44"/>
  <c r="I177" i="48"/>
  <c r="P20" i="42"/>
  <c r="P15" i="46"/>
  <c r="P20" i="45"/>
  <c r="I182" i="48"/>
  <c r="X149" i="48" s="1"/>
  <c r="X153" i="48" s="1"/>
  <c r="P17" i="42"/>
  <c r="E173" i="48"/>
  <c r="E183" i="48" s="1"/>
  <c r="F177" i="48"/>
  <c r="P12" i="44"/>
  <c r="Q106" i="48"/>
  <c r="H153" i="48"/>
  <c r="U152" i="48" s="1"/>
  <c r="P17" i="44"/>
  <c r="D150" i="48"/>
  <c r="P12" i="45"/>
  <c r="P16" i="46"/>
  <c r="F178" i="48"/>
  <c r="S142" i="48" s="1"/>
  <c r="P13" i="43"/>
  <c r="P15" i="43"/>
  <c r="P20" i="46"/>
  <c r="P16" i="41"/>
  <c r="P12" i="41"/>
  <c r="X139" i="48"/>
  <c r="W139" i="48"/>
  <c r="V139" i="48"/>
  <c r="V106" i="48"/>
  <c r="X91" i="48"/>
  <c r="W91" i="48"/>
  <c r="V91" i="48"/>
  <c r="W106" i="48"/>
  <c r="X106" i="48"/>
  <c r="P17" i="41"/>
  <c r="H53" i="42"/>
  <c r="E34" i="42"/>
  <c r="AE59" i="48"/>
  <c r="D3" i="47"/>
  <c r="D15" i="47" s="1"/>
  <c r="C3" i="42"/>
  <c r="O6" i="42" s="1"/>
  <c r="O9" i="42" s="1"/>
  <c r="C3" i="41"/>
  <c r="O6" i="41" s="1"/>
  <c r="O9" i="41" s="1"/>
  <c r="C3" i="40"/>
  <c r="O6" i="40" s="1"/>
  <c r="O9" i="40" s="1"/>
  <c r="E182" i="48"/>
  <c r="R149" i="48" s="1"/>
  <c r="P18" i="46"/>
  <c r="P15" i="39"/>
  <c r="V24" i="48"/>
  <c r="L45" i="37"/>
  <c r="K45" i="37"/>
  <c r="V56" i="48"/>
  <c r="V57" i="48" s="1"/>
  <c r="V54" i="48"/>
  <c r="V55" i="48" s="1"/>
  <c r="P11" i="39"/>
  <c r="J182" i="48"/>
  <c r="L71" i="41"/>
  <c r="C54" i="41" s="1"/>
  <c r="P19" i="40"/>
  <c r="AE84" i="48"/>
  <c r="L63" i="40"/>
  <c r="L71" i="45"/>
  <c r="C54" i="45" s="1"/>
  <c r="E150" i="48"/>
  <c r="P16" i="42"/>
  <c r="T101" i="48"/>
  <c r="S101" i="48"/>
  <c r="R106" i="48"/>
  <c r="R139" i="48"/>
  <c r="R91" i="48"/>
  <c r="J183" i="48"/>
  <c r="AD84" i="48"/>
  <c r="L63" i="39"/>
  <c r="L63" i="46"/>
  <c r="AK84" i="48"/>
  <c r="AD59" i="48"/>
  <c r="C3" i="47"/>
  <c r="C15" i="47" s="1"/>
  <c r="C3" i="39"/>
  <c r="O6" i="39" s="1"/>
  <c r="O9" i="39" s="1"/>
  <c r="U24" i="48"/>
  <c r="I45" i="37"/>
  <c r="J45" i="37"/>
  <c r="U54" i="48"/>
  <c r="U55" i="48" s="1"/>
  <c r="U56" i="48"/>
  <c r="U57" i="48" s="1"/>
  <c r="P20" i="43"/>
  <c r="P14" i="41"/>
  <c r="P15" i="42"/>
  <c r="L71" i="39"/>
  <c r="C54" i="39" s="1"/>
  <c r="P12" i="40"/>
  <c r="E153" i="48"/>
  <c r="R152" i="48" s="1"/>
  <c r="R54" i="48"/>
  <c r="R55" i="48" s="1"/>
  <c r="R56" i="48"/>
  <c r="R57" i="48" s="1"/>
  <c r="AI84" i="48"/>
  <c r="L63" i="44"/>
  <c r="H53" i="45"/>
  <c r="E34" i="45"/>
  <c r="G3" i="47"/>
  <c r="G15" i="47" s="1"/>
  <c r="AH59" i="48"/>
  <c r="C3" i="43"/>
  <c r="O6" i="43" s="1"/>
  <c r="O9" i="43" s="1"/>
  <c r="P13" i="41"/>
  <c r="L71" i="44"/>
  <c r="C54" i="44" s="1"/>
  <c r="P18" i="44"/>
  <c r="I153" i="48"/>
  <c r="U141" i="48"/>
  <c r="P12" i="46"/>
  <c r="AK92" i="48"/>
  <c r="L71" i="46"/>
  <c r="C54" i="46" s="1"/>
  <c r="E54" i="46" s="1"/>
  <c r="AJ59" i="48"/>
  <c r="I3" i="47"/>
  <c r="I15" i="47" s="1"/>
  <c r="T54" i="48"/>
  <c r="T55" i="48" s="1"/>
  <c r="T56" i="48"/>
  <c r="T57" i="48" s="1"/>
  <c r="P11" i="44"/>
  <c r="AK59" i="48"/>
  <c r="J3" i="47"/>
  <c r="J15" i="47" s="1"/>
  <c r="P14" i="39"/>
  <c r="P14" i="45"/>
  <c r="P16" i="39"/>
  <c r="H53" i="39"/>
  <c r="E34" i="39"/>
  <c r="U139" i="48"/>
  <c r="U106" i="48"/>
  <c r="U101" i="48"/>
  <c r="U91" i="48"/>
  <c r="H53" i="46"/>
  <c r="E34" i="46"/>
  <c r="K182" i="48"/>
  <c r="W56" i="48"/>
  <c r="W57" i="48" s="1"/>
  <c r="W54" i="48"/>
  <c r="W55" i="48" s="1"/>
  <c r="K153" i="48"/>
  <c r="T152" i="48"/>
  <c r="T139" i="48"/>
  <c r="T134" i="48"/>
  <c r="T106" i="48"/>
  <c r="S106" i="48"/>
  <c r="S152" i="48"/>
  <c r="S139" i="48"/>
  <c r="T91" i="48"/>
  <c r="S91" i="48"/>
  <c r="S134" i="48"/>
  <c r="U150" i="48"/>
  <c r="U146" i="48"/>
  <c r="U122" i="48"/>
  <c r="U123" i="48" s="1"/>
  <c r="U121" i="48"/>
  <c r="U110" i="48"/>
  <c r="U111" i="48" s="1"/>
  <c r="U109" i="48"/>
  <c r="U94" i="48"/>
  <c r="AJ84" i="48"/>
  <c r="L63" i="45"/>
  <c r="H53" i="40"/>
  <c r="E34" i="40"/>
  <c r="P11" i="45"/>
  <c r="S33" i="48"/>
  <c r="S40" i="48"/>
  <c r="S39" i="48"/>
  <c r="S42" i="48" s="1"/>
  <c r="S38" i="48"/>
  <c r="X34" i="48"/>
  <c r="X35" i="48" s="1"/>
  <c r="X32" i="48"/>
  <c r="X29" i="48"/>
  <c r="X30" i="48" s="1"/>
  <c r="P20" i="41"/>
  <c r="AF59" i="48"/>
  <c r="E3" i="47"/>
  <c r="E15" i="47" s="1"/>
  <c r="Q24" i="48"/>
  <c r="E45" i="37"/>
  <c r="Q56" i="48"/>
  <c r="Q57" i="48" s="1"/>
  <c r="Q54" i="48"/>
  <c r="Q55" i="48" s="1"/>
  <c r="S58" i="48"/>
  <c r="AH70" i="48"/>
  <c r="AG70" i="48"/>
  <c r="J153" i="48"/>
  <c r="P20" i="39"/>
  <c r="H183" i="48"/>
  <c r="U149" i="48" s="1"/>
  <c r="U153" i="48" s="1"/>
  <c r="Q141" i="48"/>
  <c r="Q126" i="48"/>
  <c r="Q127" i="48" s="1"/>
  <c r="Q128" i="48" s="1"/>
  <c r="AF84" i="48"/>
  <c r="L63" i="41"/>
  <c r="L71" i="40"/>
  <c r="C54" i="40" s="1"/>
  <c r="P19" i="41"/>
  <c r="H3" i="47"/>
  <c r="H15" i="47" s="1"/>
  <c r="C3" i="46"/>
  <c r="O6" i="46" s="1"/>
  <c r="O9" i="46" s="1"/>
  <c r="C3" i="45"/>
  <c r="O6" i="45" s="1"/>
  <c r="O9" i="45" s="1"/>
  <c r="C3" i="44"/>
  <c r="O6" i="44" s="1"/>
  <c r="O9" i="44" s="1"/>
  <c r="AI59" i="48"/>
  <c r="X150" i="48"/>
  <c r="X146" i="48"/>
  <c r="X122" i="48"/>
  <c r="X123" i="48" s="1"/>
  <c r="X121" i="48"/>
  <c r="X110" i="48"/>
  <c r="X111" i="48" s="1"/>
  <c r="X109" i="48"/>
  <c r="W150" i="48"/>
  <c r="W146" i="48"/>
  <c r="W122" i="48"/>
  <c r="W123" i="48" s="1"/>
  <c r="W121" i="48"/>
  <c r="W110" i="48"/>
  <c r="W111" i="48" s="1"/>
  <c r="W109" i="48"/>
  <c r="V146" i="48"/>
  <c r="V122" i="48"/>
  <c r="V123" i="48" s="1"/>
  <c r="V121" i="48"/>
  <c r="V110" i="48"/>
  <c r="V111" i="48" s="1"/>
  <c r="V109" i="48"/>
  <c r="V94" i="48"/>
  <c r="W94" i="48"/>
  <c r="X94" i="48"/>
  <c r="P9" i="43"/>
  <c r="H53" i="44"/>
  <c r="E34" i="44"/>
  <c r="P11" i="43"/>
  <c r="P17" i="40"/>
  <c r="W24" i="48"/>
  <c r="W27" i="48" s="1"/>
  <c r="M45" i="37"/>
  <c r="P18" i="41"/>
  <c r="H53" i="41"/>
  <c r="E34" i="41"/>
  <c r="F3" i="47"/>
  <c r="F15" i="47" s="1"/>
  <c r="AG59" i="48"/>
  <c r="H53" i="43"/>
  <c r="E34" i="43"/>
  <c r="R24" i="48"/>
  <c r="G45" i="37"/>
  <c r="P19" i="39"/>
  <c r="P19" i="44"/>
  <c r="P14" i="40"/>
  <c r="P11" i="40"/>
  <c r="T24" i="48"/>
  <c r="T27" i="48" s="1"/>
  <c r="H45" i="37"/>
  <c r="P19" i="45"/>
  <c r="P15" i="41"/>
  <c r="Q150" i="48"/>
  <c r="Q146" i="48"/>
  <c r="Q122" i="48"/>
  <c r="Q123" i="48" s="1"/>
  <c r="Q121" i="48"/>
  <c r="Q115" i="48"/>
  <c r="Q110" i="48"/>
  <c r="Q111" i="48" s="1"/>
  <c r="Q109" i="48"/>
  <c r="Q92" i="48"/>
  <c r="Q93" i="48" s="1"/>
  <c r="Q94" i="48"/>
  <c r="AH62" i="48"/>
  <c r="AG62" i="48"/>
  <c r="I154" i="48"/>
  <c r="D182" i="48"/>
  <c r="Q149" i="48" s="1"/>
  <c r="Q153" i="48" s="1"/>
  <c r="Q154" i="48" s="1"/>
  <c r="AD80" i="48" s="1"/>
  <c r="L81" i="39" s="1"/>
  <c r="D53" i="39" s="1"/>
  <c r="F31" i="8"/>
  <c r="U112" i="48" l="1"/>
  <c r="I179" i="48"/>
  <c r="V92" i="48" s="1"/>
  <c r="V93" i="48" s="1"/>
  <c r="T122" i="48"/>
  <c r="T123" i="48" s="1"/>
  <c r="U126" i="48"/>
  <c r="U127" i="48" s="1"/>
  <c r="U128" i="48" s="1"/>
  <c r="U132" i="48" s="1"/>
  <c r="U133" i="48" s="1"/>
  <c r="U92" i="48"/>
  <c r="U93" i="48" s="1"/>
  <c r="U98" i="48" s="1"/>
  <c r="W58" i="48"/>
  <c r="AJ81" i="48" s="1"/>
  <c r="L82" i="45" s="1"/>
  <c r="D54" i="45" s="1"/>
  <c r="E54" i="45" s="1"/>
  <c r="U134" i="48"/>
  <c r="R110" i="48"/>
  <c r="R111" i="48" s="1"/>
  <c r="R112" i="48" s="1"/>
  <c r="Q124" i="48"/>
  <c r="Q58" i="48"/>
  <c r="AD81" i="48" s="1"/>
  <c r="L82" i="39" s="1"/>
  <c r="D54" i="39" s="1"/>
  <c r="E54" i="39" s="1"/>
  <c r="U124" i="48"/>
  <c r="R146" i="48"/>
  <c r="R150" i="48"/>
  <c r="Q112" i="48"/>
  <c r="W112" i="48"/>
  <c r="X124" i="48"/>
  <c r="P9" i="39"/>
  <c r="E179" i="48"/>
  <c r="R141" i="48" s="1"/>
  <c r="X134" i="48"/>
  <c r="T110" i="48"/>
  <c r="T111" i="48" s="1"/>
  <c r="R122" i="48"/>
  <c r="R123" i="48" s="1"/>
  <c r="F179" i="48"/>
  <c r="S121" i="48"/>
  <c r="S150" i="48"/>
  <c r="S151" i="48" s="1"/>
  <c r="G183" i="48"/>
  <c r="S149" i="48" s="1"/>
  <c r="S153" i="48" s="1"/>
  <c r="S154" i="48" s="1"/>
  <c r="T109" i="48"/>
  <c r="R153" i="48"/>
  <c r="R154" i="48" s="1"/>
  <c r="AE80" i="48" s="1"/>
  <c r="L81" i="40" s="1"/>
  <c r="D53" i="40" s="1"/>
  <c r="S110" i="48"/>
  <c r="S111" i="48" s="1"/>
  <c r="R94" i="48"/>
  <c r="T150" i="48"/>
  <c r="S109" i="48"/>
  <c r="S47" i="48"/>
  <c r="S122" i="48"/>
  <c r="S123" i="48" s="1"/>
  <c r="T121" i="48"/>
  <c r="T124" i="48" s="1"/>
  <c r="G179" i="48"/>
  <c r="T92" i="48" s="1"/>
  <c r="T93" i="48" s="1"/>
  <c r="S146" i="48"/>
  <c r="T146" i="48"/>
  <c r="AJ92" i="48"/>
  <c r="P9" i="45"/>
  <c r="S94" i="48"/>
  <c r="R134" i="48"/>
  <c r="R109" i="48"/>
  <c r="Q151" i="48"/>
  <c r="AD69" i="48" s="1"/>
  <c r="AD91" i="48" s="1"/>
  <c r="P9" i="42"/>
  <c r="V112" i="48"/>
  <c r="W124" i="48"/>
  <c r="T94" i="48"/>
  <c r="R121" i="48"/>
  <c r="R124" i="48" s="1"/>
  <c r="R58" i="48"/>
  <c r="AE81" i="48" s="1"/>
  <c r="L82" i="40" s="1"/>
  <c r="D54" i="40" s="1"/>
  <c r="E54" i="40" s="1"/>
  <c r="X112" i="48"/>
  <c r="F182" i="48"/>
  <c r="V149" i="48"/>
  <c r="V153" i="48" s="1"/>
  <c r="W149" i="48"/>
  <c r="W153" i="48" s="1"/>
  <c r="W101" i="48"/>
  <c r="V124" i="48"/>
  <c r="V58" i="48"/>
  <c r="AI81" i="48" s="1"/>
  <c r="W151" i="48"/>
  <c r="AJ69" i="48" s="1"/>
  <c r="V99" i="48"/>
  <c r="V98" i="48"/>
  <c r="V97" i="48"/>
  <c r="V95" i="48"/>
  <c r="V96" i="48" s="1"/>
  <c r="AI67" i="48" s="1"/>
  <c r="G32" i="47"/>
  <c r="H55" i="43"/>
  <c r="C46" i="41"/>
  <c r="L71" i="43"/>
  <c r="C54" i="43" s="1"/>
  <c r="R101" i="48"/>
  <c r="F32" i="47"/>
  <c r="H55" i="42"/>
  <c r="X115" i="48"/>
  <c r="C46" i="39"/>
  <c r="W152" i="48"/>
  <c r="Q132" i="48"/>
  <c r="Q133" i="48" s="1"/>
  <c r="Q129" i="48"/>
  <c r="U58" i="48"/>
  <c r="AH84" i="48"/>
  <c r="L63" i="43"/>
  <c r="W115" i="48"/>
  <c r="D32" i="47"/>
  <c r="H55" i="40"/>
  <c r="U118" i="48"/>
  <c r="U120" i="48" s="1"/>
  <c r="U117" i="48"/>
  <c r="P9" i="46"/>
  <c r="V101" i="48"/>
  <c r="X92" i="48"/>
  <c r="X93" i="48" s="1"/>
  <c r="Q81" i="48"/>
  <c r="Q83" i="48" s="1"/>
  <c r="Q27" i="48"/>
  <c r="Q69" i="48"/>
  <c r="P9" i="40"/>
  <c r="P9" i="41"/>
  <c r="U151" i="48"/>
  <c r="T58" i="48"/>
  <c r="AF81" i="48" s="1"/>
  <c r="U129" i="48"/>
  <c r="X101" i="48"/>
  <c r="X151" i="48"/>
  <c r="AK69" i="48" s="1"/>
  <c r="R81" i="48"/>
  <c r="R83" i="48" s="1"/>
  <c r="T69" i="48"/>
  <c r="S69" i="48"/>
  <c r="T81" i="48"/>
  <c r="T83" i="48" s="1"/>
  <c r="R69" i="48"/>
  <c r="R27" i="48"/>
  <c r="S81" i="48"/>
  <c r="S83" i="48" s="1"/>
  <c r="E32" i="47"/>
  <c r="H55" i="41"/>
  <c r="AK63" i="48"/>
  <c r="AK64" i="48"/>
  <c r="U154" i="48"/>
  <c r="X81" i="48"/>
  <c r="X83" i="48" s="1"/>
  <c r="W81" i="48"/>
  <c r="W83" i="48" s="1"/>
  <c r="V81" i="48"/>
  <c r="V83" i="48" s="1"/>
  <c r="V69" i="48"/>
  <c r="V27" i="48"/>
  <c r="W69" i="48"/>
  <c r="X69" i="48"/>
  <c r="V134" i="48"/>
  <c r="X152" i="48"/>
  <c r="X154" i="48" s="1"/>
  <c r="AK80" i="48" s="1"/>
  <c r="L81" i="46" s="1"/>
  <c r="D53" i="46" s="1"/>
  <c r="T32" i="48"/>
  <c r="T29" i="48"/>
  <c r="T30" i="48" s="1"/>
  <c r="T34" i="48"/>
  <c r="T35" i="48" s="1"/>
  <c r="X141" i="48"/>
  <c r="X126" i="48"/>
  <c r="X127" i="48" s="1"/>
  <c r="X128" i="48" s="1"/>
  <c r="W141" i="48"/>
  <c r="W126" i="48"/>
  <c r="W127" i="48" s="1"/>
  <c r="W128" i="48" s="1"/>
  <c r="V141" i="48"/>
  <c r="V126" i="48"/>
  <c r="V127" i="48" s="1"/>
  <c r="V128" i="48" s="1"/>
  <c r="C32" i="47"/>
  <c r="H55" i="39"/>
  <c r="I32" i="47"/>
  <c r="H55" i="45"/>
  <c r="V152" i="48"/>
  <c r="AG84" i="48"/>
  <c r="L63" i="42"/>
  <c r="W29" i="48"/>
  <c r="W30" i="48" s="1"/>
  <c r="W34" i="48"/>
  <c r="W35" i="48" s="1"/>
  <c r="W32" i="48"/>
  <c r="C46" i="46"/>
  <c r="W134" i="48"/>
  <c r="V115" i="48"/>
  <c r="P9" i="44"/>
  <c r="C46" i="44"/>
  <c r="C46" i="40"/>
  <c r="C46" i="45"/>
  <c r="Q99" i="48"/>
  <c r="Q98" i="48"/>
  <c r="Q97" i="48"/>
  <c r="Q95" i="48"/>
  <c r="Q96" i="48" s="1"/>
  <c r="AD67" i="48" s="1"/>
  <c r="S41" i="48"/>
  <c r="S36" i="48"/>
  <c r="S37" i="48" s="1"/>
  <c r="S46" i="48" s="1"/>
  <c r="U81" i="48"/>
  <c r="U83" i="48" s="1"/>
  <c r="U69" i="48"/>
  <c r="U27" i="48"/>
  <c r="Q117" i="48"/>
  <c r="Q118" i="48"/>
  <c r="Q120" i="48" s="1"/>
  <c r="H32" i="47"/>
  <c r="H55" i="44"/>
  <c r="W92" i="48"/>
  <c r="W93" i="48" s="1"/>
  <c r="L71" i="42"/>
  <c r="C54" i="42" s="1"/>
  <c r="X33" i="48"/>
  <c r="X38" i="48"/>
  <c r="X39" i="48"/>
  <c r="X42" i="48" s="1"/>
  <c r="X40" i="48"/>
  <c r="U97" i="48"/>
  <c r="J32" i="47"/>
  <c r="H55" i="46"/>
  <c r="V151" i="48"/>
  <c r="AI69" i="48" s="1"/>
  <c r="H29" i="11"/>
  <c r="D26" i="11"/>
  <c r="D25" i="11"/>
  <c r="D18" i="11"/>
  <c r="D11" i="11"/>
  <c r="D10" i="11"/>
  <c r="D9" i="11"/>
  <c r="U95" i="48" l="1"/>
  <c r="U96" i="48" s="1"/>
  <c r="R151" i="48"/>
  <c r="AE69" i="48" s="1"/>
  <c r="U99" i="48"/>
  <c r="T112" i="48"/>
  <c r="R92" i="48"/>
  <c r="R93" i="48" s="1"/>
  <c r="R97" i="48" s="1"/>
  <c r="S112" i="48"/>
  <c r="AD92" i="48"/>
  <c r="R115" i="48"/>
  <c r="R117" i="48" s="1"/>
  <c r="R119" i="48" s="1"/>
  <c r="T151" i="48"/>
  <c r="AF69" i="48" s="1"/>
  <c r="L70" i="41" s="1"/>
  <c r="C53" i="41" s="1"/>
  <c r="R126" i="48"/>
  <c r="R127" i="48" s="1"/>
  <c r="R128" i="48" s="1"/>
  <c r="R132" i="48" s="1"/>
  <c r="R133" i="48" s="1"/>
  <c r="L70" i="39"/>
  <c r="C53" i="39" s="1"/>
  <c r="E53" i="39" s="1"/>
  <c r="S124" i="48"/>
  <c r="Q100" i="48"/>
  <c r="Q102" i="48" s="1"/>
  <c r="AD78" i="48" s="1"/>
  <c r="L79" i="39" s="1"/>
  <c r="D51" i="39" s="1"/>
  <c r="AE92" i="48"/>
  <c r="T115" i="48"/>
  <c r="T99" i="48"/>
  <c r="T98" i="48"/>
  <c r="T97" i="48"/>
  <c r="T95" i="48"/>
  <c r="T96" i="48" s="1"/>
  <c r="AF67" i="48" s="1"/>
  <c r="L68" i="41" s="1"/>
  <c r="C51" i="41" s="1"/>
  <c r="W154" i="48"/>
  <c r="AJ80" i="48" s="1"/>
  <c r="L81" i="45" s="1"/>
  <c r="D53" i="45" s="1"/>
  <c r="S141" i="48"/>
  <c r="T141" i="48"/>
  <c r="S92" i="48"/>
  <c r="S93" i="48" s="1"/>
  <c r="T126" i="48"/>
  <c r="T127" i="48" s="1"/>
  <c r="T128" i="48" s="1"/>
  <c r="S126" i="48"/>
  <c r="S127" i="48" s="1"/>
  <c r="S128" i="48" s="1"/>
  <c r="S115" i="48"/>
  <c r="T149" i="48"/>
  <c r="T153" i="48" s="1"/>
  <c r="T154" i="48" s="1"/>
  <c r="AF80" i="48" s="1"/>
  <c r="L81" i="41" s="1"/>
  <c r="D53" i="41" s="1"/>
  <c r="V154" i="48"/>
  <c r="AI80" i="48" s="1"/>
  <c r="L81" i="44" s="1"/>
  <c r="D53" i="44" s="1"/>
  <c r="L70" i="45"/>
  <c r="C53" i="45" s="1"/>
  <c r="L82" i="44"/>
  <c r="D54" i="44" s="1"/>
  <c r="E54" i="44" s="1"/>
  <c r="AI92" i="48"/>
  <c r="AG67" i="48"/>
  <c r="AH67" i="48"/>
  <c r="L68" i="39"/>
  <c r="C51" i="39" s="1"/>
  <c r="X98" i="48"/>
  <c r="X99" i="48"/>
  <c r="X95" i="48"/>
  <c r="X96" i="48" s="1"/>
  <c r="AK67" i="48" s="1"/>
  <c r="X97" i="48"/>
  <c r="W99" i="48"/>
  <c r="W98" i="48"/>
  <c r="W97" i="48"/>
  <c r="W95" i="48"/>
  <c r="W96" i="48" s="1"/>
  <c r="AJ67" i="48" s="1"/>
  <c r="V71" i="48"/>
  <c r="V72" i="48"/>
  <c r="V74" i="48" s="1"/>
  <c r="AF64" i="48"/>
  <c r="AF63" i="48"/>
  <c r="V85" i="48"/>
  <c r="V84" i="48"/>
  <c r="R85" i="48"/>
  <c r="R84" i="48"/>
  <c r="U135" i="48"/>
  <c r="U131" i="48"/>
  <c r="U119" i="48"/>
  <c r="AG81" i="48"/>
  <c r="AH81" i="48"/>
  <c r="E46" i="39"/>
  <c r="X47" i="48"/>
  <c r="AK76" i="48" s="1"/>
  <c r="L77" i="46" s="1"/>
  <c r="D49" i="46" s="1"/>
  <c r="V132" i="48"/>
  <c r="V133" i="48" s="1"/>
  <c r="V129" i="48"/>
  <c r="T40" i="48"/>
  <c r="T39" i="48"/>
  <c r="T42" i="48" s="1"/>
  <c r="T38" i="48"/>
  <c r="T33" i="48"/>
  <c r="W84" i="48"/>
  <c r="W85" i="48"/>
  <c r="AK91" i="48"/>
  <c r="L70" i="46"/>
  <c r="C53" i="46" s="1"/>
  <c r="E53" i="46" s="1"/>
  <c r="AG69" i="48"/>
  <c r="AH69" i="48"/>
  <c r="X118" i="48"/>
  <c r="X120" i="48" s="1"/>
  <c r="X117" i="48"/>
  <c r="V100" i="48"/>
  <c r="V102" i="48" s="1"/>
  <c r="AI78" i="48" s="1"/>
  <c r="L79" i="44" s="1"/>
  <c r="D51" i="44" s="1"/>
  <c r="E46" i="41"/>
  <c r="T72" i="48"/>
  <c r="T74" i="48" s="1"/>
  <c r="T71" i="48"/>
  <c r="L68" i="44"/>
  <c r="C51" i="44" s="1"/>
  <c r="E46" i="40"/>
  <c r="L70" i="44"/>
  <c r="C53" i="44" s="1"/>
  <c r="E46" i="45"/>
  <c r="R34" i="48"/>
  <c r="R35" i="48" s="1"/>
  <c r="R32" i="48"/>
  <c r="R29" i="48"/>
  <c r="R30" i="48" s="1"/>
  <c r="V118" i="48"/>
  <c r="V120" i="48" s="1"/>
  <c r="V117" i="48"/>
  <c r="X72" i="48"/>
  <c r="X74" i="48" s="1"/>
  <c r="X71" i="48"/>
  <c r="R72" i="48"/>
  <c r="R74" i="48" s="1"/>
  <c r="R71" i="48"/>
  <c r="Q72" i="48"/>
  <c r="Q74" i="48" s="1"/>
  <c r="Q71" i="48"/>
  <c r="W118" i="48"/>
  <c r="W120" i="48" s="1"/>
  <c r="W117" i="48"/>
  <c r="L64" i="46"/>
  <c r="AK85" i="48"/>
  <c r="X84" i="48"/>
  <c r="X85" i="48"/>
  <c r="X36" i="48"/>
  <c r="X37" i="48" s="1"/>
  <c r="X46" i="48" s="1"/>
  <c r="AK65" i="48" s="1"/>
  <c r="X41" i="48"/>
  <c r="Q135" i="48"/>
  <c r="AD79" i="48" s="1"/>
  <c r="L80" i="39" s="1"/>
  <c r="D52" i="39" s="1"/>
  <c r="Q119" i="48"/>
  <c r="Q131" i="48"/>
  <c r="AD68" i="48" s="1"/>
  <c r="W38" i="48"/>
  <c r="W33" i="48"/>
  <c r="W39" i="48"/>
  <c r="W42" i="48" s="1"/>
  <c r="W40" i="48"/>
  <c r="U29" i="48"/>
  <c r="U30" i="48" s="1"/>
  <c r="U32" i="48"/>
  <c r="U34" i="48"/>
  <c r="U35" i="48" s="1"/>
  <c r="U72" i="48"/>
  <c r="U74" i="48" s="1"/>
  <c r="U71" i="48"/>
  <c r="AJ64" i="48"/>
  <c r="AJ63" i="48"/>
  <c r="X132" i="48"/>
  <c r="X133" i="48" s="1"/>
  <c r="X129" i="48"/>
  <c r="W72" i="48"/>
  <c r="W74" i="48" s="1"/>
  <c r="W71" i="48"/>
  <c r="AG80" i="48"/>
  <c r="L81" i="42" s="1"/>
  <c r="D53" i="42" s="1"/>
  <c r="AH80" i="48"/>
  <c r="L81" i="43" s="1"/>
  <c r="D53" i="43" s="1"/>
  <c r="T85" i="48"/>
  <c r="T84" i="48"/>
  <c r="Q34" i="48"/>
  <c r="Q35" i="48" s="1"/>
  <c r="Q32" i="48"/>
  <c r="Q29" i="48"/>
  <c r="Q30" i="48" s="1"/>
  <c r="C46" i="43"/>
  <c r="L82" i="41"/>
  <c r="D54" i="41" s="1"/>
  <c r="E54" i="41" s="1"/>
  <c r="AF92" i="48"/>
  <c r="S85" i="48"/>
  <c r="S84" i="48"/>
  <c r="W132" i="48"/>
  <c r="W133" i="48" s="1"/>
  <c r="W129" i="48"/>
  <c r="AE91" i="48"/>
  <c r="L70" i="40"/>
  <c r="C53" i="40" s="1"/>
  <c r="E53" i="40" s="1"/>
  <c r="E46" i="44"/>
  <c r="U100" i="48"/>
  <c r="U102" i="48" s="1"/>
  <c r="U85" i="48"/>
  <c r="U84" i="48"/>
  <c r="E46" i="46"/>
  <c r="C46" i="42"/>
  <c r="V29" i="48"/>
  <c r="V30" i="48" s="1"/>
  <c r="V34" i="48"/>
  <c r="V35" i="48" s="1"/>
  <c r="V32" i="48"/>
  <c r="AK86" i="48"/>
  <c r="L65" i="46"/>
  <c r="C48" i="46" s="1"/>
  <c r="E48" i="46" s="1"/>
  <c r="S72" i="48"/>
  <c r="S74" i="48" s="1"/>
  <c r="S71" i="48"/>
  <c r="Q84" i="48"/>
  <c r="Q85" i="48"/>
  <c r="G9" i="2"/>
  <c r="R118" i="48" l="1"/>
  <c r="R120" i="48" s="1"/>
  <c r="R98" i="48"/>
  <c r="R129" i="48"/>
  <c r="E53" i="41"/>
  <c r="R99" i="48"/>
  <c r="R100" i="48" s="1"/>
  <c r="R102" i="48" s="1"/>
  <c r="AE78" i="48" s="1"/>
  <c r="R95" i="48"/>
  <c r="R96" i="48" s="1"/>
  <c r="AE67" i="48" s="1"/>
  <c r="L68" i="40" s="1"/>
  <c r="C51" i="40" s="1"/>
  <c r="AD89" i="48"/>
  <c r="E53" i="45"/>
  <c r="E51" i="39"/>
  <c r="T100" i="48"/>
  <c r="T102" i="48" s="1"/>
  <c r="AF78" i="48" s="1"/>
  <c r="L79" i="41" s="1"/>
  <c r="D51" i="41" s="1"/>
  <c r="E51" i="41" s="1"/>
  <c r="AI91" i="48"/>
  <c r="T118" i="48"/>
  <c r="T120" i="48" s="1"/>
  <c r="T117" i="48"/>
  <c r="S98" i="48"/>
  <c r="S97" i="48"/>
  <c r="S95" i="48"/>
  <c r="S96" i="48" s="1"/>
  <c r="S99" i="48"/>
  <c r="AF91" i="48"/>
  <c r="S117" i="48"/>
  <c r="S118" i="48"/>
  <c r="S120" i="48" s="1"/>
  <c r="AJ91" i="48"/>
  <c r="S132" i="48"/>
  <c r="S133" i="48" s="1"/>
  <c r="S129" i="48"/>
  <c r="E53" i="44"/>
  <c r="T129" i="48"/>
  <c r="T132" i="48"/>
  <c r="T133" i="48" s="1"/>
  <c r="W100" i="48"/>
  <c r="W102" i="48" s="1"/>
  <c r="AJ78" i="48" s="1"/>
  <c r="L79" i="45" s="1"/>
  <c r="D51" i="45" s="1"/>
  <c r="E51" i="44"/>
  <c r="S87" i="48"/>
  <c r="S86" i="48"/>
  <c r="S73" i="48"/>
  <c r="AK87" i="48"/>
  <c r="L66" i="46"/>
  <c r="C49" i="46" s="1"/>
  <c r="E49" i="46" s="1"/>
  <c r="R87" i="48"/>
  <c r="AE77" i="48" s="1"/>
  <c r="L78" i="40" s="1"/>
  <c r="D50" i="40" s="1"/>
  <c r="R86" i="48"/>
  <c r="AE66" i="48" s="1"/>
  <c r="R73" i="48"/>
  <c r="L68" i="46"/>
  <c r="C51" i="46" s="1"/>
  <c r="AI63" i="48"/>
  <c r="AI64" i="48"/>
  <c r="AJ85" i="48"/>
  <c r="L64" i="45"/>
  <c r="W47" i="48"/>
  <c r="AJ76" i="48" s="1"/>
  <c r="L77" i="45" s="1"/>
  <c r="D49" i="45" s="1"/>
  <c r="C47" i="46"/>
  <c r="R33" i="48"/>
  <c r="R40" i="48"/>
  <c r="R39" i="48"/>
  <c r="R42" i="48" s="1"/>
  <c r="R38" i="48"/>
  <c r="V86" i="48"/>
  <c r="AI66" i="48" s="1"/>
  <c r="V87" i="48"/>
  <c r="AI77" i="48" s="1"/>
  <c r="L78" i="44" s="1"/>
  <c r="D50" i="44" s="1"/>
  <c r="V73" i="48"/>
  <c r="AE63" i="48"/>
  <c r="AE64" i="48"/>
  <c r="AH78" i="48"/>
  <c r="L79" i="43" s="1"/>
  <c r="D51" i="43" s="1"/>
  <c r="AG78" i="48"/>
  <c r="L79" i="42" s="1"/>
  <c r="D51" i="42" s="1"/>
  <c r="AJ86" i="48"/>
  <c r="L65" i="45"/>
  <c r="C48" i="45" s="1"/>
  <c r="E48" i="45" s="1"/>
  <c r="W36" i="48"/>
  <c r="W37" i="48" s="1"/>
  <c r="W46" i="48" s="1"/>
  <c r="AJ65" i="48" s="1"/>
  <c r="W41" i="48"/>
  <c r="X87" i="48"/>
  <c r="AK77" i="48" s="1"/>
  <c r="L78" i="46" s="1"/>
  <c r="D50" i="46" s="1"/>
  <c r="X86" i="48"/>
  <c r="AK66" i="48" s="1"/>
  <c r="X73" i="48"/>
  <c r="L68" i="45"/>
  <c r="C51" i="45" s="1"/>
  <c r="X100" i="48"/>
  <c r="X102" i="48" s="1"/>
  <c r="AK78" i="48" s="1"/>
  <c r="L79" i="46" s="1"/>
  <c r="D51" i="46" s="1"/>
  <c r="U86" i="48"/>
  <c r="U87" i="48"/>
  <c r="U73" i="48"/>
  <c r="W135" i="48"/>
  <c r="AJ79" i="48" s="1"/>
  <c r="L80" i="45" s="1"/>
  <c r="D52" i="45" s="1"/>
  <c r="W131" i="48"/>
  <c r="AJ68" i="48" s="1"/>
  <c r="W119" i="48"/>
  <c r="AD90" i="48"/>
  <c r="L69" i="39"/>
  <c r="C52" i="39" s="1"/>
  <c r="E52" i="39" s="1"/>
  <c r="AI89" i="48"/>
  <c r="X135" i="48"/>
  <c r="AK79" i="48" s="1"/>
  <c r="L80" i="46" s="1"/>
  <c r="D52" i="46" s="1"/>
  <c r="X131" i="48"/>
  <c r="AK68" i="48" s="1"/>
  <c r="X119" i="48"/>
  <c r="L82" i="42"/>
  <c r="D54" i="42" s="1"/>
  <c r="E54" i="42" s="1"/>
  <c r="AG92" i="48"/>
  <c r="E46" i="43"/>
  <c r="V135" i="48"/>
  <c r="AI79" i="48" s="1"/>
  <c r="L80" i="44" s="1"/>
  <c r="D52" i="44" s="1"/>
  <c r="V131" i="48"/>
  <c r="AI68" i="48" s="1"/>
  <c r="V119" i="48"/>
  <c r="T87" i="48"/>
  <c r="AF77" i="48" s="1"/>
  <c r="L78" i="41" s="1"/>
  <c r="D50" i="41" s="1"/>
  <c r="T86" i="48"/>
  <c r="AF66" i="48" s="1"/>
  <c r="T73" i="48"/>
  <c r="T41" i="48"/>
  <c r="T36" i="48"/>
  <c r="T37" i="48" s="1"/>
  <c r="T46" i="48" s="1"/>
  <c r="AF65" i="48" s="1"/>
  <c r="AF86" i="48"/>
  <c r="L65" i="41"/>
  <c r="C48" i="41" s="1"/>
  <c r="E48" i="41" s="1"/>
  <c r="L82" i="43"/>
  <c r="D54" i="43" s="1"/>
  <c r="E54" i="43" s="1"/>
  <c r="AH92" i="48"/>
  <c r="E46" i="42"/>
  <c r="AF85" i="48"/>
  <c r="L64" i="41"/>
  <c r="W87" i="48"/>
  <c r="AJ77" i="48" s="1"/>
  <c r="L78" i="45" s="1"/>
  <c r="D50" i="45" s="1"/>
  <c r="W86" i="48"/>
  <c r="AJ66" i="48" s="1"/>
  <c r="W73" i="48"/>
  <c r="AD64" i="48"/>
  <c r="AD63" i="48"/>
  <c r="U40" i="48"/>
  <c r="U39" i="48"/>
  <c r="U42" i="48" s="1"/>
  <c r="U38" i="48"/>
  <c r="U33" i="48"/>
  <c r="Q87" i="48"/>
  <c r="AD77" i="48" s="1"/>
  <c r="L78" i="39" s="1"/>
  <c r="D50" i="39" s="1"/>
  <c r="Q86" i="48"/>
  <c r="AD66" i="48" s="1"/>
  <c r="Q73" i="48"/>
  <c r="AH91" i="48"/>
  <c r="L70" i="43"/>
  <c r="C53" i="43" s="1"/>
  <c r="E53" i="43" s="1"/>
  <c r="AH68" i="48"/>
  <c r="AG68" i="48"/>
  <c r="L68" i="43"/>
  <c r="C51" i="43" s="1"/>
  <c r="V39" i="48"/>
  <c r="V42" i="48" s="1"/>
  <c r="V38" i="48"/>
  <c r="V40" i="48"/>
  <c r="V33" i="48"/>
  <c r="Q33" i="48"/>
  <c r="Q40" i="48"/>
  <c r="Q39" i="48"/>
  <c r="Q42" i="48" s="1"/>
  <c r="Q38" i="48"/>
  <c r="AH64" i="48"/>
  <c r="AH63" i="48"/>
  <c r="AG63" i="48"/>
  <c r="AG64" i="48"/>
  <c r="AG91" i="48"/>
  <c r="L70" i="42"/>
  <c r="C53" i="42" s="1"/>
  <c r="E53" i="42" s="1"/>
  <c r="T47" i="48"/>
  <c r="AF76" i="48" s="1"/>
  <c r="L77" i="41" s="1"/>
  <c r="D49" i="41" s="1"/>
  <c r="AG79" i="48"/>
  <c r="L80" i="42" s="1"/>
  <c r="D52" i="42" s="1"/>
  <c r="AH79" i="48"/>
  <c r="L80" i="43" s="1"/>
  <c r="D52" i="43" s="1"/>
  <c r="L68" i="42"/>
  <c r="C51" i="42" s="1"/>
  <c r="E10" i="2"/>
  <c r="R131" i="48" l="1"/>
  <c r="AE68" i="48" s="1"/>
  <c r="R135" i="48"/>
  <c r="AE79" i="48" s="1"/>
  <c r="L80" i="40" s="1"/>
  <c r="D52" i="40" s="1"/>
  <c r="L79" i="40"/>
  <c r="D51" i="40" s="1"/>
  <c r="E51" i="40" s="1"/>
  <c r="AE89" i="48"/>
  <c r="AF89" i="48"/>
  <c r="T131" i="48"/>
  <c r="AF68" i="48" s="1"/>
  <c r="T119" i="48"/>
  <c r="T135" i="48" s="1"/>
  <c r="AF79" i="48" s="1"/>
  <c r="L80" i="41" s="1"/>
  <c r="D52" i="41" s="1"/>
  <c r="D56" i="41" s="1"/>
  <c r="S131" i="48"/>
  <c r="S119" i="48"/>
  <c r="S135" i="48" s="1"/>
  <c r="E51" i="45"/>
  <c r="AJ89" i="48"/>
  <c r="S100" i="48"/>
  <c r="S102" i="48" s="1"/>
  <c r="Q47" i="48"/>
  <c r="AD76" i="48" s="1"/>
  <c r="L77" i="39" s="1"/>
  <c r="D49" i="39" s="1"/>
  <c r="I54" i="39" s="1"/>
  <c r="U47" i="48"/>
  <c r="AG76" i="48" s="1"/>
  <c r="L77" i="42" s="1"/>
  <c r="D49" i="42" s="1"/>
  <c r="AG89" i="48"/>
  <c r="E51" i="46"/>
  <c r="E51" i="42"/>
  <c r="R47" i="48"/>
  <c r="AE76" i="48" s="1"/>
  <c r="L77" i="40" s="1"/>
  <c r="D49" i="40" s="1"/>
  <c r="I54" i="40" s="1"/>
  <c r="E51" i="43"/>
  <c r="I54" i="46"/>
  <c r="AJ90" i="48"/>
  <c r="L69" i="45"/>
  <c r="C52" i="45" s="1"/>
  <c r="E52" i="45" s="1"/>
  <c r="AE88" i="48"/>
  <c r="L67" i="40"/>
  <c r="C50" i="40" s="1"/>
  <c r="E50" i="40" s="1"/>
  <c r="D56" i="46"/>
  <c r="AI88" i="48"/>
  <c r="L67" i="44"/>
  <c r="C50" i="44" s="1"/>
  <c r="E50" i="44" s="1"/>
  <c r="AI90" i="48"/>
  <c r="L69" i="44"/>
  <c r="C52" i="44" s="1"/>
  <c r="E52" i="44" s="1"/>
  <c r="Q36" i="48"/>
  <c r="Q37" i="48" s="1"/>
  <c r="Q46" i="48" s="1"/>
  <c r="AD65" i="48" s="1"/>
  <c r="Q41" i="48"/>
  <c r="AF87" i="48"/>
  <c r="L66" i="41"/>
  <c r="C49" i="41" s="1"/>
  <c r="E49" i="41" s="1"/>
  <c r="AK90" i="48"/>
  <c r="L69" i="46"/>
  <c r="C52" i="46" s="1"/>
  <c r="AK88" i="48"/>
  <c r="L67" i="46"/>
  <c r="C50" i="46" s="1"/>
  <c r="E50" i="46" s="1"/>
  <c r="AE86" i="48"/>
  <c r="L65" i="40"/>
  <c r="C48" i="40" s="1"/>
  <c r="E48" i="40" s="1"/>
  <c r="AI85" i="48"/>
  <c r="L64" i="44"/>
  <c r="AD86" i="48"/>
  <c r="L65" i="39"/>
  <c r="C48" i="39" s="1"/>
  <c r="E48" i="39" s="1"/>
  <c r="AG85" i="48"/>
  <c r="L64" i="42"/>
  <c r="AH89" i="48"/>
  <c r="AJ88" i="48"/>
  <c r="L67" i="45"/>
  <c r="C50" i="45" s="1"/>
  <c r="E50" i="45" s="1"/>
  <c r="AG77" i="48"/>
  <c r="L78" i="42" s="1"/>
  <c r="D50" i="42" s="1"/>
  <c r="AH77" i="48"/>
  <c r="L78" i="43" s="1"/>
  <c r="D50" i="43" s="1"/>
  <c r="AE85" i="48"/>
  <c r="L64" i="40"/>
  <c r="R41" i="48"/>
  <c r="R36" i="48"/>
  <c r="R37" i="48" s="1"/>
  <c r="R46" i="48" s="1"/>
  <c r="AE65" i="48" s="1"/>
  <c r="I54" i="45"/>
  <c r="D56" i="45"/>
  <c r="AD88" i="48"/>
  <c r="L67" i="39"/>
  <c r="C50" i="39" s="1"/>
  <c r="E50" i="39" s="1"/>
  <c r="AI86" i="48"/>
  <c r="L65" i="44"/>
  <c r="C48" i="44" s="1"/>
  <c r="E48" i="44" s="1"/>
  <c r="V36" i="48"/>
  <c r="V37" i="48" s="1"/>
  <c r="V46" i="48" s="1"/>
  <c r="AI65" i="48" s="1"/>
  <c r="V41" i="48"/>
  <c r="AH85" i="48"/>
  <c r="L64" i="43"/>
  <c r="AG90" i="48"/>
  <c r="L69" i="42"/>
  <c r="C52" i="42" s="1"/>
  <c r="E52" i="42" s="1"/>
  <c r="U36" i="48"/>
  <c r="U37" i="48" s="1"/>
  <c r="U46" i="48" s="1"/>
  <c r="U41" i="48"/>
  <c r="AG66" i="48"/>
  <c r="AH66" i="48"/>
  <c r="AK89" i="48"/>
  <c r="I54" i="41"/>
  <c r="C47" i="45"/>
  <c r="AD85" i="48"/>
  <c r="L64" i="39"/>
  <c r="AG86" i="48"/>
  <c r="L65" i="42"/>
  <c r="C48" i="42" s="1"/>
  <c r="E48" i="42" s="1"/>
  <c r="AH86" i="48"/>
  <c r="L65" i="43"/>
  <c r="C48" i="43" s="1"/>
  <c r="E48" i="43" s="1"/>
  <c r="V47" i="48"/>
  <c r="AI76" i="48" s="1"/>
  <c r="L77" i="44" s="1"/>
  <c r="D49" i="44" s="1"/>
  <c r="AH90" i="48"/>
  <c r="L69" i="43"/>
  <c r="C52" i="43" s="1"/>
  <c r="E52" i="43" s="1"/>
  <c r="C47" i="41"/>
  <c r="AF88" i="48"/>
  <c r="L67" i="41"/>
  <c r="C50" i="41" s="1"/>
  <c r="E50" i="41" s="1"/>
  <c r="AJ87" i="48"/>
  <c r="L66" i="45"/>
  <c r="C49" i="45" s="1"/>
  <c r="E49" i="45" s="1"/>
  <c r="E47" i="46"/>
  <c r="E9" i="2"/>
  <c r="F9" i="2"/>
  <c r="AE90" i="48" l="1"/>
  <c r="L69" i="40"/>
  <c r="C52" i="40" s="1"/>
  <c r="E52" i="40" s="1"/>
  <c r="I53" i="46"/>
  <c r="C56" i="46"/>
  <c r="D56" i="40"/>
  <c r="AF90" i="48"/>
  <c r="L69" i="41"/>
  <c r="C52" i="41" s="1"/>
  <c r="E52" i="41" s="1"/>
  <c r="E52" i="46"/>
  <c r="D56" i="39"/>
  <c r="AH76" i="48"/>
  <c r="L77" i="43" s="1"/>
  <c r="D49" i="43" s="1"/>
  <c r="D56" i="43" s="1"/>
  <c r="M84" i="46"/>
  <c r="C47" i="44"/>
  <c r="E47" i="41"/>
  <c r="C47" i="40"/>
  <c r="I54" i="42"/>
  <c r="D56" i="42"/>
  <c r="C47" i="43"/>
  <c r="C47" i="39"/>
  <c r="J35" i="47"/>
  <c r="J37" i="47" s="1"/>
  <c r="J54" i="46"/>
  <c r="AH88" i="48"/>
  <c r="L67" i="43"/>
  <c r="C50" i="43" s="1"/>
  <c r="E50" i="43" s="1"/>
  <c r="I35" i="47"/>
  <c r="I37" i="47" s="1"/>
  <c r="J54" i="45"/>
  <c r="D35" i="47"/>
  <c r="D37" i="47" s="1"/>
  <c r="J54" i="40"/>
  <c r="E56" i="46"/>
  <c r="AG88" i="48"/>
  <c r="L67" i="42"/>
  <c r="C50" i="42" s="1"/>
  <c r="E50" i="42" s="1"/>
  <c r="AI87" i="48"/>
  <c r="L66" i="44"/>
  <c r="C49" i="44" s="1"/>
  <c r="E49" i="44" s="1"/>
  <c r="C35" i="47"/>
  <c r="C37" i="47" s="1"/>
  <c r="J54" i="39"/>
  <c r="E35" i="47"/>
  <c r="E37" i="47" s="1"/>
  <c r="J54" i="41"/>
  <c r="I55" i="46"/>
  <c r="J55" i="46" s="1"/>
  <c r="J53" i="46"/>
  <c r="J34" i="47"/>
  <c r="J36" i="47" s="1"/>
  <c r="I54" i="44"/>
  <c r="D56" i="44"/>
  <c r="M84" i="45"/>
  <c r="E47" i="45"/>
  <c r="I53" i="45"/>
  <c r="C56" i="45"/>
  <c r="E56" i="45" s="1"/>
  <c r="AE87" i="48"/>
  <c r="L66" i="40"/>
  <c r="C49" i="40" s="1"/>
  <c r="E49" i="40" s="1"/>
  <c r="C47" i="42"/>
  <c r="M84" i="41"/>
  <c r="AG65" i="48"/>
  <c r="AH65" i="48"/>
  <c r="AD87" i="48"/>
  <c r="L66" i="39"/>
  <c r="C49" i="39" s="1"/>
  <c r="E49" i="39" s="1"/>
  <c r="L15" i="17"/>
  <c r="I14" i="17"/>
  <c r="Q14" i="17" s="1"/>
  <c r="U14" i="17" s="1"/>
  <c r="T15" i="17" s="1"/>
  <c r="D15" i="18"/>
  <c r="I14" i="18"/>
  <c r="H15" i="18" s="1"/>
  <c r="I54" i="43" l="1"/>
  <c r="J54" i="43" s="1"/>
  <c r="I53" i="41"/>
  <c r="C56" i="41"/>
  <c r="E56" i="41" s="1"/>
  <c r="J38" i="47"/>
  <c r="M84" i="40"/>
  <c r="M84" i="39"/>
  <c r="E47" i="40"/>
  <c r="I53" i="40"/>
  <c r="C56" i="40"/>
  <c r="E56" i="40" s="1"/>
  <c r="AH87" i="48"/>
  <c r="L66" i="43"/>
  <c r="E47" i="39"/>
  <c r="I53" i="39"/>
  <c r="C56" i="39"/>
  <c r="E56" i="39" s="1"/>
  <c r="E34" i="47"/>
  <c r="E36" i="47" s="1"/>
  <c r="E38" i="47" s="1"/>
  <c r="J53" i="41"/>
  <c r="I55" i="41"/>
  <c r="J55" i="41" s="1"/>
  <c r="H35" i="47"/>
  <c r="H37" i="47" s="1"/>
  <c r="J54" i="44"/>
  <c r="AG87" i="48"/>
  <c r="L66" i="42"/>
  <c r="I34" i="47"/>
  <c r="I36" i="47" s="1"/>
  <c r="I38" i="47" s="1"/>
  <c r="J53" i="45"/>
  <c r="I55" i="45"/>
  <c r="J55" i="45" s="1"/>
  <c r="E47" i="43"/>
  <c r="M84" i="44"/>
  <c r="G35" i="47"/>
  <c r="G37" i="47" s="1"/>
  <c r="E47" i="42"/>
  <c r="F35" i="47"/>
  <c r="F37" i="47" s="1"/>
  <c r="J54" i="42"/>
  <c r="E47" i="44"/>
  <c r="I53" i="44"/>
  <c r="C56" i="44"/>
  <c r="E56" i="44" s="1"/>
  <c r="M14" i="18"/>
  <c r="P15" i="17"/>
  <c r="C49" i="43" l="1"/>
  <c r="M84" i="43"/>
  <c r="D34" i="47"/>
  <c r="D36" i="47" s="1"/>
  <c r="D38" i="47" s="1"/>
  <c r="I55" i="40"/>
  <c r="J55" i="40" s="1"/>
  <c r="J53" i="40"/>
  <c r="C49" i="42"/>
  <c r="M84" i="42"/>
  <c r="H34" i="47"/>
  <c r="H36" i="47" s="1"/>
  <c r="H38" i="47" s="1"/>
  <c r="I55" i="44"/>
  <c r="J55" i="44" s="1"/>
  <c r="J53" i="44"/>
  <c r="C34" i="47"/>
  <c r="C36" i="47" s="1"/>
  <c r="C38" i="47" s="1"/>
  <c r="I55" i="39"/>
  <c r="J55" i="39" s="1"/>
  <c r="J53" i="39"/>
  <c r="Q14" i="18"/>
  <c r="L15" i="18"/>
  <c r="E49" i="42" l="1"/>
  <c r="C56" i="42"/>
  <c r="E56" i="42" s="1"/>
  <c r="I53" i="42"/>
  <c r="E49" i="43"/>
  <c r="I53" i="43"/>
  <c r="C56" i="43"/>
  <c r="E56" i="43" s="1"/>
  <c r="U14" i="18"/>
  <c r="T15" i="18" s="1"/>
  <c r="P15" i="18"/>
  <c r="F34" i="47" l="1"/>
  <c r="F36" i="47" s="1"/>
  <c r="F38" i="47" s="1"/>
  <c r="I55" i="42"/>
  <c r="J55" i="42" s="1"/>
  <c r="J53" i="42"/>
  <c r="G34" i="47"/>
  <c r="G36" i="47" s="1"/>
  <c r="G38" i="47" s="1"/>
  <c r="I55" i="43"/>
  <c r="J55" i="43" s="1"/>
  <c r="J53" i="43"/>
  <c r="D4" i="22"/>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T32" i="20"/>
  <c r="P32" i="20"/>
  <c r="L32" i="20"/>
  <c r="H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22" i="3"/>
  <c r="E26" i="2"/>
  <c r="E29" i="2"/>
  <c r="G29" i="2" s="1"/>
  <c r="I22" i="13"/>
  <c r="Q22" i="13"/>
  <c r="B37" i="11"/>
  <c r="B46" i="11"/>
  <c r="B55" i="11"/>
  <c r="B49" i="11"/>
  <c r="B40" i="11"/>
  <c r="U22" i="13"/>
  <c r="E37" i="2"/>
  <c r="J120" i="3"/>
  <c r="C28" i="11"/>
  <c r="D170" i="11"/>
  <c r="D17" i="19"/>
  <c r="O33" i="9"/>
  <c r="O12" i="9" s="1"/>
  <c r="B43" i="11"/>
  <c r="B58" i="11"/>
  <c r="B52" i="11"/>
  <c r="T17" i="14"/>
  <c r="D127" i="3"/>
  <c r="E34" i="2"/>
  <c r="G34" i="2" s="1"/>
  <c r="E38" i="2"/>
  <c r="E36" i="2"/>
  <c r="E27" i="2"/>
  <c r="K20" i="2"/>
  <c r="E39" i="2"/>
  <c r="E32" i="2"/>
  <c r="E30" i="2"/>
  <c r="G30" i="2" s="1"/>
  <c r="E31" i="2"/>
  <c r="D38" i="8"/>
  <c r="E46" i="2"/>
  <c r="C9" i="5" s="1"/>
  <c r="E44" i="2"/>
  <c r="E45" i="2"/>
  <c r="E28" i="2"/>
  <c r="E35" i="2"/>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C107" i="22" l="1"/>
  <c r="M25" i="18"/>
  <c r="L16" i="18" s="1"/>
  <c r="F14" i="22"/>
  <c r="E33" i="11"/>
  <c r="F15" i="22" s="1"/>
  <c r="C8" i="22"/>
  <c r="C122" i="11"/>
  <c r="S12" i="8"/>
  <c r="D37" i="8"/>
  <c r="D40" i="8"/>
  <c r="U10" i="9"/>
  <c r="L16" i="19"/>
  <c r="G8" i="9"/>
  <c r="O74" i="9" s="1"/>
  <c r="G6" i="9"/>
  <c r="O48" i="9" s="1"/>
  <c r="G33" i="2"/>
  <c r="H26" i="2"/>
  <c r="F45" i="2" s="1"/>
  <c r="G26" i="2"/>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H38" i="2"/>
  <c r="P170" i="11"/>
  <c r="AF170" i="11"/>
  <c r="AV170" i="11"/>
  <c r="H28" i="2"/>
  <c r="F44" i="2" s="1"/>
  <c r="G28" i="2"/>
  <c r="G38" i="2"/>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E55" i="2"/>
  <c r="E183" i="11"/>
  <c r="E164" i="11"/>
  <c r="F32" i="11"/>
  <c r="G27" i="2"/>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L41" i="3"/>
  <c r="L43" i="3" s="1"/>
  <c r="E41" i="3"/>
  <c r="E44" i="3" s="1"/>
  <c r="E81" i="3" s="1"/>
  <c r="M41" i="3"/>
  <c r="M43" i="3" s="1"/>
  <c r="M96" i="3" s="1"/>
  <c r="D41" i="3"/>
  <c r="D44" i="3" s="1"/>
  <c r="I41" i="3"/>
  <c r="I44" i="3" s="1"/>
  <c r="I81" i="3" s="1"/>
  <c r="O24" i="3"/>
  <c r="G58" i="6" s="1"/>
  <c r="O25" i="3"/>
  <c r="G42" i="3" s="1"/>
  <c r="O28" i="3"/>
  <c r="G62" i="6" s="1"/>
  <c r="O27" i="3"/>
  <c r="I42" i="3" s="1"/>
  <c r="I43" i="3" s="1"/>
  <c r="I8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H16" i="22" l="1"/>
  <c r="I165" i="11"/>
  <c r="J31" i="11"/>
  <c r="J165" i="11" s="1"/>
  <c r="M14" i="22"/>
  <c r="L33" i="11"/>
  <c r="M15" i="22" s="1"/>
  <c r="D11" i="8"/>
  <c r="D46" i="8"/>
  <c r="F107" i="3"/>
  <c r="F108" i="3"/>
  <c r="D39" i="6"/>
  <c r="E109" i="3"/>
  <c r="D41" i="6" s="1"/>
  <c r="T42" i="3"/>
  <c r="T40" i="3"/>
  <c r="E108" i="3"/>
  <c r="D40" i="6" s="1"/>
  <c r="L82" i="3"/>
  <c r="L96" i="3"/>
  <c r="L44" i="3"/>
  <c r="L81" i="3" s="1"/>
  <c r="L95" i="3" s="1"/>
  <c r="L32" i="3"/>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E59" i="6"/>
  <c r="L25" i="3"/>
  <c r="G43" i="3"/>
  <c r="G82" i="3" s="1"/>
  <c r="G44" i="3"/>
  <c r="G81" i="3" s="1"/>
  <c r="D81" i="3"/>
  <c r="M98" i="3"/>
  <c r="N98" i="3" s="1"/>
  <c r="M83" i="3"/>
  <c r="G60" i="6"/>
  <c r="H42" i="3"/>
  <c r="H43" i="3" s="1"/>
  <c r="H82" i="3" s="1"/>
  <c r="M32" i="11"/>
  <c r="K95" i="3"/>
  <c r="E63" i="6"/>
  <c r="L29" i="3"/>
  <c r="L28" i="3"/>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O67" i="3"/>
  <c r="I66" i="6" s="1"/>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O54" i="8"/>
  <c r="K54" i="8"/>
  <c r="H92" i="3"/>
  <c r="F92" i="3"/>
  <c r="G92" i="3"/>
  <c r="O53" i="3"/>
  <c r="L52" i="3"/>
  <c r="J51" i="3"/>
  <c r="B30" i="6"/>
  <c r="D2" i="15" s="1"/>
  <c r="D96" i="3"/>
  <c r="D90" i="3"/>
  <c r="N86" i="3"/>
  <c r="J54" i="3"/>
  <c r="J52" i="3"/>
  <c r="B31" i="6"/>
  <c r="D2" i="16" s="1"/>
  <c r="J53" i="3"/>
  <c r="J55" i="3"/>
  <c r="O55" i="3"/>
  <c r="H25" i="6" s="1"/>
  <c r="H29" i="6" s="1"/>
  <c r="AQ29" i="5" s="1"/>
  <c r="AQ51" i="5" s="1"/>
  <c r="M45" i="13"/>
  <c r="M42" i="14"/>
  <c r="M43" i="14" s="1"/>
  <c r="M45" i="14" s="1"/>
  <c r="M23" i="14"/>
  <c r="L18" i="14"/>
  <c r="M18" i="14" s="1"/>
  <c r="M19" i="14" s="1"/>
  <c r="M20" i="14" s="1"/>
  <c r="P18" i="14"/>
  <c r="Q18" i="14" s="1"/>
  <c r="Q19" i="14" s="1"/>
  <c r="Q20" i="14" s="1"/>
  <c r="I23" i="14"/>
  <c r="H18" i="14"/>
  <c r="I18" i="14" s="1"/>
  <c r="I19" i="14" s="1"/>
  <c r="I42" i="14"/>
  <c r="I43" i="14" s="1"/>
  <c r="I45" i="14"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D48" i="6"/>
  <c r="D53" i="6" s="1"/>
  <c r="AS25" i="5"/>
  <c r="J25" i="5" s="1"/>
  <c r="D43" i="11"/>
  <c r="I7" i="16"/>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S16" i="22"/>
  <c r="R31" i="11"/>
  <c r="T33" i="11"/>
  <c r="U15" i="22" s="1"/>
  <c r="N19" i="18"/>
  <c r="D46" i="11"/>
  <c r="D48" i="11" s="1"/>
  <c r="D134" i="11" s="1"/>
  <c r="W12" i="8"/>
  <c r="I46" i="18"/>
  <c r="I48" i="18" s="1"/>
  <c r="J128" i="3"/>
  <c r="K75" i="6" s="1"/>
  <c r="J127" i="3"/>
  <c r="K74" i="6" s="1"/>
  <c r="K72" i="8"/>
  <c r="F20" i="16"/>
  <c r="I15" i="16"/>
  <c r="I23" i="16" s="1"/>
  <c r="I38" i="16"/>
  <c r="I27" i="16"/>
  <c r="I44" i="16" s="1"/>
  <c r="I17" i="16"/>
  <c r="I32" i="16"/>
  <c r="I41" i="16"/>
  <c r="I16" i="16"/>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I35" i="16" l="1"/>
  <c r="I42" i="16" s="1"/>
  <c r="I43" i="16" s="1"/>
  <c r="I45" i="16" s="1"/>
  <c r="O63" i="8"/>
  <c r="H18" i="16"/>
  <c r="I18" i="16" s="1"/>
  <c r="I19" i="16" s="1"/>
  <c r="J19" i="16" s="1"/>
  <c r="E35" i="19"/>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T16" i="22"/>
  <c r="S31" i="11"/>
  <c r="U33" i="11"/>
  <c r="V15" i="22" s="1"/>
  <c r="N48" i="11"/>
  <c r="H48" i="11"/>
  <c r="M48" i="11"/>
  <c r="E48" i="11"/>
  <c r="E134" i="11" s="1"/>
  <c r="Q48" i="11"/>
  <c r="G48" i="11"/>
  <c r="C48" i="11"/>
  <c r="C103" i="11" s="1"/>
  <c r="P64" i="8"/>
  <c r="X10" i="8" s="1"/>
  <c r="D101" i="11"/>
  <c r="D132" i="11" s="1"/>
  <c r="L48" i="11"/>
  <c r="F48" i="11"/>
  <c r="K48" i="11"/>
  <c r="J48" i="11"/>
  <c r="O48" i="11"/>
  <c r="I48" i="1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I20" i="16" l="1"/>
  <c r="K61" i="8"/>
  <c r="J20" i="16"/>
  <c r="K58" i="8"/>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18" i="20" s="1"/>
  <c r="I19" i="20" s="1"/>
  <c r="I21" i="20"/>
  <c r="I37" i="20"/>
  <c r="I36" i="20" s="1"/>
  <c r="I33" i="20"/>
  <c r="I44" i="20"/>
  <c r="I41" i="20" s="1"/>
  <c r="I40" i="20"/>
  <c r="I32" i="20"/>
  <c r="I31" i="20" s="1"/>
  <c r="I28" i="20"/>
  <c r="I48" i="20" s="1"/>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Q41" i="20" l="1"/>
  <c r="Q31" i="20"/>
  <c r="Q48" i="20"/>
  <c r="Q18" i="20"/>
  <c r="Q19" i="20" s="1"/>
  <c r="Q36" i="20"/>
  <c r="Q47" i="20"/>
  <c r="M36" i="20"/>
  <c r="T48" i="1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L163" i="11"/>
  <c r="P163" i="11"/>
  <c r="O165" i="11"/>
  <c r="Z94" i="11"/>
  <c r="T112" i="11"/>
  <c r="T90" i="11" s="1"/>
  <c r="W100" i="11"/>
  <c r="AC42" i="11"/>
  <c r="AA57" i="11"/>
  <c r="Z54" i="11"/>
  <c r="AC32" i="11"/>
  <c r="AD14" i="22" s="1"/>
  <c r="X35" i="11"/>
  <c r="V60" i="11"/>
  <c r="AA51" i="11"/>
  <c r="AA45" i="11"/>
  <c r="F163" i="11" l="1"/>
  <c r="P18" i="22"/>
  <c r="P19" i="22" s="1"/>
  <c r="O167" i="11"/>
  <c r="K18" i="22"/>
  <c r="K19" i="22" s="1"/>
  <c r="J167" i="11"/>
  <c r="R18" i="22"/>
  <c r="R19" i="22" s="1"/>
  <c r="Q167" i="11"/>
  <c r="L18" i="22"/>
  <c r="L19" i="22" s="1"/>
  <c r="K167" i="11"/>
  <c r="Y48" i="1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E16" i="22"/>
  <c r="AD31" i="11"/>
  <c r="AF33" i="11"/>
  <c r="AE57" i="11"/>
  <c r="X112" i="11"/>
  <c r="X90" i="11" s="1"/>
  <c r="AE51" i="11"/>
  <c r="AG32" i="11"/>
  <c r="AH14" i="22" s="1"/>
  <c r="AF163" i="11"/>
  <c r="AF182" i="11"/>
  <c r="AB35" i="11"/>
  <c r="AD54" i="11"/>
  <c r="AG42" i="11"/>
  <c r="Z60" i="11"/>
  <c r="AE45" i="11"/>
  <c r="AD94" i="11"/>
  <c r="AA100" i="11"/>
  <c r="F168" i="11" l="1"/>
  <c r="F173" i="11" s="1"/>
  <c r="AC48" i="1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I15" i="22"/>
  <c r="AH16" i="22"/>
  <c r="AG31" i="11"/>
  <c r="AI33" i="11"/>
  <c r="AJ15" i="22" s="1"/>
  <c r="AD100" i="11"/>
  <c r="AJ32" i="11"/>
  <c r="AK14" i="22" s="1"/>
  <c r="AI163" i="11"/>
  <c r="AI182" i="11"/>
  <c r="AC60" i="11"/>
  <c r="AH45" i="11"/>
  <c r="AA112" i="11"/>
  <c r="AA90" i="11" s="1"/>
  <c r="AJ42" i="11"/>
  <c r="AH51" i="11"/>
  <c r="AG94" i="11"/>
  <c r="AH57" i="11"/>
  <c r="AG54" i="11"/>
  <c r="AE35" i="11"/>
  <c r="AF48" i="11" l="1"/>
  <c r="AI16" i="22"/>
  <c r="AH31" i="11"/>
  <c r="AJ33" i="11"/>
  <c r="AG48" i="1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U32" i="11"/>
  <c r="AV14" i="22" s="1"/>
  <c r="AT163" i="11"/>
  <c r="AT182" i="11"/>
  <c r="AN60" i="11"/>
  <c r="AR54" i="11"/>
  <c r="AO100" i="11"/>
  <c r="AR94" i="11"/>
  <c r="AS57" i="11"/>
  <c r="AS51" i="11"/>
  <c r="AS45" i="11"/>
  <c r="AU42" i="11"/>
  <c r="AP35" i="11"/>
  <c r="AL112" i="11"/>
  <c r="AL90" i="11" s="1"/>
  <c r="AT16" i="22" l="1"/>
  <c r="S184" i="11"/>
  <c r="AR165" i="11"/>
  <c r="AU33" i="11"/>
  <c r="AV15" i="22" s="1"/>
  <c r="AR48" i="1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A35" i="11"/>
  <c r="BC54" i="11"/>
  <c r="AY60" i="11"/>
  <c r="BB184" i="11"/>
  <c r="BB165" i="11"/>
  <c r="AW112" i="11"/>
  <c r="AW90" i="11" s="1"/>
  <c r="BC94" i="11"/>
  <c r="AZ100" i="11"/>
  <c r="A18" i="22" l="1"/>
  <c r="A19" i="22"/>
  <c r="G152" i="11"/>
  <c r="H152" i="11" s="1"/>
  <c r="BE16" i="22"/>
  <c r="AD165" i="11"/>
  <c r="AC184" i="11"/>
  <c r="BC48" i="11"/>
  <c r="AZ60" i="11"/>
  <c r="BB35" i="11"/>
  <c r="BA100" i="11"/>
  <c r="AX112" i="11"/>
  <c r="AX90" i="11" s="1"/>
  <c r="V168" i="11" l="1"/>
  <c r="V173" i="11" s="1"/>
  <c r="V172" i="11"/>
  <c r="I152" i="11"/>
  <c r="BF16" i="22"/>
  <c r="AY112" i="11"/>
  <c r="AY90" i="11" s="1"/>
  <c r="BA60" i="11"/>
  <c r="BB100" i="11"/>
  <c r="BC35" i="11"/>
  <c r="D48" i="8" s="1"/>
  <c r="C105"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19" i="22" l="1"/>
  <c r="C131" i="22"/>
  <c r="C134" i="22"/>
  <c r="O62" i="8"/>
  <c r="W11" i="8"/>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O134" i="11" l="1"/>
  <c r="G134" i="11"/>
  <c r="L134" i="11"/>
  <c r="J134" i="11"/>
  <c r="H134" i="11"/>
  <c r="P134" i="11"/>
  <c r="N134" i="11"/>
  <c r="K134" i="11"/>
  <c r="I134" i="11"/>
  <c r="F134" i="11"/>
  <c r="M134" i="11"/>
  <c r="Q134" i="11"/>
  <c r="R134" i="11"/>
  <c r="S134" i="11"/>
  <c r="T134" i="11"/>
  <c r="U134" i="11"/>
  <c r="V134" i="11"/>
  <c r="W134" i="11"/>
  <c r="X134" i="11"/>
  <c r="Y134" i="11"/>
  <c r="Z134" i="11"/>
  <c r="AA134" i="11"/>
  <c r="AB134" i="11"/>
  <c r="AC134" i="11"/>
  <c r="AD134" i="11"/>
  <c r="AE134" i="11"/>
  <c r="AF134" i="11"/>
  <c r="AG134" i="11"/>
  <c r="AH134" i="11"/>
  <c r="AI134" i="11"/>
  <c r="AJ134" i="11"/>
  <c r="AK134" i="11"/>
  <c r="AL134" i="11"/>
  <c r="AM134" i="11"/>
  <c r="AN134" i="11"/>
  <c r="AO134" i="11"/>
  <c r="AP134" i="11"/>
  <c r="AQ134" i="11"/>
  <c r="AR134" i="11"/>
  <c r="AS134" i="11"/>
  <c r="AT134" i="11"/>
  <c r="AU134" i="11"/>
  <c r="AV134" i="11"/>
  <c r="AW134" i="11"/>
  <c r="AX134" i="11"/>
  <c r="AY134" i="11"/>
  <c r="AZ134" i="11"/>
  <c r="BA134" i="11"/>
  <c r="BB134" i="11"/>
  <c r="BC134" i="11"/>
  <c r="X168" i="1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l="1"/>
  <c r="H30" i="8" s="1"/>
  <c r="C59" i="22"/>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Q149" i="11" l="1"/>
  <c r="R30" i="22" s="1"/>
  <c r="T30" i="22"/>
  <c r="T31" i="22" s="1"/>
  <c r="P148" i="11"/>
  <c r="P151" i="11" s="1"/>
  <c r="P153" i="11" s="1"/>
  <c r="Q33" i="22" s="1"/>
  <c r="S27" i="22"/>
  <c r="S28" i="22" s="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T27" i="22"/>
  <c r="T28" i="22" s="1"/>
  <c r="O34" i="22"/>
  <c r="O36" i="22"/>
  <c r="O37" i="22" s="1"/>
  <c r="U30" i="22"/>
  <c r="U31" i="22" s="1"/>
  <c r="Q148" i="11"/>
  <c r="R27" i="22" s="1"/>
  <c r="R28" i="22" s="1"/>
  <c r="R149" i="11"/>
  <c r="N42" i="22"/>
  <c r="N159" i="11" l="1"/>
  <c r="N157" i="11"/>
  <c r="O42" i="22" s="1"/>
  <c r="N161" i="11"/>
  <c r="N162" i="11" s="1"/>
  <c r="O39" i="22"/>
  <c r="O40" i="22" s="1"/>
  <c r="O154" i="11"/>
  <c r="O156" i="11" s="1"/>
  <c r="S33" i="22"/>
  <c r="S36" i="22" s="1"/>
  <c r="S37" i="22" s="1"/>
  <c r="P34" i="22"/>
  <c r="N180" i="11"/>
  <c r="N181" i="11" s="1"/>
  <c r="N178" i="11"/>
  <c r="N179" i="11" s="1"/>
  <c r="Q36" i="22"/>
  <c r="Q37" i="22" s="1"/>
  <c r="Q34" i="22"/>
  <c r="N160" i="11"/>
  <c r="R148" i="11"/>
  <c r="S149" i="11"/>
  <c r="V30" i="22"/>
  <c r="V31" i="22" s="1"/>
  <c r="N176" i="11"/>
  <c r="U27" i="22"/>
  <c r="U28" i="22" s="1"/>
  <c r="Q151" i="11"/>
  <c r="Q153" i="11" s="1"/>
  <c r="R33" i="22" s="1"/>
  <c r="P154" i="11"/>
  <c r="P156" i="11" s="1"/>
  <c r="P175" i="11" s="1"/>
  <c r="T33" i="22"/>
  <c r="N164" i="11" l="1"/>
  <c r="O157" i="11"/>
  <c r="P42" i="22" s="1"/>
  <c r="S39" i="22"/>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59" i="11"/>
  <c r="R154" i="11"/>
  <c r="R156" i="11" s="1"/>
  <c r="R175" i="11" s="1"/>
  <c r="V33" i="22"/>
  <c r="Q162" i="11" l="1"/>
  <c r="O183" i="1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5" i="11"/>
  <c r="AL27" i="22"/>
  <c r="AH151" i="11"/>
  <c r="AH153" i="11" s="1"/>
  <c r="AM30" i="22"/>
  <c r="AI148" i="11"/>
  <c r="AJ149" i="11"/>
  <c r="AK33" i="22"/>
  <c r="AK36" i="22" s="1"/>
  <c r="AG154" i="11"/>
  <c r="AG156" i="11" s="1"/>
  <c r="AG175" i="11" s="1"/>
  <c r="AE164" i="11"/>
  <c r="AI42" i="22"/>
  <c r="AF157" i="11"/>
  <c r="AD183" i="11"/>
  <c r="AE176" i="11"/>
  <c r="AF160" i="11" l="1"/>
  <c r="AF179" i="11"/>
  <c r="AF181" i="11"/>
  <c r="AG180" i="11"/>
  <c r="AG178" i="11"/>
  <c r="A34" i="22"/>
  <c r="AE183" i="11"/>
  <c r="AF176" i="11"/>
  <c r="AK39" i="22"/>
  <c r="AK40" i="22" s="1"/>
  <c r="C40" i="22" s="1"/>
  <c r="A40" i="22" s="1"/>
  <c r="AG159" i="11"/>
  <c r="AG161" i="11"/>
  <c r="AG162" i="11" s="1"/>
  <c r="AJ148" i="11"/>
  <c r="AN30" i="22"/>
  <c r="AK149" i="11"/>
  <c r="AF184" i="11"/>
  <c r="AG157" i="11"/>
  <c r="AF164" i="11"/>
  <c r="AJ42" i="22"/>
  <c r="AM27" i="22"/>
  <c r="AI151" i="11"/>
  <c r="AI153" i="11" s="1"/>
  <c r="AL33" i="22"/>
  <c r="AL36" i="22" s="1"/>
  <c r="AH154" i="11"/>
  <c r="AH156" i="11" s="1"/>
  <c r="AH175" i="11" s="1"/>
  <c r="AG160" i="11" l="1"/>
  <c r="AG179" i="11"/>
  <c r="AG181" i="11"/>
  <c r="AH180" i="11"/>
  <c r="AH178" i="11"/>
  <c r="AF183" i="11"/>
  <c r="AG176" i="11"/>
  <c r="AI154" i="11"/>
  <c r="AI156" i="11" s="1"/>
  <c r="AI175" i="11" s="1"/>
  <c r="AM33" i="22"/>
  <c r="AM36" i="22" s="1"/>
  <c r="AK42" i="22"/>
  <c r="AG164" i="11"/>
  <c r="AH157" i="11"/>
  <c r="AJ151" i="11"/>
  <c r="AJ153" i="11" s="1"/>
  <c r="AN27" i="22"/>
  <c r="AH159" i="11"/>
  <c r="AL39" i="22"/>
  <c r="AH161" i="11"/>
  <c r="AH162" i="11" s="1"/>
  <c r="AK148" i="11"/>
  <c r="AO30" i="22"/>
  <c r="AL149" i="11"/>
  <c r="AH160" i="11" l="1"/>
  <c r="AH179" i="11"/>
  <c r="AH181" i="11"/>
  <c r="AI180" i="11"/>
  <c r="AI178" i="1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79" i="11" l="1"/>
  <c r="AI181" i="11"/>
  <c r="AJ178" i="1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79" i="11" l="1"/>
  <c r="AJ181" i="1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79" i="11" l="1"/>
  <c r="AM181" i="1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V181" i="11" l="1"/>
  <c r="AW180" i="1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W181" i="11" l="1"/>
  <c r="AX180" i="1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X181" i="11" l="1"/>
  <c r="AY180" i="1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Regine</author>
    <author>Windows User</author>
  </authors>
  <commentList>
    <comment ref="E18" authorId="0" shapeId="0" xr:uid="{EA40DB04-265E-4459-875C-CAF8696896CC}">
      <text>
        <r>
          <rPr>
            <sz val="9"/>
            <color rgb="FF000000"/>
            <rFont val="Tahoma"/>
            <family val="2"/>
          </rPr>
          <t xml:space="preserve">Conversão 
</t>
        </r>
        <r>
          <rPr>
            <sz val="9"/>
            <color rgb="FF000000"/>
            <rFont val="Tahoma"/>
            <family val="2"/>
          </rPr>
          <t>1 kg/cap/dia = 365 kg/cap/ano</t>
        </r>
      </text>
    </comment>
    <comment ref="E20" authorId="0" shapeId="0" xr:uid="{C8CC76DA-20A3-4F28-9EED-B67D533D3B3A}">
      <text>
        <r>
          <rPr>
            <sz val="9"/>
            <color rgb="FF000000"/>
            <rFont val="Tahoma"/>
            <family val="2"/>
          </rPr>
          <t xml:space="preserve">Conversão 
</t>
        </r>
        <r>
          <rPr>
            <sz val="9"/>
            <color rgb="FF000000"/>
            <rFont val="Tahoma"/>
            <family val="2"/>
          </rPr>
          <t>1 kg/cap/dia = 365 kg/cap/ano</t>
        </r>
      </text>
    </comment>
    <comment ref="C34" authorId="1" shapeId="0" xr:uid="{FB7D45C8-BE89-4E77-9C11-F5C24D60FC08}">
      <text>
        <r>
          <rPr>
            <sz val="9"/>
            <color rgb="FF000000"/>
            <rFont val="Tahoma"/>
            <family val="2"/>
          </rPr>
          <t xml:space="preserve">Composição 
</t>
        </r>
        <r>
          <rPr>
            <sz val="9"/>
            <color rgb="FF000000"/>
            <rFont val="Tahoma"/>
            <family val="2"/>
          </rPr>
          <t xml:space="preserve">Padrão de RSU para o Brasil como média nacional baseada no Plano Nacional de Resíduos 2010 e levemente ajustado pelo ProteGEEr.
</t>
        </r>
        <r>
          <rPr>
            <sz val="9"/>
            <color rgb="FF000000"/>
            <rFont val="Tahoma"/>
            <family val="2"/>
          </rPr>
          <t xml:space="preserve">
</t>
        </r>
        <r>
          <rPr>
            <sz val="9"/>
            <color rgb="FF000000"/>
            <rFont val="Tahoma"/>
            <family val="2"/>
          </rPr>
          <t>Consulte o manual para mais explicações.</t>
        </r>
      </text>
    </comment>
    <comment ref="B35" authorId="0" shapeId="0" xr:uid="{B072C412-B899-4F3A-ADDA-65B512435C66}">
      <text>
        <r>
          <rPr>
            <sz val="9"/>
            <color rgb="FF000000"/>
            <rFont val="Tahoma"/>
            <family val="2"/>
          </rPr>
          <t>Não há informação disponível para distinguir entre resíduos alimentares e resíduos de jardins e parques; recomenda-se usar o padrão do Brasil: 90% de resíduos alimentares e 10% de resíduos de jardins e parques</t>
        </r>
      </text>
    </comment>
    <comment ref="B36" authorId="0" shapeId="0" xr:uid="{A91DE2E8-64F4-42A6-9B28-C38D14161558}">
      <text>
        <r>
          <rPr>
            <sz val="9"/>
            <color rgb="FF000000"/>
            <rFont val="Tahoma"/>
            <family val="2"/>
          </rPr>
          <t>Não há informação disponível para distinguir entre resíduos alimentares e resíduos de jardins e parques; recomenda-se usar o padrão do Brasil: 90% de resíduos alimentares e 10% de resíduos de jardins e parques</t>
        </r>
      </text>
    </comment>
    <comment ref="B37" authorId="0" shapeId="0" xr:uid="{DE2A55C4-6235-4088-A82A-D6CFDCE1D644}">
      <text>
        <r>
          <rPr>
            <sz val="9"/>
            <color rgb="FF000000"/>
            <rFont val="Tahoma"/>
            <family val="2"/>
          </rPr>
          <t xml:space="preserve">Tetra Pak e embalagens de papelão podem ser adicionadas aqui também </t>
        </r>
      </text>
    </comment>
    <comment ref="B41" authorId="0" shapeId="0" xr:uid="{E07A93C8-3F56-4AC3-8DE5-8216BAD6A70D}">
      <text>
        <r>
          <rPr>
            <sz val="9"/>
            <color rgb="FF000000"/>
            <rFont val="Tahoma"/>
            <family val="2"/>
          </rPr>
          <t>Somente alumínio. Outros metais não ferrosos não são considerados separadamente, pois a importância deles é menor — devem ser incluídos em "Outros"</t>
        </r>
      </text>
    </comment>
    <comment ref="B47" authorId="0" shapeId="0" xr:uid="{07625034-6384-42B8-B080-C0D46435E20B}">
      <text>
        <r>
          <rPr>
            <sz val="9"/>
            <color rgb="FF000000"/>
            <rFont val="Tahoma"/>
            <family val="2"/>
          </rPr>
          <t>Inclui todas as frações de resíduos citadas, como "fração fina", "lixo eletrônico", "miscelâneas" ...</t>
        </r>
      </text>
    </comment>
    <comment ref="B54" authorId="0" shapeId="0" xr:uid="{2FEE0E0D-62EC-4559-A4B2-073BB0C89E83}">
      <text>
        <r>
          <rPr>
            <sz val="9"/>
            <color rgb="FF000000"/>
            <rFont val="Tahoma"/>
            <family val="2"/>
          </rPr>
          <t>Como regra de ouro básica, teor de água inferior a 40% pode ser considerado baixo e teor de água acima de 40%, alto</t>
        </r>
      </text>
    </comment>
    <comment ref="K62" authorId="0" shapeId="0" xr:uid="{9B8DEA99-4686-43C1-BC30-C847F2263EA9}">
      <text>
        <r>
          <rPr>
            <sz val="9"/>
            <color rgb="FF000000"/>
            <rFont val="Tahoma"/>
            <family val="2"/>
          </rPr>
          <t>Se esta célula indicar "errado", verifique se você respondeu à pergunta sobre teor de água corretamente. Você deve inserir "1" tanto para teor de água baixo quanto para teor de água alto</t>
        </r>
      </text>
    </comment>
    <comment ref="H64" authorId="0" shapeId="0" xr:uid="{FEBAEC98-AB04-4E7B-AA47-C7856FF32CCB}">
      <text>
        <r>
          <rPr>
            <sz val="9"/>
            <color rgb="FF000000"/>
            <rFont val="Tahoma"/>
            <family val="2"/>
          </rPr>
          <t xml:space="preserve">O carbono fóssil é carbono não degradável. Causa mudanças climáticas quando é incinerado e, portanto, oxidado em CO2 fóssil
</t>
        </r>
      </text>
    </comment>
    <comment ref="H65" authorId="0" shapeId="0" xr:uid="{966A108F-5456-40C2-A867-E1ECD77C0BA6}">
      <text>
        <r>
          <rPr>
            <sz val="9"/>
            <color rgb="FF000000"/>
            <rFont val="Tahoma"/>
            <family val="2"/>
          </rPr>
          <t>O carbono regenerativo é o carbono orgânico degradável (COD). O COD é responsável pela geração de gás de aterro, mas é considerado neutro às mudanças climáticas quando incinerado e oxidado em CO2. O COD é originário de matéria orgânica que incorporou recentemente CO2 da atmosfera.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Regine</author>
  </authors>
  <commentList>
    <comment ref="C10" authorId="0" shapeId="0" xr:uid="{13AE2A45-1574-43DD-9EE8-D05AFDD02DBB}">
      <text>
        <r>
          <rPr>
            <sz val="9"/>
            <color rgb="FF000000"/>
            <rFont val="Tahoma"/>
            <family val="2"/>
          </rPr>
          <t>Se você basear sua taxa de reciclagem na quantidade total de material reciclado, poderá usar a "tabela auxiliar" no lado direito.</t>
        </r>
      </text>
    </comment>
    <comment ref="E12" authorId="1" shapeId="0" xr:uid="{8E63DDB4-6B3F-48EB-AD11-C535CEAEDF2C}">
      <text>
        <r>
          <rPr>
            <sz val="9"/>
            <color rgb="FF000000"/>
            <rFont val="Tahoma"/>
            <family val="2"/>
          </rPr>
          <t xml:space="preserve">Exemplo:
</t>
        </r>
        <r>
          <rPr>
            <sz val="9"/>
            <color rgb="FF000000"/>
            <rFont val="Tahoma"/>
            <family val="2"/>
          </rPr>
          <t>Se na composição do RSU, em "Início", foram inseridos 11% para papel e papelão, indique aqui a parcela (x%) desses 11% que são reciclados.</t>
        </r>
      </text>
    </comment>
    <comment ref="E23" authorId="1" shapeId="0" xr:uid="{772402DC-4018-4237-8BE5-940744EE2046}">
      <text>
        <r>
          <rPr>
            <sz val="9"/>
            <color rgb="FF000000"/>
            <rFont val="Tahoma"/>
            <family val="2"/>
          </rPr>
          <t xml:space="preserve">Exemplo
</t>
        </r>
        <r>
          <rPr>
            <sz val="9"/>
            <color rgb="FF000000"/>
            <rFont val="Tahoma"/>
            <family val="2"/>
          </rPr>
          <t>Se em "Início" foram inseridos 35% para resíduos de alimentos no valor total de resíduos, indique aqui a parcela (x%) desses 35% reciclados</t>
        </r>
      </text>
    </comment>
    <comment ref="E29" authorId="1" shapeId="0" xr:uid="{CA8E2088-BD62-4A8C-AA76-8F247CD5A1CA}">
      <text>
        <r>
          <rPr>
            <sz val="9"/>
            <color rgb="FF000000"/>
            <rFont val="Tahoma"/>
            <family val="2"/>
          </rPr>
          <t xml:space="preserve">Acima, você indicou a parcela de resíduos de alimentos e resíduos de jardins e parques na reciclagem. 
</t>
        </r>
        <r>
          <rPr>
            <sz val="9"/>
            <color rgb="FF000000"/>
            <rFont val="Tahoma"/>
            <family val="2"/>
          </rPr>
          <t xml:space="preserve">
</t>
        </r>
        <r>
          <rPr>
            <sz val="9"/>
            <color rgb="FF000000"/>
            <rFont val="Tahoma"/>
            <family val="2"/>
          </rPr>
          <t>Indique aqui quantos por cento desse lixo orgânico reciclado (resíduos de alimentos e resíduos de jardins e parques) são compostados e quantos por cento são digeridos</t>
        </r>
      </text>
    </comment>
    <comment ref="E42" authorId="1" shapeId="0" xr:uid="{3F1B95DD-2604-456F-BECC-092D37967D26}">
      <text>
        <r>
          <rPr>
            <sz val="9"/>
            <color rgb="FF000000"/>
            <rFont val="Tahoma"/>
            <family val="2"/>
          </rPr>
          <t xml:space="preserve">O valor calorífico depende principalmente dos parâmetros teor de água, teor de cinzas e teor de material combustível. Esses três parâmetros determinam se a incineração autossustentável de um determinado resíduo pode ocorrer.
</t>
        </r>
        <r>
          <rPr>
            <sz val="9"/>
            <color rgb="FF000000"/>
            <rFont val="Tahoma"/>
            <family val="2"/>
          </rPr>
          <t xml:space="preserve">Como regra geral, pode-se supor que a incineração autossustentável é difícil ou não é mais possível se o valor calorífico de um resíduo for &lt;6 MJ/kg. 
</t>
        </r>
        <r>
          <rPr>
            <sz val="9"/>
            <color rgb="FF000000"/>
            <rFont val="Tahoma"/>
            <family val="2"/>
          </rPr>
          <t xml:space="preserve">Em qualquer caso, na prática, os resíduos devem ser exaustivamente testados quanto à sua qualificação para ser incinerados. </t>
        </r>
      </text>
    </comment>
    <comment ref="B44" authorId="1" shapeId="0" xr:uid="{2039FE93-610A-4DDB-A3DF-01A9115F0007}">
      <text>
        <r>
          <rPr>
            <sz val="9"/>
            <color rgb="FF000000"/>
            <rFont val="Tahoma"/>
            <family val="2"/>
          </rPr>
          <t xml:space="preserve">O carbono fóssil é carbono não degradável. Causa mudanças climáticas quando é incinerado e, portanto, oxidado em CO2 fóssil
</t>
        </r>
      </text>
    </comment>
    <comment ref="B45" authorId="1" shapeId="0" xr:uid="{A16CFFC8-6278-4B0A-9CB4-7C76963D4E4D}">
      <text>
        <r>
          <rPr>
            <sz val="9"/>
            <color rgb="FF000000"/>
            <rFont val="Tahoma"/>
            <family val="2"/>
          </rPr>
          <t>O carbono regenerativo é o carbono orgânico degradável (DOC). O DOC é responsável pela geração de gás de aterro, mas é considerado neutro às mudanças climáticas quando incinerado e oxidado em CO2. O DOC é originário de matéria orgânica que incorporou recentemente CO2 da atmosfera.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Regine</author>
    <author>Windows User</author>
  </authors>
  <commentList>
    <comment ref="E6" authorId="0" shapeId="0" xr:uid="{0DA89F5B-2B7E-478C-A5D1-02C28618C2AE}">
      <text>
        <r>
          <rPr>
            <sz val="9"/>
            <color rgb="FF000000"/>
            <rFont val="Tahoma"/>
            <family val="2"/>
          </rPr>
          <t xml:space="preserve">Em "Reciclagem", você definiu a parcela de frações de resíduos sendo recicladas. Esse lixo reciclado é subtraído da quantidade total original de resíduos inserida em "Iniciar".
</t>
        </r>
        <r>
          <rPr>
            <sz val="9"/>
            <color rgb="FF000000"/>
            <rFont val="Tahoma"/>
            <family val="2"/>
          </rPr>
          <t xml:space="preserve">Aqui você deve indicar o que acontece com o lixo residual após a subtração dos resíduos reciclados.
</t>
        </r>
        <r>
          <rPr>
            <sz val="9"/>
            <color rgb="FF000000"/>
            <rFont val="Tahoma"/>
            <family val="2"/>
          </rPr>
          <t xml:space="preserve">
</t>
        </r>
        <r>
          <rPr>
            <b/>
            <sz val="9"/>
            <color rgb="FF000000"/>
            <rFont val="Tahoma"/>
            <family val="2"/>
          </rPr>
          <t xml:space="preserve">Atenção:
</t>
        </r>
        <r>
          <rPr>
            <b/>
            <sz val="9"/>
            <color rgb="FF000000"/>
            <rFont val="Tahoma"/>
            <family val="2"/>
          </rPr>
          <t>Se a reciclagem de material de resíduos secos (metais, plásticos etc.) ocorrer em opções avançadas de tratamento final (MT-RDF, MT-RDF + BS), esse tipo de reciclagem também deve ser considerado em "Reciclagem" e excluído aqui.</t>
        </r>
      </text>
    </comment>
    <comment ref="B7" authorId="0" shapeId="0" xr:uid="{E4B1B442-8EA7-4ED4-B89F-0FA6DBA25E97}">
      <text>
        <r>
          <rPr>
            <sz val="9"/>
            <color rgb="FF000000"/>
            <rFont val="Tahoma"/>
            <family val="2"/>
          </rPr>
          <t xml:space="preserve">Resíduos dispersos é lixo descartado sem qualquer controle; decompõe-se em condições aeróbicas. 
</t>
        </r>
        <r>
          <rPr>
            <b/>
            <sz val="9"/>
            <color rgb="FF000000"/>
            <rFont val="Tahoma"/>
            <family val="2"/>
          </rPr>
          <t>Embora isso signifique ausência de emissão de metano, essa prática deve ser evitada a todo custo, pois apresenta riscos massivos à saúde pública, representa uma fonte de poluição e causa graves prejuízos à gestão urbana (alagamentos etc).</t>
        </r>
      </text>
    </comment>
    <comment ref="B8" authorId="0" shapeId="0" xr:uid="{FA1EC29C-8229-4FD3-A739-C09D1D4D4311}">
      <text>
        <r>
          <rPr>
            <sz val="9"/>
            <color rgb="FF000000"/>
            <rFont val="Tahoma"/>
            <family val="2"/>
          </rPr>
          <t>Às vezes, resíduos dispersos são queimados a céu aberto. Além disso, a queima aberta pode ocorrer diretamente nas casas das famílias.</t>
        </r>
      </text>
    </comment>
    <comment ref="B10" authorId="0" shapeId="0" xr:uid="{35FB3471-6020-4E19-8CCA-54A63DC71BBA}">
      <text>
        <r>
          <rPr>
            <sz val="9"/>
            <color rgb="FF000000"/>
            <rFont val="Tahoma"/>
            <family val="2"/>
          </rPr>
          <t xml:space="preserve">Lixão não controlado/não gerenciado
</t>
        </r>
        <r>
          <rPr>
            <sz val="9"/>
            <color rgb="FF000000"/>
            <rFont val="Tahoma"/>
            <family val="2"/>
          </rPr>
          <t xml:space="preserve">
</t>
        </r>
        <r>
          <rPr>
            <sz val="9"/>
            <color rgb="FF000000"/>
            <rFont val="Tahoma"/>
            <family val="2"/>
          </rPr>
          <t>As emissões de metano são multiplicadas por 0,4 (MCF) de acordo com o IPCC 2006 e 2019</t>
        </r>
      </text>
    </comment>
    <comment ref="B11" authorId="0" shapeId="0" xr:uid="{E06CC56F-1BEF-44D2-8DCC-CB34102D8E84}">
      <text>
        <r>
          <rPr>
            <sz val="9"/>
            <color rgb="FF000000"/>
            <rFont val="Tahoma"/>
            <family val="2"/>
          </rPr>
          <t xml:space="preserve">Aterro controlado e simplesmente gerenciado de acordo com o IPCC
</t>
        </r>
        <r>
          <rPr>
            <sz val="9"/>
            <color rgb="FF000000"/>
            <rFont val="Tahoma"/>
            <family val="2"/>
          </rPr>
          <t xml:space="preserve">
</t>
        </r>
        <r>
          <rPr>
            <sz val="9"/>
            <color rgb="FF000000"/>
            <rFont val="Tahoma"/>
            <family val="2"/>
          </rPr>
          <t>As emissões de metano são multiplicadas por 0,8 de acordo com o IPCC 2006 e 2019</t>
        </r>
      </text>
    </comment>
    <comment ref="B19" authorId="0" shapeId="0" xr:uid="{D983445F-73A9-42A9-B918-008CA8FC5868}">
      <text>
        <r>
          <rPr>
            <sz val="9"/>
            <color rgb="FF000000"/>
            <rFont val="Tahoma"/>
            <family val="2"/>
          </rPr>
          <t xml:space="preserve">Incineração em uma instalação de incineração de RSU, em conformidade com as normas de emissões. Baixos impactos das emissões de gases de combustão devem ser um pré-requisito para a incineração.
</t>
        </r>
        <r>
          <rPr>
            <sz val="9"/>
            <color rgb="FF000000"/>
            <rFont val="Tahoma"/>
            <family val="2"/>
          </rPr>
          <t>Além disso, os resíduos devem ser exaustivamente testados quanto à sua qualificação para ser incinerados. A incineração autossustentável geralmente requer um valor calorífico mínimo de cerca de 6 MJ/kg de resíduos, e o teor de cinzas não deve ser muito alto.</t>
        </r>
      </text>
    </comment>
    <comment ref="B20" authorId="1" shapeId="0" xr:uid="{62B59021-6F54-4E71-BF09-265DA2AD3C4B}">
      <text>
        <r>
          <rPr>
            <sz val="9"/>
            <color rgb="FF000000"/>
            <rFont val="Tahoma"/>
            <family val="2"/>
          </rPr>
          <t>Qualquer reciclagem de material seco deve ser considerada em "Reciclagem" e não deve ser incluída nesses 100%.</t>
        </r>
      </text>
    </comment>
    <comment ref="B28" authorId="0" shapeId="0" xr:uid="{3301BFEB-30F6-41E3-A295-D8DF35C13E0D}">
      <text>
        <r>
          <rPr>
            <sz val="9"/>
            <color rgb="FF000000"/>
            <rFont val="Tahoma"/>
            <family val="2"/>
          </rPr>
          <t xml:space="preserve">"Eficiência da coleta de gás" refere-se à eficiência líquida média e é a proporção de gás de aterro coletado relacionada ao gás de aterro totalmente gerado
</t>
        </r>
        <r>
          <rPr>
            <sz val="9"/>
            <color rgb="FF000000"/>
            <rFont val="Tahoma"/>
            <family val="2"/>
          </rPr>
          <t xml:space="preserve">Exemplo: 
</t>
        </r>
        <r>
          <rPr>
            <sz val="9"/>
            <color rgb="FF000000"/>
            <rFont val="Tahoma"/>
            <family val="2"/>
          </rPr>
          <t xml:space="preserve">1 tonelada de resíduo causa 200 m³ de gás de aterro sanitário ao longo de um período de 50 anos. Supõe-se que 60% do gás do aterro seja gerado durante os primeiros 10 anos em que o aterro é ativo e não é coberto. Nesse período, assume-se que 30% do gás de aterro gerado pode ser capturado. Após 10 anos, o corpo de resíduos é coberto e, nos 40 anos restantes, mais do gás de aterro gerado pode ser capturado. A eficiência é estimada em 80%. A eficiência líquida média resultante é então: 
</t>
        </r>
        <r>
          <rPr>
            <sz val="9"/>
            <color rgb="FF000000"/>
            <rFont val="Tahoma"/>
            <family val="2"/>
          </rPr>
          <t>200*(0.6*0.3 + 0.4*0.8)/200 = 0.5</t>
        </r>
      </text>
    </comment>
    <comment ref="C57" authorId="0" shapeId="0" xr:uid="{C6DA9A1C-85B8-4E3C-85CF-235A05BA18B5}">
      <text>
        <r>
          <rPr>
            <sz val="9"/>
            <color rgb="FF000000"/>
            <rFont val="Tahoma"/>
            <family val="2"/>
          </rPr>
          <t>Uma instalação de incineração produz eletricidade com uma turbina a vapor. Se apenas eletricidade é produzida, a eficiência elétrica máxima é de cerca de 20% devido a razões termodinâmicas. Caso também seja produzido calor, a eficiência elétrica é menor como um padrão selecionado de 15%. O grau de produção de calor depende da possibilidade de vender o calor.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Regine</author>
  </authors>
  <commentList>
    <comment ref="Q20" authorId="0" shapeId="0" xr:uid="{FD432D0B-6AA6-4F68-B796-C7CC5C4F4ED2}">
      <text>
        <r>
          <rPr>
            <sz val="9"/>
            <color indexed="81"/>
            <rFont val="Tahoma"/>
            <family val="2"/>
          </rPr>
          <t>Calculado como oxidação completa; no contexto da incerteza da quantidade de queima aberta e devido ao fato de que a quantidade incompleta de queima se decompõe ao longo do tempo, isso é uma simplificação insignificante</t>
        </r>
      </text>
    </comment>
    <comment ref="N101" authorId="0" shapeId="0" xr:uid="{06F1773C-2782-47D5-A91C-3DD943B35FDB}">
      <text>
        <r>
          <rPr>
            <sz val="9"/>
            <color indexed="81"/>
            <rFont val="Tahoma"/>
            <family val="2"/>
          </rPr>
          <t>Beneficiar da coincineração RDF em forno de cimento; calculado com a substituição do petcoke com valor calorífico = 33500 kJ /kg e teor de carbono de 90%</t>
        </r>
      </text>
    </comment>
    <comment ref="N127" authorId="0" shapeId="0" xr:uid="{5FD760E8-689D-4323-B96B-1C8396BFEFD5}">
      <text>
        <r>
          <rPr>
            <sz val="9"/>
            <color indexed="81"/>
            <rFont val="Tahoma"/>
            <family val="2"/>
          </rPr>
          <t>Estimation only 30% of carbon will be released instead of 50% for untreated waste due to the biological stabilisation</t>
        </r>
      </text>
    </comment>
    <comment ref="N134" authorId="0" shapeId="0" xr:uid="{174E42B1-CF35-41D7-8C95-10E4A74640A9}">
      <text>
        <r>
          <rPr>
            <sz val="9"/>
            <color indexed="81"/>
            <rFont val="Tahoma"/>
            <family val="2"/>
          </rPr>
          <t>Beneficiar da coincineração RDF em forno de cimento; calculado com a substituição do petcoke com valor calorífico = 33500 kJ/kg e teor de carbono de 90%</t>
        </r>
      </text>
    </comment>
    <comment ref="N152" authorId="0" shapeId="0" xr:uid="{F6D47D70-93DE-4FA2-A083-E462A1AAA8FF}">
      <text>
        <r>
          <rPr>
            <sz val="9"/>
            <color indexed="81"/>
            <rFont val="Tahoma"/>
            <family val="2"/>
          </rPr>
          <t>Beneficiar da coincineração RDF em forno de cimento; calculado com a substituição do petcoke com valor calorífico = 33500 kJ/kg e teor de carbono de 90%</t>
        </r>
      </text>
    </comment>
    <comment ref="N153" authorId="0" shapeId="0" xr:uid="{DD566EB6-5D60-4F5D-B539-9BF6BBB951E2}">
      <text>
        <r>
          <rPr>
            <sz val="9"/>
            <color indexed="81"/>
            <rFont val="Tahoma"/>
            <family val="2"/>
          </rPr>
          <t>Beneficiar da coincineração RDF em forno de cimento; calculado com a substituição do petcoke com valor calorífico = 33500 kJ/kg e teor de carbono de 90%</t>
        </r>
      </text>
    </comment>
  </commentList>
</comments>
</file>

<file path=xl/sharedStrings.xml><?xml version="1.0" encoding="utf-8"?>
<sst xmlns="http://schemas.openxmlformats.org/spreadsheetml/2006/main" count="3852" uniqueCount="1502">
  <si>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</si>
  <si>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</si>
  <si>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</si>
  <si>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</si>
  <si>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</si>
  <si>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</si>
  <si>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</si>
  <si>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</si>
  <si>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</si>
  <si>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</si>
  <si>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</si>
  <si>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</si>
  <si>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</si>
  <si>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</si>
  <si>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</si>
  <si>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</si>
  <si>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</si>
  <si>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</si>
  <si>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</si>
  <si>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</si>
  <si>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</si>
  <si>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</si>
  <si>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</si>
  <si>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</si>
  <si>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</si>
  <si>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</si>
  <si>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</si>
  <si>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</si>
  <si>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</si>
  <si>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</si>
  <si>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</si>
  <si>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</si>
  <si>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</si>
  <si>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</si>
  <si>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</si>
  <si>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</si>
  <si>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</si>
  <si>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</si>
  <si>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</si>
  <si>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</si>
  <si>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</si>
  <si>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</si>
  <si>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</si>
  <si>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</si>
  <si>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</si>
  <si>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</si>
  <si>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</si>
  <si>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</si>
  <si>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</si>
  <si>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</si>
  <si>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</si>
  <si>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</si>
  <si>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</si>
  <si>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</si>
  <si>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</si>
  <si>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</si>
  <si>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</si>
  <si>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</si>
  <si>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</si>
  <si>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</si>
  <si>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</si>
  <si>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</si>
  <si>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</si>
  <si>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</si>
  <si>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</si>
  <si>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</si>
  <si>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</si>
  <si>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</si>
  <si>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</si>
  <si>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</si>
  <si>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</si>
  <si>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</si>
  <si>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</si>
  <si>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</si>
  <si>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</si>
  <si>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</si>
  <si>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</si>
  <si>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</si>
  <si>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</si>
  <si>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</si>
  <si>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</si>
  <si>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</si>
  <si>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</si>
  <si>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</si>
  <si>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</si>
  <si>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</si>
  <si>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</si>
  <si>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</si>
  <si>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</si>
  <si>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</si>
  <si>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</si>
  <si>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</si>
  <si>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</si>
  <si>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</si>
  <si>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</si>
  <si>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</si>
  <si>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</si>
  <si>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</si>
  <si>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</si>
  <si>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</si>
  <si>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</si>
  <si>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</si>
  <si>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</si>
  <si>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</si>
  <si>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</si>
  <si>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</si>
  <si>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</si>
  <si>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</si>
  <si>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</si>
  <si>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</si>
  <si>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</si>
  <si>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</si>
  <si>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</si>
  <si>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</si>
  <si>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</si>
  <si>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</si>
  <si>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</si>
  <si>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</si>
  <si>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</si>
  <si>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</si>
  <si>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</si>
  <si>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</si>
  <si>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</si>
  <si>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</si>
  <si>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</si>
  <si>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</si>
  <si>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</si>
  <si>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</si>
  <si>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</si>
  <si>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</si>
  <si>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</si>
  <si>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</si>
  <si>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</si>
  <si>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</si>
  <si>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</si>
  <si>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</si>
  <si>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</si>
  <si>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</si>
  <si>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</si>
  <si>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</si>
  <si>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</si>
  <si>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</si>
  <si>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</si>
  <si>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</si>
  <si>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</si>
  <si>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</si>
  <si>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</si>
  <si>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</si>
  <si>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</si>
  <si>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</si>
  <si>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</si>
  <si>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</si>
  <si>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</si>
  <si>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</si>
  <si>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</si>
  <si>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</si>
  <si>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</si>
  <si>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</si>
  <si>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</si>
  <si>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</si>
  <si>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</si>
  <si>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</si>
  <si>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</si>
  <si>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</si>
  <si>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</si>
  <si>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</si>
  <si>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</si>
  <si>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</si>
  <si>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</si>
  <si>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</si>
  <si>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</si>
  <si>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</si>
  <si>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</si>
  <si>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</si>
  <si>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</si>
  <si>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</si>
  <si>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</si>
  <si>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</si>
  <si>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</si>
  <si>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</si>
  <si>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</si>
  <si>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</si>
  <si>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</si>
  <si>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</si>
  <si>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</si>
  <si>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</si>
  <si>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</si>
  <si>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</si>
  <si>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</si>
  <si>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</si>
  <si>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</si>
  <si>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</si>
  <si>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</si>
  <si>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</si>
  <si>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</si>
  <si>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</si>
  <si>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</si>
  <si>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</si>
  <si>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</si>
  <si>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</si>
  <si>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</si>
  <si>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</si>
  <si>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</si>
  <si>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</si>
  <si>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</si>
  <si>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</si>
  <si>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</si>
  <si>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</si>
  <si>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</si>
  <si>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</si>
  <si>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</si>
  <si>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</si>
  <si>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</si>
  <si>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</si>
  <si>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</si>
  <si>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</si>
  <si>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</si>
  <si>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</si>
  <si>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</si>
  <si>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</si>
  <si>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</si>
  <si>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</si>
  <si>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</si>
  <si>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</si>
  <si>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</si>
  <si>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</si>
  <si>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</si>
  <si>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</si>
  <si>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</si>
  <si>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Recicláveis orgânicos</t>
  </si>
  <si>
    <t>composto nobre</t>
  </si>
  <si>
    <t>composto não nobre florestal</t>
  </si>
  <si>
    <t>fino</t>
  </si>
  <si>
    <t>grosso</t>
  </si>
  <si>
    <t>Energia elétrica</t>
  </si>
  <si>
    <t>kWh/d</t>
  </si>
  <si>
    <t>Biometano</t>
  </si>
  <si>
    <t>Cinzas recicladas</t>
  </si>
  <si>
    <t>Utilização do biogás</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</si>
  <si>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</si>
  <si>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</si>
  <si>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</si>
  <si>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</si>
  <si>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</si>
  <si>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</si>
  <si>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</si>
  <si>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</si>
  <si>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</si>
  <si>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</si>
  <si>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</si>
  <si>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</si>
  <si>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</si>
  <si>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</si>
  <si>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</si>
  <si>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</si>
  <si>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</si>
  <si>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</si>
  <si>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</si>
  <si>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</si>
  <si>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</si>
  <si>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</si>
  <si>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</si>
  <si>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</si>
  <si>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</si>
  <si>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</si>
  <si>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</si>
  <si>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</si>
  <si>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</si>
  <si>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</si>
  <si>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</si>
  <si>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</si>
  <si>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</si>
  <si>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</si>
  <si>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</si>
  <si>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</si>
  <si>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</si>
  <si>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</si>
  <si>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</si>
  <si>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</si>
  <si>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</si>
  <si>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</si>
  <si>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</si>
  <si>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</si>
  <si>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</si>
  <si>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</si>
  <si>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</si>
  <si>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</si>
  <si>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</si>
  <si>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</si>
  <si>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</si>
  <si>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</si>
  <si>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</si>
  <si>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</si>
  <si>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</si>
  <si>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</si>
  <si>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</si>
  <si>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</si>
  <si>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</si>
  <si>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</si>
  <si>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</si>
  <si>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</si>
  <si>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</si>
  <si>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</si>
  <si>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</si>
  <si>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</si>
  <si>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</si>
  <si>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</si>
  <si>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</si>
  <si>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</si>
  <si>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</si>
  <si>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</si>
  <si>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</si>
  <si>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</si>
  <si>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</si>
  <si>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</si>
  <si>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</si>
  <si>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</si>
  <si>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</si>
  <si>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</si>
  <si>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</si>
  <si>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</si>
  <si>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</si>
  <si>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</si>
  <si>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</si>
  <si>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</si>
  <si>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</si>
  <si>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</si>
  <si>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</si>
  <si>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</si>
  <si>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</si>
  <si>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</si>
  <si>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</si>
  <si>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</si>
  <si>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</si>
  <si>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</si>
  <si>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</si>
  <si>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</si>
  <si>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</si>
  <si>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</si>
  <si>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</si>
  <si>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</si>
  <si>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</si>
  <si>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</si>
  <si>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</si>
  <si>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</si>
  <si>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</si>
  <si>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</si>
  <si>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</si>
  <si>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</si>
  <si>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</si>
  <si>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</si>
  <si>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</si>
  <si>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</si>
  <si>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</si>
  <si>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</si>
  <si>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</si>
  <si>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</si>
  <si>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</si>
  <si>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</si>
  <si>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</si>
  <si>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</si>
  <si>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</si>
  <si>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</si>
  <si>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</si>
  <si>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</si>
  <si>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</si>
  <si>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</si>
  <si>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</si>
  <si>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</si>
  <si>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</si>
  <si>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</si>
  <si>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</si>
  <si>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</si>
  <si>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</si>
  <si>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</si>
  <si>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</si>
  <si>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</si>
  <si>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</si>
  <si>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</si>
  <si>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</si>
  <si>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</si>
  <si>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</si>
  <si>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</si>
  <si>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</si>
  <si>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</si>
  <si>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</si>
  <si>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</si>
  <si>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</si>
  <si>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</si>
  <si>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</si>
  <si>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</si>
  <si>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</si>
  <si>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</si>
  <si>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</si>
  <si>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</si>
  <si>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</si>
  <si>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</si>
  <si>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</si>
  <si>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</si>
  <si>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</si>
  <si>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</si>
  <si>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</si>
  <si>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</si>
  <si>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</si>
  <si>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</si>
  <si>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</si>
  <si>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</si>
  <si>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</si>
  <si>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</si>
  <si>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</si>
  <si>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</si>
  <si>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</si>
  <si>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</si>
  <si>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</si>
  <si>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</si>
  <si>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</si>
  <si>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</si>
  <si>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</si>
  <si>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</si>
  <si>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</si>
  <si>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</si>
  <si>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</si>
  <si>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</si>
  <si>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</si>
  <si>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</si>
  <si>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</si>
  <si>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</si>
  <si>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</si>
  <si>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</si>
  <si>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</si>
  <si>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</si>
  <si>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</si>
  <si>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</si>
  <si>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</si>
  <si>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</si>
  <si>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</si>
  <si>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</si>
  <si>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</si>
  <si>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</si>
  <si>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</si>
  <si>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</si>
  <si>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</si>
  <si>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</si>
  <si>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</si>
  <si>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</si>
  <si>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</si>
  <si>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</si>
  <si>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</si>
  <si>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</si>
  <si>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</si>
  <si>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</si>
  <si>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</si>
  <si>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</si>
  <si>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</si>
  <si>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</si>
  <si>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</si>
  <si>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</si>
  <si>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</si>
  <si>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</si>
  <si>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</si>
  <si>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</si>
  <si>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</si>
  <si>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</si>
  <si>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</si>
  <si>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</si>
  <si>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</si>
  <si>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</si>
  <si>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</si>
  <si>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</si>
  <si>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</si>
  <si>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</si>
  <si>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</si>
  <si>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</si>
  <si>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</si>
  <si>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</si>
  <si>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</si>
  <si>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</si>
  <si>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</si>
  <si>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</si>
  <si>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</si>
  <si>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</si>
  <si>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</si>
  <si>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</si>
  <si>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</si>
  <si>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</si>
  <si>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</si>
  <si>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</si>
  <si>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</si>
  <si>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</si>
  <si>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</si>
  <si>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</si>
  <si>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</si>
  <si>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</si>
  <si>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</si>
  <si>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</si>
  <si>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</si>
  <si>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</si>
  <si>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</si>
  <si>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</si>
  <si>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</si>
  <si>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</si>
  <si>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</si>
  <si>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</si>
  <si>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</si>
  <si>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</si>
  <si>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</si>
  <si>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</si>
  <si>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</si>
  <si>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</si>
  <si>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</si>
  <si>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</si>
  <si>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</si>
  <si>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</si>
  <si>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</si>
  <si>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</si>
  <si>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</si>
  <si>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</si>
  <si>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</si>
  <si>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</si>
  <si>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</si>
  <si>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</si>
  <si>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</si>
  <si>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</si>
  <si>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</si>
  <si>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</si>
  <si>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</si>
  <si>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</si>
  <si>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</si>
  <si>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</si>
  <si>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</si>
  <si>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</si>
  <si>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</si>
  <si>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</si>
  <si>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</si>
  <si>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</si>
  <si>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</si>
  <si>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</si>
  <si>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</si>
  <si>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</si>
  <si>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</si>
  <si>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</si>
  <si>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</si>
  <si>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</si>
  <si>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</si>
  <si>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</si>
  <si>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</si>
  <si>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</si>
  <si>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</si>
  <si>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</si>
  <si>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</si>
  <si>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</si>
  <si>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</si>
  <si>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</si>
  <si>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</si>
  <si>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</si>
  <si>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</si>
  <si>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</si>
  <si>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</si>
  <si>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</si>
  <si>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</si>
  <si>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</si>
  <si>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</si>
  <si>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</si>
  <si>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</si>
  <si>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</si>
  <si>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</si>
  <si>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</si>
  <si>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</si>
  <si>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</si>
  <si>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</si>
  <si>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</si>
  <si>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</si>
  <si>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</si>
  <si>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</si>
  <si>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</si>
  <si>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</si>
  <si>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</si>
  <si>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</si>
  <si>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</si>
  <si>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</si>
  <si>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</si>
  <si>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</si>
  <si>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</si>
  <si>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</si>
  <si>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</si>
  <si>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</si>
  <si>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</si>
  <si>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</si>
  <si>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</si>
  <si>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</si>
  <si>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</si>
  <si>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</si>
  <si>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</si>
  <si>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</si>
  <si>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</si>
  <si>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</si>
  <si>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</si>
  <si>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</si>
  <si>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</si>
  <si>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</si>
  <si>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</si>
  <si>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</si>
  <si>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</si>
  <si>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</si>
  <si>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</si>
  <si>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</si>
  <si>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</si>
  <si>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</si>
  <si>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</si>
  <si>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</si>
  <si>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</si>
  <si>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</si>
  <si>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</si>
  <si>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</si>
  <si>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</si>
  <si>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</si>
  <si>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</si>
  <si>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</si>
  <si>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</si>
  <si>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</si>
  <si>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</si>
  <si>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</si>
  <si>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</si>
  <si>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</si>
  <si>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</si>
  <si>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</si>
  <si>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</si>
  <si>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</si>
  <si>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</si>
  <si>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</si>
  <si>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</si>
  <si>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</si>
  <si>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</si>
  <si>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</si>
  <si>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</si>
  <si>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</si>
  <si>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</si>
  <si>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</si>
  <si>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</si>
  <si>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</si>
  <si>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</si>
  <si>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</si>
  <si>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</si>
  <si>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</si>
  <si>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</si>
  <si>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</si>
  <si>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</si>
  <si>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</si>
  <si>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</si>
  <si>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</si>
  <si>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</si>
  <si>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</si>
  <si>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</si>
  <si>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</si>
  <si>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</si>
  <si>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</si>
  <si>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</si>
  <si>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</si>
  <si>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</si>
  <si>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</si>
  <si>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</si>
  <si>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</si>
  <si>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</si>
  <si>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</si>
  <si>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</si>
  <si>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</si>
  <si>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</si>
  <si>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</si>
  <si>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</si>
  <si>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</si>
  <si>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</si>
  <si>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</si>
  <si>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</si>
  <si>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</si>
  <si>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</si>
  <si>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</si>
  <si>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</si>
  <si>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</si>
  <si>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</si>
  <si>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</si>
  <si>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</si>
  <si>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</si>
  <si>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</si>
  <si>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</si>
  <si>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</si>
  <si>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</si>
  <si>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</si>
  <si>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</si>
  <si>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</si>
  <si>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</si>
  <si>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</si>
  <si>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</si>
  <si>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</si>
  <si>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</si>
  <si>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</si>
  <si>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</si>
  <si>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</si>
  <si>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</si>
  <si>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</si>
  <si>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</si>
  <si>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</si>
  <si>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</si>
  <si>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</si>
  <si>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</si>
  <si>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</si>
  <si>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</si>
  <si>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</si>
  <si>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</si>
  <si>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</si>
  <si>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</si>
  <si>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</si>
  <si>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</si>
  <si>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</si>
  <si>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</si>
  <si>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</si>
  <si>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</si>
  <si>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</si>
  <si>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</si>
  <si>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</si>
  <si>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</si>
  <si>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</si>
  <si>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</si>
  <si>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orgânicos triados</t>
  </si>
  <si>
    <t>orgânicos seletivos</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</si>
  <si>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</si>
  <si>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</si>
  <si>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</si>
  <si>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</si>
  <si>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</si>
  <si>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</si>
  <si>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</si>
  <si>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</si>
  <si>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</si>
  <si>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</si>
  <si>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</si>
  <si>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</si>
  <si>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</si>
  <si>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</si>
  <si>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</si>
  <si>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</si>
  <si>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</si>
  <si>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</si>
  <si>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</si>
  <si>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</si>
  <si>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</si>
  <si>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</si>
  <si>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</si>
  <si>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</si>
  <si>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</si>
  <si>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</si>
  <si>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</si>
  <si>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</si>
  <si>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</si>
  <si>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</si>
  <si>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</si>
  <si>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</si>
  <si>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</si>
  <si>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</si>
  <si>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</si>
  <si>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</si>
  <si>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</si>
  <si>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</si>
  <si>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</si>
  <si>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</si>
  <si>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</si>
  <si>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</si>
  <si>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</si>
  <si>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</si>
  <si>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</si>
  <si>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</si>
  <si>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</si>
  <si>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</si>
  <si>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</si>
  <si>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</si>
  <si>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</si>
  <si>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</si>
  <si>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</si>
  <si>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</si>
  <si>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</si>
  <si>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</si>
  <si>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</si>
  <si>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</si>
  <si>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</si>
  <si>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</si>
  <si>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</si>
  <si>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</si>
  <si>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</si>
  <si>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</si>
  <si>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</si>
  <si>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</si>
  <si>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</si>
  <si>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</si>
  <si>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</si>
  <si>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</si>
  <si>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</si>
  <si>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</si>
  <si>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</si>
  <si>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</si>
  <si>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</si>
  <si>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</si>
  <si>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</si>
  <si>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</si>
  <si>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</si>
  <si>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</si>
  <si>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</si>
  <si>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</si>
  <si>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</si>
  <si>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</si>
  <si>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</si>
  <si>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</si>
  <si>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</si>
  <si>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</si>
  <si>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</si>
  <si>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</si>
  <si>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</si>
  <si>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</si>
  <si>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</si>
  <si>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</si>
  <si>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</si>
  <si>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</si>
  <si>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</si>
  <si>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</si>
  <si>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</si>
  <si>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</si>
  <si>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</si>
  <si>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</si>
  <si>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</si>
  <si>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</si>
  <si>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</si>
  <si>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</si>
  <si>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</si>
  <si>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</si>
  <si>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</si>
  <si>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</si>
  <si>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</si>
  <si>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</si>
  <si>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</si>
  <si>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</si>
  <si>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</si>
  <si>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</si>
  <si>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</si>
  <si>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</si>
  <si>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</si>
  <si>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</si>
  <si>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</si>
  <si>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</si>
  <si>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</si>
  <si>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</si>
  <si>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</si>
  <si>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</si>
  <si>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</si>
  <si>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</si>
  <si>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</si>
  <si>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</si>
  <si>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</si>
  <si>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</si>
  <si>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</si>
  <si>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</si>
  <si>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</si>
  <si>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</si>
  <si>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</si>
  <si>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</si>
  <si>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</si>
  <si>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</si>
  <si>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</si>
  <si>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</si>
  <si>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</si>
  <si>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</si>
  <si>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</si>
  <si>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</si>
  <si>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</si>
  <si>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</si>
  <si>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</si>
  <si>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</si>
  <si>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</si>
  <si>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</si>
  <si>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</si>
  <si>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</si>
  <si>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</si>
  <si>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</si>
  <si>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</si>
  <si>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</si>
  <si>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</si>
  <si>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</si>
  <si>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</si>
  <si>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</si>
  <si>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</si>
  <si>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</si>
  <si>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</si>
  <si>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</si>
  <si>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</si>
  <si>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</si>
  <si>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</si>
  <si>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</si>
  <si>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</si>
  <si>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</si>
  <si>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</si>
  <si>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</si>
  <si>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</si>
  <si>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</si>
  <si>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</si>
  <si>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</si>
  <si>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</si>
  <si>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</si>
  <si>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</si>
  <si>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</si>
  <si>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</si>
  <si>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</si>
  <si>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</si>
  <si>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</si>
  <si>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</si>
  <si>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</si>
  <si>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</si>
  <si>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</si>
  <si>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</si>
  <si>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</si>
  <si>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</si>
  <si>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</si>
  <si>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</si>
  <si>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</si>
  <si>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</si>
  <si>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</si>
  <si>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</si>
  <si>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</si>
  <si>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</si>
  <si>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</si>
  <si>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</si>
  <si>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</si>
  <si>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</si>
  <si>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</si>
  <si>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</si>
  <si>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</si>
  <si>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</si>
  <si>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</si>
  <si>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</si>
  <si>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</si>
  <si>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</si>
  <si>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</si>
  <si>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</si>
  <si>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</si>
  <si>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</si>
  <si>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</si>
  <si>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</si>
  <si>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</si>
  <si>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</si>
  <si>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</si>
  <si>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</si>
  <si>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</si>
  <si>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</si>
  <si>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</si>
  <si>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</si>
  <si>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</si>
  <si>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</si>
  <si>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</si>
  <si>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</si>
  <si>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</si>
  <si>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</si>
  <si>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</si>
  <si>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</si>
  <si>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</si>
  <si>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</si>
  <si>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</si>
  <si>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</si>
  <si>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</si>
  <si>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</si>
  <si>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</si>
  <si>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</si>
  <si>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</si>
  <si>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</si>
  <si>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</si>
  <si>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</si>
  <si>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</si>
  <si>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</si>
  <si>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</si>
  <si>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</si>
  <si>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</si>
  <si>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</si>
  <si>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</si>
  <si>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</si>
  <si>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</si>
  <si>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</si>
  <si>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</si>
  <si>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</si>
  <si>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</si>
  <si>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</si>
  <si>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</si>
  <si>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</si>
  <si>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</si>
  <si>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</si>
  <si>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</si>
  <si>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</si>
  <si>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</si>
  <si>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</si>
  <si>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</si>
  <si>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</si>
  <si>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</si>
  <si>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</si>
  <si>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</si>
  <si>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</si>
  <si>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</si>
  <si>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</si>
  <si>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</si>
  <si>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</si>
  <si>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</si>
  <si>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</si>
  <si>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</si>
  <si>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</si>
  <si>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</si>
  <si>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</si>
  <si>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</si>
  <si>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</si>
  <si>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</si>
  <si>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</si>
  <si>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</si>
  <si>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</si>
  <si>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</si>
  <si>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</si>
  <si>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</si>
  <si>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</si>
  <si>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</si>
  <si>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</si>
  <si>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</si>
  <si>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</si>
  <si>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</si>
  <si>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</si>
  <si>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</si>
  <si>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</si>
  <si>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</si>
  <si>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Energia Elétrica - INCINERAÇÃO</t>
  </si>
  <si>
    <t>Energia Elétrica - BIODIGESTÃO</t>
  </si>
  <si>
    <t>KWh/t RSU</t>
  </si>
  <si>
    <t>Gestão Atual RSU</t>
  </si>
  <si>
    <t>Geração per Capita RSU</t>
  </si>
  <si>
    <r>
      <t>Kg RSU.habt</t>
    </r>
    <r>
      <rPr>
        <vertAlign val="superscript"/>
        <sz val="11"/>
        <color rgb="FF000000"/>
        <rFont val="Calibri"/>
        <family val="2"/>
      </rPr>
      <t>-1</t>
    </r>
    <r>
      <rPr>
        <sz val="11"/>
        <color rgb="FF000000"/>
        <rFont val="Calibri"/>
        <family val="2"/>
      </rPr>
      <t>.d</t>
    </r>
    <r>
      <rPr>
        <vertAlign val="superscript"/>
        <sz val="11"/>
        <color rgb="FF000000"/>
        <rFont val="Calibri"/>
        <family val="2"/>
      </rPr>
      <t>-1</t>
    </r>
  </si>
  <si>
    <t>Custo Médio Solo/Argila para Cobertura Aterro Sanit.</t>
  </si>
  <si>
    <r>
      <t>R$/m</t>
    </r>
    <r>
      <rPr>
        <vertAlign val="superscript"/>
        <sz val="10.5"/>
        <rFont val="Calibri"/>
        <family val="2"/>
      </rPr>
      <t>3</t>
    </r>
  </si>
  <si>
    <t>Nr Empregos Diretos</t>
  </si>
  <si>
    <t>Introdução</t>
  </si>
  <si>
    <t>A Calculadora original foi desenvolvida no ano 2009 pelo ifeu-Institut Heidelberg, patrocinada pelo KfW Development Bank em cooperação com a GIZ,</t>
  </si>
  <si>
    <t>e financiada com fundos fornecidos pelo Ministério para Cooperação e Desenvolvimento Econômico da Alemanha (BMZ).</t>
  </si>
  <si>
    <t xml:space="preserve">A adaptação para o uso no Brasil foi financiada pelo projeto ProteGEEr com fundus fornecidos pela Iniciativa International do Clima (IKI) do Ministério do Meio </t>
  </si>
  <si>
    <t xml:space="preserve">Ambiente, Proteção da Natureza e Segurança Nuclear da Alemanha (BMU). </t>
  </si>
  <si>
    <t>Com esta ferramenta, você pode estimar o efeito climático de diferentes opções de gerenciamento de resíduos.</t>
  </si>
  <si>
    <t>Informações detalhadas sobre como usar a ferramenta e sobre os dados a inserir são fornecidas no Manual, disponível para download no site:</t>
  </si>
  <si>
    <t xml:space="preserve"> https://www.gov.br/mdr/pt-br/assuntos/saneamento/protegeer</t>
  </si>
  <si>
    <t>A ferramenta é composta pelas seguintes abas:</t>
  </si>
  <si>
    <t>Início</t>
  </si>
  <si>
    <t>Especificação da quantidade de resíduos, composição dos resíduos, características dos resíduos e fator de emissão específico para a rede elétrica</t>
  </si>
  <si>
    <t>Reciclagem</t>
  </si>
  <si>
    <t>Especificações para reciclagem de resíduos. Até 4 cenários podem ser comparados</t>
  </si>
  <si>
    <t>Destinação</t>
  </si>
  <si>
    <t>Especificações para tratamento e disposição final de resíduos. Até 4 cenários podem ser comparados</t>
  </si>
  <si>
    <t>Abas de resultados</t>
  </si>
  <si>
    <t>Os resultados são mostrados para cada cenário e na visão geral de até 4 cenários</t>
  </si>
  <si>
    <t>Aba de cálculo</t>
  </si>
  <si>
    <t>Contém todos os cálculos feitos — somente leitura</t>
  </si>
  <si>
    <t>Traduzido por:</t>
  </si>
  <si>
    <t>Tathiana Almeida Seraval Colturato</t>
  </si>
  <si>
    <t>Contato ifeu:</t>
  </si>
  <si>
    <t>ifeu - Institut für Energie- und Umweltforschung Heidelberg gGmbH</t>
  </si>
  <si>
    <t>(Instituto de Energia e Pesquisa Ambiental)</t>
  </si>
  <si>
    <t>e-mail: juergen.giegrich@ifeu.de</t>
  </si>
  <si>
    <t>Atualização:</t>
  </si>
  <si>
    <t>Julho de 2021 (adaptada para o uso no Brasil)</t>
  </si>
  <si>
    <t>Elaborado por:</t>
  </si>
  <si>
    <t>Ministério do Desenvolvimento Regional</t>
  </si>
  <si>
    <t xml:space="preserve">Por meio do: </t>
  </si>
  <si>
    <t>Projeto de Cooperação para Proteção do Clima na Gestão de Resíduos Sólidos Urbanos (ProteGEEr) financiado pelo Ministério do Meio Ambiente, Proteção da Natureza e Segurança Nuclear da Alemanha (BMU)</t>
  </si>
  <si>
    <t>e implementado pela Deutsche Gesellschaft für Internationale Zusammenarbeit (GIZ) GmbH</t>
  </si>
  <si>
    <t xml:space="preserve">Desenvolvedor (IFEU): </t>
  </si>
  <si>
    <t>Jürgen Giegrich</t>
  </si>
  <si>
    <t>Consultoria Técnica para adaptação ao Brasil:</t>
  </si>
  <si>
    <t>Tathiana Almeida Seraval Colturato (Methanum)</t>
  </si>
  <si>
    <t>Equipe Técnica ProteGEEr:</t>
  </si>
  <si>
    <t>Jan Janssen, Guilherme Gonçalves e Rebeca Borges de Oliveira (Consórcio GOPAInfra - adelphi),  Hélinah Cardoso Moreira (GIZ ) e Christiane Pereira (TUBs).</t>
  </si>
  <si>
    <t>Revisão Técnica SNS/MDR:</t>
  </si>
  <si>
    <t>Ernani Ciríaco de Miranda, Dogival de Oliveira Costa Júnior,  Karina Araújo Souza e Sérgio Luis da Silva Cotrim</t>
  </si>
  <si>
    <t>Consultoria Técnica:</t>
  </si>
  <si>
    <t>Francisco Javier Contreras Pineda</t>
  </si>
  <si>
    <t xml:space="preserve">Contato: </t>
  </si>
  <si>
    <t xml:space="preserve">sanearbrasil@mdr.gov.br </t>
  </si>
  <si>
    <t>Acesse o Manual do Usuário para mais informações.</t>
  </si>
  <si>
    <r>
      <rPr>
        <sz val="10.5"/>
        <color theme="1"/>
        <rFont val="Calibri"/>
        <family val="2"/>
      </rPr>
      <t>Disponível para download no site:</t>
    </r>
    <r>
      <rPr>
        <sz val="10.5"/>
        <color theme="10"/>
        <rFont val="Calibri"/>
        <family val="2"/>
      </rPr>
      <t xml:space="preserve"> </t>
    </r>
    <r>
      <rPr>
        <u/>
        <sz val="10.5"/>
        <color theme="10"/>
        <rFont val="Calibri"/>
        <family val="2"/>
      </rPr>
      <t>https://www.gov.br/mdr/pt-br/assuntos/saneamento/protegeer</t>
    </r>
  </si>
  <si>
    <t>Por favor, preencha as células verdes</t>
  </si>
  <si>
    <t>Quantidade total de resíduos</t>
  </si>
  <si>
    <t>A quantidade total de resíduos refere-se ao total de resíduos gerados por ano (que não é apenas o resíduo coletado pelos municípios, mas a quantidade total)</t>
  </si>
  <si>
    <t>Dependendo dos dados disponíveis, a quantidade total de resíduos pode ser inserida no campo verde, em toneladas por ano, ou...</t>
  </si>
  <si>
    <t>toneladas/ano</t>
  </si>
  <si>
    <r>
      <t xml:space="preserve">…como quantidade </t>
    </r>
    <r>
      <rPr>
        <i/>
        <sz val="10.5"/>
        <color theme="1" tint="0.14999847407452621"/>
        <rFont val="Calibri"/>
        <family val="2"/>
      </rPr>
      <t>per capita</t>
    </r>
    <r>
      <rPr>
        <sz val="10.5"/>
        <color theme="1" tint="0.14999847407452621"/>
        <rFont val="Calibri"/>
        <family val="2"/>
      </rPr>
      <t xml:space="preserve"> de resíduos (em kg/cap/ano ou kg/cap/dia) combinada com o número de habitantes:</t>
    </r>
  </si>
  <si>
    <t>Taxa de geração específica de resíduos sólidos urbanos</t>
  </si>
  <si>
    <t>Em vez da quantidade total de resíduos, você pode inserir a quantidade específica de resíduos em quilogramas</t>
  </si>
  <si>
    <t>per capita e ano (kg/cap/ano) ou em quilogramas per capita e dia (kg/cap/dia) nos campos verdes.</t>
  </si>
  <si>
    <t>Se não houver dados disponíveis, o valor padrão do Brasil é recomendado para preencher os campos verdes.</t>
  </si>
  <si>
    <t>Padrão do Brasil</t>
  </si>
  <si>
    <t>kg/cap/ano</t>
  </si>
  <si>
    <t>Quantidade anual de resíduos per capita</t>
  </si>
  <si>
    <t>kg/cap/dia</t>
  </si>
  <si>
    <t>Resultado/informação intermediária</t>
  </si>
  <si>
    <t>Quantidade diária de resíduos per capita</t>
  </si>
  <si>
    <t xml:space="preserve">Sua entrada resulta em uma quantidade total de resíduos </t>
  </si>
  <si>
    <t>População</t>
  </si>
  <si>
    <t>Resultado — quantidade total de resíduos</t>
  </si>
  <si>
    <t>N° de habitantes</t>
  </si>
  <si>
    <t>População total (capita)</t>
  </si>
  <si>
    <t>Composição de resíduos em porcentagens de peso úmido</t>
  </si>
  <si>
    <t>Utilize como referência o percentual dos resíduos úmidos na quantidade total de resíduos.</t>
  </si>
  <si>
    <t>Se houver dados sobre a composição total de resíduos, digite a porcentagem — caso contrário, você pode usar o padrão do Brasil.</t>
  </si>
  <si>
    <t>em % de resíduos úmidos</t>
  </si>
  <si>
    <t>Resíduos de alimentos</t>
  </si>
  <si>
    <t>Resíduos de jardins e parques</t>
  </si>
  <si>
    <t>Papel, papelão</t>
  </si>
  <si>
    <t>Plásticos</t>
  </si>
  <si>
    <t>Metais ferrosos</t>
  </si>
  <si>
    <t>Alumínio</t>
  </si>
  <si>
    <t>Têxteis</t>
  </si>
  <si>
    <t>Borracha, couro</t>
  </si>
  <si>
    <t>Fraldas (descartáveis)</t>
  </si>
  <si>
    <t>Madeira</t>
  </si>
  <si>
    <t>Resíduos minerais</t>
  </si>
  <si>
    <t>Outros</t>
  </si>
  <si>
    <t>Características dos resíduos</t>
  </si>
  <si>
    <t>Os resíduos podem diferir significativamente no teor de água e, consequentemente, no poder calorífico (para mais explicações, consulte o manual).</t>
  </si>
  <si>
    <r>
      <t xml:space="preserve">Aqui você pode escolher entre um teor de água baixo ou alto. </t>
    </r>
    <r>
      <rPr>
        <b/>
        <sz val="10.5"/>
        <color theme="1" tint="0.14999847407452621"/>
        <rFont val="Calibri"/>
        <family val="2"/>
      </rPr>
      <t>Digite "1"</t>
    </r>
    <r>
      <rPr>
        <sz val="10.5"/>
        <color theme="1" tint="0.14999847407452621"/>
        <rFont val="Calibri"/>
        <family val="2"/>
      </rPr>
      <t xml:space="preserve"> para sua escolha</t>
    </r>
  </si>
  <si>
    <t>Classificação do teor de água</t>
  </si>
  <si>
    <t>Baixo teor de água</t>
  </si>
  <si>
    <t>Alto teor de água</t>
  </si>
  <si>
    <t>A composição de resíduos e o teor de água que você definiu</t>
  </si>
  <si>
    <t>Fator de emissão de GEE específico para geração de eletricidade</t>
  </si>
  <si>
    <t>levam às seguintes propriedades físicas do total de resíduos:</t>
  </si>
  <si>
    <t>A produção de eletricidade resulta em emissões de GEE variáveis, conforme a fonte.</t>
  </si>
  <si>
    <t>Resultado — valor calorífico e teor de carbono do total de resíduos</t>
  </si>
  <si>
    <t>Se conhecido, insira o fator de emissão específico para a produção de eletricidade em g CO2-eq/kWh.</t>
  </si>
  <si>
    <t>Poder calorífico</t>
  </si>
  <si>
    <t>em MJ/kg</t>
  </si>
  <si>
    <t>Teor total de carbono</t>
  </si>
  <si>
    <t>Teor de carbono fóssil</t>
  </si>
  <si>
    <t>Teor de carbono regenerativo</t>
  </si>
  <si>
    <t>Mix de eletricidade</t>
  </si>
  <si>
    <t>Padrão do Brasil 2018</t>
  </si>
  <si>
    <t>g CO2-eq/kWh</t>
  </si>
  <si>
    <t>Brasil</t>
  </si>
  <si>
    <t>Média dos ultimos 5 anos</t>
  </si>
  <si>
    <t>Reciclagem, compostagem e digestão</t>
  </si>
  <si>
    <t>Você pode calcular até 4 cenários com base na composição de resíduos definida na página "Início". Se você deseja alterar a composição de resíduos, é necessário iniciar um novo cálculo em uma cópia.</t>
  </si>
  <si>
    <t>Indique nos campos marcados em verde a parcela de cada fração de resíduos reciclada — em porcentagem da fração de resíduos correspondente.</t>
  </si>
  <si>
    <t>As taxas de reciclagem devem incluir todo o material reciclado, seja de coleta seletiva, seja do setor informal ou de estações de tratamento mecânico.</t>
  </si>
  <si>
    <t>Você pode alterar os nomes dos cenários</t>
  </si>
  <si>
    <t>Cenário-Base</t>
  </si>
  <si>
    <t>Rota Tecnol. 1A</t>
  </si>
  <si>
    <t>Rota Tecnol. 1C</t>
  </si>
  <si>
    <t>Rota Tecnol. 2</t>
  </si>
  <si>
    <t>Rota Tecnol. 3</t>
  </si>
  <si>
    <t>Rota Tecnol. 4</t>
  </si>
  <si>
    <t>Biodigestão RT1A + CDR TM</t>
  </si>
  <si>
    <t>Biodigestão RT1C + CDR TM</t>
  </si>
  <si>
    <t>Compostagem + CDR TM</t>
  </si>
  <si>
    <t xml:space="preserve">Biosecagem + CDR TMB </t>
  </si>
  <si>
    <t>Materiais secos</t>
  </si>
  <si>
    <t>Indique aqui o percentual de material seco reciclado</t>
  </si>
  <si>
    <t>x% de</t>
  </si>
  <si>
    <t>Tipo de material</t>
  </si>
  <si>
    <t>para reciclagem</t>
  </si>
  <si>
    <t>em %</t>
  </si>
  <si>
    <t>Resíduos orgânicos</t>
  </si>
  <si>
    <t>Indique aqui o percentual de alimentos e resíduos de jardins e parques reciclados que são utilizados na agricultura, em áreas verdes ou no florestamento</t>
  </si>
  <si>
    <t>e que substituem fertilizante mineral/químico.</t>
  </si>
  <si>
    <t>Tipo de resíduo orgânico</t>
  </si>
  <si>
    <t>Tabela auxiliar para determinar taxas de reciclagem</t>
  </si>
  <si>
    <t>Indique a parcela de resíduos orgânicos que são compostados e digeridos</t>
  </si>
  <si>
    <t>Reciclado pelo</t>
  </si>
  <si>
    <t>Soma total dos</t>
  </si>
  <si>
    <t>Potencial total</t>
  </si>
  <si>
    <t>Reciclado</t>
  </si>
  <si>
    <t>em tonelada</t>
  </si>
  <si>
    <t>setor informal</t>
  </si>
  <si>
    <t>setor formal</t>
  </si>
  <si>
    <t>reciclados</t>
  </si>
  <si>
    <t>em resíduos</t>
  </si>
  <si>
    <t>Resíduos orgânicos para reciclagem</t>
  </si>
  <si>
    <t>Resíduo de alimentos</t>
  </si>
  <si>
    <t>Resíduo orgânico</t>
  </si>
  <si>
    <t>Resíduo de poda</t>
  </si>
  <si>
    <t>Digestão anaeróbia (DA)</t>
  </si>
  <si>
    <t>Biogás da digestão anaeróbia para produção de eletricidade</t>
  </si>
  <si>
    <t>Biogás da digestão anaeróbia para produção de biometano</t>
  </si>
  <si>
    <t>A coleta seletiva altera a composição original dos resíduos. As taxas de reciclagem inseridas</t>
  </si>
  <si>
    <t>levam às seguintes propriedades físicas o restante:</t>
  </si>
  <si>
    <t>Características do RSU após a reciclagem</t>
  </si>
  <si>
    <t>em% de resíduos úmidos</t>
  </si>
  <si>
    <t xml:space="preserve">Opções de tratamento e disposição final do RSU </t>
  </si>
  <si>
    <t>Indique aqui o que acontece com o RSU remanecente (= quantidade restante de resíduos após a reciclagem).</t>
  </si>
  <si>
    <t>Para uma explicação das opções de tratamento, consulte o manual.</t>
  </si>
  <si>
    <t>Tipo de tratamento e disposição final de resíduos</t>
  </si>
  <si>
    <t>Evitar!</t>
  </si>
  <si>
    <t>Resíduos dispersos não queimados</t>
  </si>
  <si>
    <t>Queima aberta de resíduos dispersos</t>
  </si>
  <si>
    <t>Disposição no solo</t>
  </si>
  <si>
    <t xml:space="preserve">Lixão </t>
  </si>
  <si>
    <t>Aterro controlado sem coleta de gás</t>
  </si>
  <si>
    <t>Aterro sanitário com possibilidade de coleta de gás</t>
  </si>
  <si>
    <t>Outras opções de recuperação e disposição final</t>
  </si>
  <si>
    <t>Se o tratamento biológico for digestão anaeróbica em vez de compostagem,</t>
  </si>
  <si>
    <t>Tratamento biológico + cobertura de aterro</t>
  </si>
  <si>
    <t>preencha nas linhas 46/47</t>
  </si>
  <si>
    <t>CDR seco + cimenteira + rejeito para aterro</t>
  </si>
  <si>
    <t>CDR seco + cimenteira + trat. biol.+ cobertura de aterro</t>
  </si>
  <si>
    <t>preencha nas linhas 51/52</t>
  </si>
  <si>
    <r>
      <t>CDR seco +</t>
    </r>
    <r>
      <rPr>
        <sz val="10.5"/>
        <color rgb="FF04272E"/>
        <rFont val="Calibri"/>
        <family val="2"/>
      </rPr>
      <t xml:space="preserve"> biosecagem</t>
    </r>
    <r>
      <rPr>
        <sz val="10.5"/>
        <color theme="1" tint="0.14999847407452621"/>
        <rFont val="Calibri"/>
        <family val="2"/>
      </rPr>
      <t xml:space="preserve"> CDR org. + cimenteira</t>
    </r>
  </si>
  <si>
    <t>Incineração de RSU</t>
  </si>
  <si>
    <t>Informação sobre o aterro sanitário — Coleta e uso do biogás</t>
  </si>
  <si>
    <t>Aqui você pode especificar as tecnologias de disposição de aterros.</t>
  </si>
  <si>
    <t>Para os fins do ProteGEEr, opções específicas de coleta e tratamento de gases são definidas para o Brasil e podem ser encontradas no manual.</t>
  </si>
  <si>
    <t>No caso de aterro sanitário, insira aqui a parte geral do gás de aterro coletado como valor médio durante a vida útil do aterro sanitário (para mais explicações, vide comentário ou manual).</t>
  </si>
  <si>
    <t>Mín</t>
  </si>
  <si>
    <t>Máx</t>
  </si>
  <si>
    <t>Eficiência na coleta de gás</t>
  </si>
  <si>
    <t>Defina aqui o tratamento do gás de aterro coletado geral (para mais explicações sobre as opções de tratamento, consulte o manual).</t>
  </si>
  <si>
    <t>Tratamento e tipo de uso do gás de aterro coletado</t>
  </si>
  <si>
    <t>Sem queima (teste de emissão do aterro sanitário)</t>
  </si>
  <si>
    <t>Queimador Flare</t>
  </si>
  <si>
    <t>Geração da eletricidade</t>
  </si>
  <si>
    <t>Produção de biometano</t>
  </si>
  <si>
    <t>Se uma camada de oxidação aprimorada de metano for aplicada, preencha a eficiência de oxidação superior à eficácia padrão de oxidação de metano do IPCC 2006 de 10% de uma cobertura normal de aterro.</t>
  </si>
  <si>
    <t>Efeito da oxidação da cobertura do aterro</t>
  </si>
  <si>
    <t>Padrão IPCC 10%</t>
  </si>
  <si>
    <t>Eficiência da oxidação de metano pela camada de oxidação</t>
  </si>
  <si>
    <t>Outras opções de tratamento</t>
  </si>
  <si>
    <r>
      <t xml:space="preserve">Se a </t>
    </r>
    <r>
      <rPr>
        <sz val="10.5"/>
        <color rgb="FF04272E"/>
        <rFont val="Calibri"/>
        <family val="2"/>
      </rPr>
      <t>digestão anaeróbia</t>
    </r>
    <r>
      <rPr>
        <sz val="10.5"/>
        <color theme="1" tint="0.14999847407452621"/>
        <rFont val="Calibri"/>
        <family val="2"/>
      </rPr>
      <t xml:space="preserve"> for aplicada em vez de tratamento biológico aeróbico simples, insira um valor para o uso do biogás gerado (o total deve ser de 100%)</t>
    </r>
  </si>
  <si>
    <t>Produção de eletricidade a partir do biogás</t>
  </si>
  <si>
    <t>Produção de biometano a partir do biogás</t>
  </si>
  <si>
    <t>Total (deve ser 100% ou 0%)</t>
  </si>
  <si>
    <t>CDR seco + cimenteira + trat. biol. + cobertura de aterro</t>
  </si>
  <si>
    <t>Informação sobre a planta de incineração</t>
  </si>
  <si>
    <t>Indique aqui a eficiência líquida da utilização de energia através da incineração de resíduos — use dados próprios ou valores-padrão (para explicações adicionais, consulte o comentário ou o manual)</t>
  </si>
  <si>
    <t>Padrão</t>
  </si>
  <si>
    <t>Eletricidade</t>
  </si>
  <si>
    <t>Térmica</t>
  </si>
  <si>
    <t>Resíduos tratados em t/ano</t>
  </si>
  <si>
    <t>Resíduos totais</t>
  </si>
  <si>
    <t>Resíduos reciclados</t>
  </si>
  <si>
    <t>Resíduo total em t/ano</t>
  </si>
  <si>
    <t xml:space="preserve">Tratamento e Disposição Final </t>
  </si>
  <si>
    <t>Descarte de resíduos</t>
  </si>
  <si>
    <t>Resíduos dispersos</t>
  </si>
  <si>
    <t>Queima a céu aberto</t>
  </si>
  <si>
    <t>Lixão não controlado</t>
  </si>
  <si>
    <t>Aterro controlado</t>
  </si>
  <si>
    <t>Trat. biol + cobertura at.</t>
  </si>
  <si>
    <t>CDR seco + rejeito aterro</t>
  </si>
  <si>
    <t>CDR seco + trat. biol.</t>
  </si>
  <si>
    <t>CDR seco + CDR org.</t>
  </si>
  <si>
    <t>Resultados — Emissões de GEE na reciclagem e no descarte em t CO2-eq/ano</t>
  </si>
  <si>
    <t>Emissões</t>
  </si>
  <si>
    <t>Emissões evitadas</t>
  </si>
  <si>
    <t>Resultados líquidos</t>
  </si>
  <si>
    <t>Resíduo reciclado</t>
  </si>
  <si>
    <t>RSU total</t>
  </si>
  <si>
    <t>Débitos</t>
  </si>
  <si>
    <t>Créditos</t>
  </si>
  <si>
    <t>Líquido</t>
  </si>
  <si>
    <t>Resultados — Emissões de GEE na reciclagem em t CO2-eq/ano</t>
  </si>
  <si>
    <t>Resultados — Emissões de GEE no Descarte em t CO2-eq/ano</t>
  </si>
  <si>
    <t>Resíduos descartados</t>
  </si>
  <si>
    <t>Líquidos</t>
  </si>
  <si>
    <t>Resíduos totais em t/ano</t>
  </si>
  <si>
    <t>Tratamento e disposição final de resíduos</t>
  </si>
  <si>
    <t>Resultados — Emissões de GEE na reciclagem e na destinação em t CO2-eq/ano</t>
  </si>
  <si>
    <t>Destinação de resíduos</t>
  </si>
  <si>
    <t>Resultados — Emissões de GEE no Destinação em t CO2-eq/ano</t>
  </si>
  <si>
    <t>Resíduo tratado em t/ano</t>
  </si>
  <si>
    <t>Destinação de resíduo</t>
  </si>
  <si>
    <t>Resultados — Emissões de GEE na Destinação em t CO2-eq/ano</t>
  </si>
  <si>
    <t>Tratamento e Disposição final  de resíduos</t>
  </si>
  <si>
    <t>Tratamento total de RSU</t>
  </si>
  <si>
    <t>Fatores de emissão para demanda de energia</t>
  </si>
  <si>
    <t>Fatores de emissão para reciclagem</t>
  </si>
  <si>
    <t>Resultados da reciclagem do Potencial de Aquecimento Global (GWP)</t>
  </si>
  <si>
    <t>Rede de eletricidade</t>
  </si>
  <si>
    <t>g CO2-eq/kWh de eletricidade</t>
  </si>
  <si>
    <t>valor variável</t>
  </si>
  <si>
    <t>Valores arredondados para o Brasil (setembro de 2019)</t>
  </si>
  <si>
    <t>Calor (Mistura 50% de óleo; 50% de gás natural)</t>
  </si>
  <si>
    <t>g CO2-eq/kWh de calor</t>
  </si>
  <si>
    <t>valor fixo</t>
  </si>
  <si>
    <t xml:space="preserve"> </t>
  </si>
  <si>
    <t>kg CO2-eq/t resíduo</t>
  </si>
  <si>
    <t>Papel</t>
  </si>
  <si>
    <t>Metais (aço)</t>
  </si>
  <si>
    <t>Quantidade de resíduos</t>
  </si>
  <si>
    <t>t/ano</t>
  </si>
  <si>
    <t>Energia mecânica</t>
  </si>
  <si>
    <t>Digestão</t>
  </si>
  <si>
    <t xml:space="preserve">Destintagem </t>
  </si>
  <si>
    <t>Derretimento</t>
  </si>
  <si>
    <t>Diesel</t>
  </si>
  <si>
    <t>diesel</t>
  </si>
  <si>
    <t>Teor de carbono para frações de resíduos</t>
  </si>
  <si>
    <t>Valores originais do IPCC</t>
  </si>
  <si>
    <t>Resultado líquido</t>
  </si>
  <si>
    <t>Fonte: IPCC 2006</t>
  </si>
  <si>
    <t>C total</t>
  </si>
  <si>
    <t>teor de matéria seca</t>
  </si>
  <si>
    <t>Fração</t>
  </si>
  <si>
    <t>C fóssil</t>
  </si>
  <si>
    <t>% de resíduos secos</t>
  </si>
  <si>
    <t>% de resíduo úmido</t>
  </si>
  <si>
    <t>Digestão anaeróbica de crédito</t>
  </si>
  <si>
    <t>Rendimento médio de gás</t>
  </si>
  <si>
    <t>Nm³/t resíduos biológicos</t>
  </si>
  <si>
    <t>Teor médio de metano</t>
  </si>
  <si>
    <t>vol%</t>
  </si>
  <si>
    <t>Eficiência líquida de eletricidade</t>
  </si>
  <si>
    <t>Produção média de eletricidade</t>
  </si>
  <si>
    <t>kWh/t resíduos biológicos</t>
  </si>
  <si>
    <t>Reciclagem total</t>
  </si>
  <si>
    <t>Produção média do biometano</t>
  </si>
  <si>
    <t>t CO2-eq/ano</t>
  </si>
  <si>
    <t>Metais Ferrosos</t>
  </si>
  <si>
    <t>Fatores de emissão para opções de tratamento e disposição final de resíduos</t>
  </si>
  <si>
    <t>Borrachas, couro</t>
  </si>
  <si>
    <t>Carbono fóssil em resíduos dispersos</t>
  </si>
  <si>
    <t>Fraldas</t>
  </si>
  <si>
    <t>CO2 emitido por queima aberta</t>
  </si>
  <si>
    <t>kg CO2-eq/t</t>
  </si>
  <si>
    <t>Cálculo do gás de aterro formado</t>
  </si>
  <si>
    <t>Carbono regenerativo em resíduos depositados em aterros</t>
  </si>
  <si>
    <t>t C/t res</t>
  </si>
  <si>
    <t>Poder calorífico das frações</t>
  </si>
  <si>
    <t>Carbono degradado e liberado do carbono regenerativo</t>
  </si>
  <si>
    <t>% carbono regenerativo</t>
  </si>
  <si>
    <t>Gás de aterro com teor de metano</t>
  </si>
  <si>
    <t>Fonte: AEA Technology 2001, p. 114; wood IFEU estimate</t>
  </si>
  <si>
    <t>Quantidade de gás de aterro por tonelada de resíduo</t>
  </si>
  <si>
    <t>m³/t de resíduo</t>
  </si>
  <si>
    <t>poder calorífico</t>
  </si>
  <si>
    <t>Aterro não gerenciado</t>
  </si>
  <si>
    <t>Residuos orgânicos (baixo teor de água)</t>
  </si>
  <si>
    <t>MJ/kg de resíduos úmidos</t>
  </si>
  <si>
    <t>Quantidade de gás de aterro difuso</t>
  </si>
  <si>
    <t>Residuos orgânicos (alto teor de água)</t>
  </si>
  <si>
    <t>Quantidade de metano emitido</t>
  </si>
  <si>
    <t>Aterro sanitário (aterro gerenciado)</t>
  </si>
  <si>
    <t>Gás de aterro coletado</t>
  </si>
  <si>
    <t>Não tratados, apenas ventilados</t>
  </si>
  <si>
    <t>Quantidade de metano difuso</t>
  </si>
  <si>
    <t>m³ CH4/t de resíduo</t>
  </si>
  <si>
    <t>Têxteis, borracha, couro</t>
  </si>
  <si>
    <t>Oxidado a CO2 na camada de cobertura padrão IPCC</t>
  </si>
  <si>
    <t>Quantidade total de emissões de metano em kg</t>
  </si>
  <si>
    <t>kg CH4/t de resíduo</t>
  </si>
  <si>
    <t>Quantidade total de emissões de metano em CO2-eq</t>
  </si>
  <si>
    <t xml:space="preserve">kg CO2-eq/t </t>
  </si>
  <si>
    <t>Outros (baixo teor de água)</t>
  </si>
  <si>
    <t>Gás de aterro coletado queimado</t>
  </si>
  <si>
    <t>Outros (alto teor de água)</t>
  </si>
  <si>
    <t>Gás de aterro coletado para eletricidade</t>
  </si>
  <si>
    <t>Gás de aterro coletado para biometano</t>
  </si>
  <si>
    <t>Quantidades totais de resíduos, poder calorífico e teor de carbono</t>
  </si>
  <si>
    <t>Verificar o total de gás de aterro coletado</t>
  </si>
  <si>
    <t>kWh/t de resíduo</t>
  </si>
  <si>
    <t>em toneladas/ano</t>
  </si>
  <si>
    <t>Dem. de eletricidade</t>
  </si>
  <si>
    <t>kWh/t</t>
  </si>
  <si>
    <t>Resultados do tratamento de resíduo restante da GWP</t>
  </si>
  <si>
    <t>D. energia térmica</t>
  </si>
  <si>
    <t>Disso:</t>
  </si>
  <si>
    <t>D. energia mecânica</t>
  </si>
  <si>
    <t>Emissões totais</t>
  </si>
  <si>
    <t>Emissões evitadas por eletricidade e biometano</t>
  </si>
  <si>
    <t>Incineração de resíduos sólidos urbanos (RSU)</t>
  </si>
  <si>
    <t>Cálculo de emissões</t>
  </si>
  <si>
    <t xml:space="preserve">Teor de carbono fóssil em resíduo </t>
  </si>
  <si>
    <t>Emissão de CO2 por incineração</t>
  </si>
  <si>
    <t>kg CO2/t de resíduo</t>
  </si>
  <si>
    <t>Poder calorífico de resíduos</t>
  </si>
  <si>
    <t>Borracha e couro</t>
  </si>
  <si>
    <t>Eletricidade líquida produzida</t>
  </si>
  <si>
    <t>Benefício para a produção de eletricidade</t>
  </si>
  <si>
    <t>Calor líquido produzido</t>
  </si>
  <si>
    <t>Benefício para a produção de calor</t>
  </si>
  <si>
    <t>Descarte total</t>
  </si>
  <si>
    <t>Emissões evitadas por resíduos incinerados</t>
  </si>
  <si>
    <t>Verifique o desperdício total</t>
  </si>
  <si>
    <t>Verifique o total</t>
  </si>
  <si>
    <t>Teor calculado de carbono no total de resíduos gerados</t>
  </si>
  <si>
    <t>Tratamento aeróbio simples</t>
  </si>
  <si>
    <t>Carbono total no total de resíduos gerados</t>
  </si>
  <si>
    <t xml:space="preserve">Degradação do carbono regenerativo </t>
  </si>
  <si>
    <t>Carbono fóssil no total de resíduos gerados</t>
  </si>
  <si>
    <t>Emissões diretas do tratamento aeróbio</t>
  </si>
  <si>
    <t>Carbono regenerativo no total de resíduos gerados</t>
  </si>
  <si>
    <t>Demanda de energia do tratamento aeróbio</t>
  </si>
  <si>
    <t>kWh/t resíduo</t>
  </si>
  <si>
    <t xml:space="preserve">Emissões da demanda de energia do tratamento </t>
  </si>
  <si>
    <t>Poder calorífico calculado no total de resíduos gerados</t>
  </si>
  <si>
    <t>Emissões totais do tratamento aeróbio simples</t>
  </si>
  <si>
    <t>Poder calorífico total de resíduos com baixo teor de água</t>
  </si>
  <si>
    <t>MJ/kg de resíduo úmido</t>
  </si>
  <si>
    <t xml:space="preserve">Digestão anaeróbia </t>
  </si>
  <si>
    <t>Poder calorífico total de resíduos com alto teor de água</t>
  </si>
  <si>
    <t>Eficiência de formação do biogás (degrad. carb. regenerativo)</t>
  </si>
  <si>
    <t>Produção do biogás</t>
  </si>
  <si>
    <t>m³/t resíduo</t>
  </si>
  <si>
    <t>Percentagem de reciclagem, resíduo restante; valor calorífico, teor de carbono</t>
  </si>
  <si>
    <t xml:space="preserve">Participação meia do metano </t>
  </si>
  <si>
    <t>Vol. %</t>
  </si>
  <si>
    <t xml:space="preserve">Biogás para produção elétrica </t>
  </si>
  <si>
    <t>Quantidades de resíduos para reciclagem</t>
  </si>
  <si>
    <t xml:space="preserve">Biogás para produção do biometano </t>
  </si>
  <si>
    <t xml:space="preserve">Produção de eletricidade </t>
  </si>
  <si>
    <t xml:space="preserve">Emissões diretas da digestão anaeróbia </t>
  </si>
  <si>
    <t>Demanda de energia da digestão anaeróbia</t>
  </si>
  <si>
    <t>Emissões da demanda energética da digestão</t>
  </si>
  <si>
    <t>Emissões totais da digestão anaeróbia</t>
  </si>
  <si>
    <t>Disposição final de resíduos tratados biologicamente</t>
  </si>
  <si>
    <t xml:space="preserve">não usado </t>
  </si>
  <si>
    <t xml:space="preserve">Demanda de energia do aterro sanitário </t>
  </si>
  <si>
    <t xml:space="preserve">Teor de carbono regenerativo nos resíduos depositados </t>
  </si>
  <si>
    <t>% resíduo úmido</t>
  </si>
  <si>
    <t>Resíduos restantes</t>
  </si>
  <si>
    <t xml:space="preserve">Quantidade de biogás dos resíduos tratados </t>
  </si>
  <si>
    <t>m³/t resíduo úmido</t>
  </si>
  <si>
    <t>Emissões de metano do aterro sem coleta do gás</t>
  </si>
  <si>
    <t>Emissões de metano do aterro com coleta do gás</t>
  </si>
  <si>
    <t>Emissão evitada por uso do biogás</t>
  </si>
  <si>
    <t>Emissões do tratamento mecânico</t>
  </si>
  <si>
    <t>CDR incinerado em forno de cimento</t>
  </si>
  <si>
    <t>Borrachas e couro</t>
  </si>
  <si>
    <t>Quantidade de gás de aterro de resíduo residual</t>
  </si>
  <si>
    <t xml:space="preserve">Emissão de demanda de energia — aterro sanitário </t>
  </si>
  <si>
    <t>Emissão de metano de aterro sanitário em CO2-eq</t>
  </si>
  <si>
    <t>Gás de aterro coletado para produção da eletricidade</t>
  </si>
  <si>
    <t>Composição calculada dos rejeitos</t>
  </si>
  <si>
    <t>Emissão evitada de gás de aterro (eletricidade e biometano)</t>
  </si>
  <si>
    <t>Resíduo</t>
  </si>
  <si>
    <t>Emissão evitada de CDR em forno de cimento (coque de gasolina)</t>
  </si>
  <si>
    <t>Total de emissões evitadas</t>
  </si>
  <si>
    <t>CDR seco + cimenteira + tratamento biológico + cobertura de aterro</t>
  </si>
  <si>
    <t xml:space="preserve">CDR incinerado em forno de cimento </t>
  </si>
  <si>
    <t xml:space="preserve">Tratamento aeróbio simples </t>
  </si>
  <si>
    <t>Emissões da demanda de energia do tratamento</t>
  </si>
  <si>
    <t xml:space="preserve">Emissões totais do tratamento aeróbio simples </t>
  </si>
  <si>
    <t xml:space="preserve">% carbono regenerativo </t>
  </si>
  <si>
    <t xml:space="preserve">Produção do biogás </t>
  </si>
  <si>
    <t xml:space="preserve">Participação do metano </t>
  </si>
  <si>
    <t>Teor de carbono calculado — poder calorífico em resíduo</t>
  </si>
  <si>
    <t>Teor de carbono calculado em resíduos</t>
  </si>
  <si>
    <t xml:space="preserve">Biogás para biometano </t>
  </si>
  <si>
    <t>Carbono total nos resíduos para disposição final</t>
  </si>
  <si>
    <t>Carbono fóssil nos resíduos para disposição final</t>
  </si>
  <si>
    <t>Carbono regenerativo nos resíduos para disposição final</t>
  </si>
  <si>
    <t>Poder calorífico calculado em resíduo remanesente</t>
  </si>
  <si>
    <t>Resíduos de poder calorífico para descarte — baixo teor de água</t>
  </si>
  <si>
    <t>Resíduos de poder calorífico para descarte — alto teor de água</t>
  </si>
  <si>
    <t>Disposição final — resíduos tratados biologicamente</t>
  </si>
  <si>
    <t xml:space="preserve">% resíduo úmido </t>
  </si>
  <si>
    <t>Quantidade do gás de aterro do resto tratado</t>
  </si>
  <si>
    <t xml:space="preserve">m³/t resíduo </t>
  </si>
  <si>
    <t>Composição calculada de CDR &gt; 50 mm</t>
  </si>
  <si>
    <t xml:space="preserve">Gás do aterro coletado </t>
  </si>
  <si>
    <t>Emissões de metano do aterro em CO2-eq</t>
  </si>
  <si>
    <t>cota &gt; 50mm</t>
  </si>
  <si>
    <t>Emissões evitadas de gás de aterro</t>
  </si>
  <si>
    <t>CDR seco + biosecagem CDR orgânico + cimenteira</t>
  </si>
  <si>
    <t xml:space="preserve">Emissões — separação do CDR </t>
  </si>
  <si>
    <t>CDR seco incinerado em forno de cimento</t>
  </si>
  <si>
    <t xml:space="preserve">Perda do carbono regenerativo deb. à biosecagem </t>
  </si>
  <si>
    <t>Carbono regenerativo no resto após biosecagem</t>
  </si>
  <si>
    <t>Carbono fóssil no resto após biosecagem</t>
  </si>
  <si>
    <t xml:space="preserve">Demanda de eletricidade para biosecagem e produção de CDR </t>
  </si>
  <si>
    <t xml:space="preserve">kWh/t resíduo </t>
  </si>
  <si>
    <t xml:space="preserve">Demanda de calor para biosecagem e produção de CDR </t>
  </si>
  <si>
    <t>Demanda de energia mecânica</t>
  </si>
  <si>
    <t>Teor de carbono calculado — poder calorífico na fração CDR &gt; 50 mm</t>
  </si>
  <si>
    <t xml:space="preserve">Emissões da energia para biosecagem </t>
  </si>
  <si>
    <t>Teor de carbono calculado em resíduo</t>
  </si>
  <si>
    <t xml:space="preserve">Emissões do metano por biosecagem </t>
  </si>
  <si>
    <t>Carbono total em CDR &gt; 50 mm</t>
  </si>
  <si>
    <t xml:space="preserve">Eficiência da biosecagem </t>
  </si>
  <si>
    <t>% valor calorífico</t>
  </si>
  <si>
    <t>Carbono fóssil em CDR &gt; 50 mm</t>
  </si>
  <si>
    <t>Poder calorífico do CDR orgânico</t>
  </si>
  <si>
    <t xml:space="preserve">MJ/t resíduo </t>
  </si>
  <si>
    <t>Carbono regenerativo em CDR</t>
  </si>
  <si>
    <t>CDR orgânico incinerado em forno de cimento</t>
  </si>
  <si>
    <t>Poder calorífico calculado no resíduo remanescente</t>
  </si>
  <si>
    <t xml:space="preserve">Emissões evitadas — coincineração do CDR seco </t>
  </si>
  <si>
    <t>Resíduos de valor calorífico para descarte — baixo teor de água</t>
  </si>
  <si>
    <t xml:space="preserve">Emissões evitadas — coincineração do CDR orgânico </t>
  </si>
  <si>
    <t>Resíduos de valor calorífico para descarte — alto teor de água</t>
  </si>
  <si>
    <t>Composição calculada do resíduo sem CDR &gt; 50 mm</t>
  </si>
  <si>
    <t>Merais ferrosos</t>
  </si>
  <si>
    <t>Teor de carbono calculado, poder calorífico em resíduo sem CDR &gt; 50 mm</t>
  </si>
  <si>
    <t>Resíduos de poder calorífico para disposição final — baixo teor de água</t>
  </si>
  <si>
    <t>Resíduos de poder calorífico para disposição final — alto teor de água</t>
  </si>
  <si>
    <t>Rota Tecnol. 1B</t>
  </si>
  <si>
    <t>Rota Tecnol. 5</t>
  </si>
  <si>
    <t>Biodigestão RT1B + CDR TM</t>
  </si>
  <si>
    <t>Incineração Mass Burning</t>
  </si>
  <si>
    <t>Incineração Mass Burn. Descentralizada</t>
  </si>
  <si>
    <t>Emissão CO2 (Cenário Base)</t>
  </si>
  <si>
    <t>Emissão CO2 (Cenário Futuro)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</si>
</sst>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 numFmtId="182" formatCode="_-* #,##0.00\ _€_-;\-* #,##0.00\ _€_-;_-* &quot;-&quot;??\ _€_-;_-@_-"/>
  </numFmts>
  <fonts count="355"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0.5"/>
      <color rgb="FFFFFFFF"/>
      <name val="Calibri"/>
      <family val="2"/>
    </font>
    <font>
      <i/>
      <sz val="10.5"/>
      <color rgb="FF000000"/>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4"/>
      <color rgb="FFF49426"/>
      <name val="Calibri"/>
      <family val="2"/>
    </font>
    <font>
      <b/>
      <i/>
      <sz val="14"/>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
      <b/>
      <sz val="14"/>
      <color rgb="FFF49426"/>
      <name val="Calibri"/>
      <family val="2"/>
      <scheme val="minor"/>
    </font>
    <font>
      <b/>
      <sz val="16"/>
      <color rgb="FFF49426"/>
      <name val="Calibri"/>
      <family val="2"/>
      <scheme val="minor"/>
    </font>
    <font>
      <sz val="10"/>
      <name val="Calibri"/>
      <family val="2"/>
      <scheme val="minor"/>
    </font>
    <font>
      <sz val="14"/>
      <color theme="0"/>
      <name val="Calibri"/>
      <family val="2"/>
      <scheme val="minor"/>
    </font>
    <font>
      <sz val="10"/>
      <color rgb="FF04272E"/>
      <name val="Calibri"/>
      <family val="2"/>
      <scheme val="minor"/>
    </font>
    <font>
      <b/>
      <sz val="10.5"/>
      <color rgb="FF04272E"/>
      <name val="Calibri"/>
      <family val="2"/>
      <scheme val="minor"/>
    </font>
    <font>
      <sz val="10.5"/>
      <color rgb="FF04272E"/>
      <name val="Calibri"/>
      <family val="2"/>
      <scheme val="minor"/>
    </font>
    <font>
      <sz val="10"/>
      <color rgb="FF005A6E"/>
      <name val="Calibri"/>
      <family val="2"/>
      <scheme val="minor"/>
    </font>
    <font>
      <sz val="14"/>
      <color theme="0"/>
      <name val="Calibri"/>
      <family val="2"/>
    </font>
    <font>
      <sz val="10"/>
      <color theme="0"/>
      <name val="Arial"/>
      <family val="2"/>
    </font>
    <font>
      <sz val="10.5"/>
      <color theme="1" tint="0.34998626667073579"/>
      <name val="Calibri"/>
      <family val="2"/>
    </font>
    <font>
      <sz val="12"/>
      <color theme="1" tint="0.14999847407452621"/>
      <name val="Calibri"/>
      <family val="2"/>
      <scheme val="minor"/>
    </font>
    <font>
      <sz val="10"/>
      <color theme="0" tint="-0.499984740745262"/>
      <name val="Arial"/>
      <family val="2"/>
    </font>
    <font>
      <b/>
      <sz val="10.5"/>
      <color theme="0" tint="-0.499984740745262"/>
      <name val="Calibri"/>
      <family val="2"/>
    </font>
    <font>
      <sz val="10.5"/>
      <color theme="0" tint="-0.499984740745262"/>
      <name val="Calibri"/>
      <family val="2"/>
    </font>
    <font>
      <sz val="10.5"/>
      <color theme="0" tint="-0.499984740745262"/>
      <name val="Calibri"/>
      <family val="1"/>
    </font>
    <font>
      <b/>
      <sz val="10"/>
      <color theme="0" tint="-0.499984740745262"/>
      <name val="Arial"/>
      <family val="2"/>
    </font>
    <font>
      <sz val="10.5"/>
      <color rgb="FF005A6E"/>
      <name val="Calibri"/>
      <family val="1"/>
    </font>
    <font>
      <sz val="10"/>
      <color rgb="FF005A6E"/>
      <name val="Arial"/>
      <family val="2"/>
    </font>
    <font>
      <sz val="12"/>
      <color rgb="FF005A6E"/>
      <name val="Calibri"/>
      <family val="2"/>
      <scheme val="minor"/>
    </font>
    <font>
      <b/>
      <sz val="12"/>
      <color rgb="FF005A6E"/>
      <name val="Arial"/>
      <family val="2"/>
    </font>
    <font>
      <u/>
      <sz val="10"/>
      <color theme="10"/>
      <name val="Arial"/>
      <family val="2"/>
    </font>
    <font>
      <u/>
      <sz val="10"/>
      <color theme="10"/>
      <name val="Calibri"/>
      <family val="2"/>
      <scheme val="minor"/>
    </font>
    <font>
      <sz val="14"/>
      <color rgb="FF005A6E"/>
      <name val="Calibri"/>
      <family val="2"/>
      <scheme val="minor"/>
    </font>
    <font>
      <b/>
      <sz val="10.5"/>
      <color rgb="FF005A6E"/>
      <name val="Calibri"/>
      <family val="2"/>
      <scheme val="minor"/>
    </font>
    <font>
      <sz val="10.5"/>
      <color rgb="FF005A6E"/>
      <name val="Calibri"/>
      <family val="2"/>
      <scheme val="minor"/>
    </font>
    <font>
      <b/>
      <sz val="12"/>
      <color rgb="FF005A6E"/>
      <name val="Calibri"/>
      <family val="1"/>
    </font>
    <font>
      <u/>
      <sz val="10.5"/>
      <color theme="10"/>
      <name val="Calibri"/>
      <family val="2"/>
    </font>
    <font>
      <sz val="10.5"/>
      <color theme="1"/>
      <name val="Calibri"/>
      <family val="2"/>
    </font>
    <font>
      <sz val="10.5"/>
      <color theme="10"/>
      <name val="Calibri"/>
      <family val="2"/>
    </font>
    <font>
      <sz val="10"/>
      <name val="Calibri"/>
      <family val="2"/>
    </font>
    <font>
      <b/>
      <i/>
      <sz val="10"/>
      <color theme="1" tint="0.14999847407452621"/>
      <name val="Calibri"/>
      <family val="2"/>
    </font>
    <font>
      <b/>
      <sz val="13"/>
      <color theme="1" tint="0.14999847407452621"/>
      <name val="Calibri"/>
      <family val="2"/>
    </font>
    <font>
      <b/>
      <sz val="10"/>
      <color theme="1" tint="0.14999847407452621"/>
      <name val="Calibri"/>
      <family val="2"/>
    </font>
    <font>
      <sz val="10"/>
      <color rgb="FFF49426"/>
      <name val="Calibri"/>
      <family val="2"/>
    </font>
    <font>
      <b/>
      <i/>
      <sz val="10"/>
      <color indexed="12"/>
      <name val="Calibri"/>
      <family val="2"/>
    </font>
    <font>
      <sz val="10"/>
      <color theme="1" tint="0.14999847407452621"/>
      <name val="Calibri"/>
      <family val="2"/>
    </font>
    <font>
      <sz val="10"/>
      <color indexed="12"/>
      <name val="Calibri"/>
      <family val="2"/>
    </font>
    <font>
      <sz val="12"/>
      <color rgb="FF005A6E"/>
      <name val="Calibri"/>
      <family val="2"/>
    </font>
    <font>
      <i/>
      <sz val="10"/>
      <color indexed="10"/>
      <name val="Calibri"/>
      <family val="2"/>
    </font>
    <font>
      <i/>
      <sz val="10"/>
      <color indexed="12"/>
      <name val="Calibri"/>
      <family val="2"/>
    </font>
    <font>
      <sz val="10"/>
      <color indexed="17"/>
      <name val="Calibri"/>
      <family val="2"/>
    </font>
    <font>
      <b/>
      <sz val="10"/>
      <color indexed="14"/>
      <name val="Calibri"/>
      <family val="2"/>
    </font>
    <font>
      <sz val="10"/>
      <color indexed="10"/>
      <name val="Calibri"/>
      <family val="2"/>
    </font>
    <font>
      <i/>
      <sz val="11"/>
      <color theme="1"/>
      <name val="Calibri"/>
      <family val="2"/>
      <scheme val="minor"/>
    </font>
    <font>
      <sz val="10.5"/>
      <color indexed="10"/>
      <name val="Calibri"/>
      <family val="2"/>
    </font>
    <font>
      <i/>
      <sz val="10"/>
      <color indexed="10"/>
      <name val="Arial"/>
      <family val="2"/>
    </font>
    <font>
      <b/>
      <sz val="10"/>
      <color indexed="12"/>
      <name val="Calibri"/>
      <family val="2"/>
    </font>
    <font>
      <sz val="9"/>
      <color rgb="FF000000"/>
      <name val="Tahoma"/>
      <family val="2"/>
    </font>
    <font>
      <b/>
      <sz val="11"/>
      <color rgb="FFF9B100"/>
      <name val="Arial"/>
      <family val="2"/>
    </font>
    <font>
      <sz val="10"/>
      <color rgb="FFF9B100"/>
      <name val="Arial"/>
      <family val="2"/>
    </font>
    <font>
      <b/>
      <sz val="11"/>
      <color indexed="50"/>
      <name val="Arial"/>
      <family val="2"/>
    </font>
    <font>
      <b/>
      <sz val="10.5"/>
      <color indexed="50"/>
      <name val="Calibri"/>
      <family val="2"/>
    </font>
    <font>
      <b/>
      <sz val="12"/>
      <color indexed="12"/>
      <name val="Arial"/>
      <family val="2"/>
    </font>
    <font>
      <sz val="10"/>
      <color indexed="12"/>
      <name val="Arial"/>
      <family val="2"/>
    </font>
    <font>
      <sz val="12"/>
      <name val="Arial"/>
      <family val="2"/>
    </font>
    <font>
      <sz val="10"/>
      <color theme="1" tint="0.14999847407452621"/>
      <name val="Arial"/>
      <family val="2"/>
    </font>
    <font>
      <b/>
      <sz val="12"/>
      <name val="Arial"/>
      <family val="2"/>
    </font>
    <font>
      <sz val="10"/>
      <color rgb="FF04272E"/>
      <name val="Arial"/>
      <family val="2"/>
    </font>
    <font>
      <b/>
      <sz val="10"/>
      <color rgb="FF04272E"/>
      <name val="Arial"/>
      <family val="2"/>
    </font>
    <font>
      <b/>
      <sz val="10"/>
      <name val="Arial"/>
      <family val="2"/>
    </font>
    <font>
      <sz val="8"/>
      <name val="Arial"/>
      <family val="2"/>
    </font>
    <font>
      <sz val="9"/>
      <name val="Arial"/>
      <family val="2"/>
    </font>
    <font>
      <i/>
      <sz val="10.5"/>
      <color indexed="10"/>
      <name val="Calibri"/>
      <family val="2"/>
    </font>
    <font>
      <sz val="10.5"/>
      <color indexed="12"/>
      <name val="Calibri"/>
      <family val="2"/>
    </font>
    <font>
      <sz val="10.5"/>
      <color indexed="17"/>
      <name val="Calibri"/>
      <family val="2"/>
    </font>
    <font>
      <b/>
      <sz val="10.5"/>
      <color indexed="14"/>
      <name val="Calibri"/>
      <family val="2"/>
    </font>
    <font>
      <sz val="10"/>
      <color rgb="FF95D6D3"/>
      <name val="CalibrI"/>
      <family val="2"/>
    </font>
    <font>
      <sz val="10"/>
      <color indexed="9"/>
      <name val="Arial"/>
      <family val="2"/>
    </font>
    <font>
      <b/>
      <sz val="12"/>
      <color indexed="17"/>
      <name val="Arial"/>
      <family val="2"/>
    </font>
    <font>
      <b/>
      <sz val="14"/>
      <name val="Arial"/>
      <family val="2"/>
    </font>
    <font>
      <sz val="10"/>
      <color indexed="20"/>
      <name val="Arial"/>
      <family val="2"/>
    </font>
    <font>
      <b/>
      <sz val="10.5"/>
      <color rgb="FFC00000"/>
      <name val="Calibri"/>
      <family val="2"/>
    </font>
    <font>
      <sz val="10"/>
      <color indexed="17"/>
      <name val="Arial"/>
      <family val="2"/>
    </font>
    <font>
      <b/>
      <i/>
      <sz val="10.5"/>
      <color rgb="FFF49426"/>
      <name val="Calibri"/>
      <family val="2"/>
    </font>
    <font>
      <sz val="10"/>
      <color rgb="FFFF0000"/>
      <name val="Arial"/>
      <family val="2"/>
    </font>
    <font>
      <i/>
      <sz val="10"/>
      <color indexed="20"/>
      <name val="Arial"/>
      <family val="2"/>
    </font>
    <font>
      <b/>
      <sz val="10"/>
      <color indexed="14"/>
      <name val="Arial"/>
      <family val="2"/>
    </font>
    <font>
      <b/>
      <sz val="9"/>
      <color rgb="FF000000"/>
      <name val="Tahoma"/>
      <family val="2"/>
    </font>
    <font>
      <b/>
      <sz val="10"/>
      <color rgb="FFFF0000"/>
      <name val="Arial"/>
      <family val="2"/>
    </font>
    <font>
      <sz val="10.5"/>
      <name val="Calibri"/>
      <family val="2"/>
      <scheme val="minor"/>
    </font>
    <font>
      <b/>
      <sz val="10.5"/>
      <color theme="0"/>
      <name val="Calibri"/>
      <family val="2"/>
      <scheme val="minor"/>
    </font>
    <font>
      <sz val="10.5"/>
      <color theme="0"/>
      <name val="Calibri"/>
      <family val="2"/>
      <scheme val="minor"/>
    </font>
    <font>
      <sz val="10.5"/>
      <color indexed="10"/>
      <name val="Calibri"/>
      <family val="2"/>
      <scheme val="minor"/>
    </font>
    <font>
      <b/>
      <sz val="10.5"/>
      <name val="Calibri"/>
      <family val="2"/>
      <scheme val="minor"/>
    </font>
    <font>
      <b/>
      <sz val="10.5"/>
      <color rgb="FF005A6E"/>
      <name val="Calibri"/>
      <family val="1"/>
      <scheme val="minor"/>
    </font>
    <font>
      <b/>
      <sz val="10"/>
      <name val="Arial"/>
      <family val="1"/>
    </font>
    <font>
      <sz val="10"/>
      <color indexed="10"/>
      <name val="Arial"/>
      <family val="2"/>
    </font>
    <font>
      <sz val="10"/>
      <color indexed="22"/>
      <name val="Arial"/>
      <family val="2"/>
    </font>
    <font>
      <sz val="8.5"/>
      <name val="Arial"/>
      <family val="2"/>
    </font>
    <font>
      <b/>
      <sz val="10.5"/>
      <name val="Arial"/>
      <family val="1"/>
    </font>
    <font>
      <sz val="10.5"/>
      <color indexed="22"/>
      <name val="Arial"/>
      <family val="1"/>
    </font>
    <font>
      <sz val="10.5"/>
      <color indexed="22"/>
      <name val="Calibri"/>
      <family val="2"/>
    </font>
    <font>
      <sz val="8.5"/>
      <color indexed="10"/>
      <name val="Arial"/>
      <family val="2"/>
    </font>
    <font>
      <b/>
      <sz val="12"/>
      <color indexed="10"/>
      <name val="Arial"/>
      <family val="2"/>
    </font>
    <font>
      <b/>
      <sz val="10.5"/>
      <color rgb="FF95D6D3"/>
      <name val="Calibri"/>
      <family val="2"/>
    </font>
    <font>
      <sz val="10.5"/>
      <color rgb="FF95D6D3"/>
      <name val="Calibri"/>
      <family val="2"/>
    </font>
    <font>
      <sz val="10.5"/>
      <color indexed="23"/>
      <name val="Calibri"/>
      <family val="2"/>
    </font>
    <font>
      <i/>
      <sz val="10.5"/>
      <color indexed="23"/>
      <name val="Calibri"/>
      <family val="2"/>
    </font>
    <font>
      <i/>
      <sz val="10.5"/>
      <color theme="0" tint="-0.499984740745262"/>
      <name val="Calibri"/>
      <family val="2"/>
    </font>
    <font>
      <sz val="9"/>
      <color indexed="81"/>
      <name val="Tahoma"/>
      <family val="2"/>
    </font>
  </fonts>
  <fills count="77">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theme="7" tint="0.79998168889431442"/>
        <bgColor indexed="64"/>
      </patternFill>
    </fill>
    <fill>
      <patternFill patternType="solid">
        <fgColor indexed="9"/>
        <bgColor indexed="64"/>
      </patternFill>
    </fill>
    <fill>
      <patternFill patternType="solid">
        <fgColor rgb="FF368B95"/>
        <bgColor indexed="64"/>
      </patternFill>
    </fill>
    <fill>
      <patternFill patternType="solid">
        <fgColor rgb="FFE7FFE7"/>
        <bgColor indexed="64"/>
      </patternFill>
    </fill>
    <fill>
      <patternFill patternType="solid">
        <fgColor indexed="42"/>
        <bgColor indexed="64"/>
      </patternFill>
    </fill>
    <fill>
      <patternFill patternType="solid">
        <fgColor rgb="FFCCFFCC"/>
        <bgColor indexed="64"/>
      </patternFill>
    </fill>
    <fill>
      <patternFill patternType="solid">
        <fgColor rgb="FFEA4E1B"/>
        <bgColor indexed="64"/>
      </patternFill>
    </fill>
    <fill>
      <patternFill patternType="solid">
        <fgColor rgb="FFF49426"/>
        <bgColor indexed="64"/>
      </patternFill>
    </fill>
    <fill>
      <patternFill patternType="solid">
        <fgColor indexed="54"/>
        <bgColor indexed="64"/>
      </patternFill>
    </fill>
    <fill>
      <patternFill patternType="solid">
        <fgColor rgb="FFFFC1C1"/>
        <bgColor indexed="64"/>
      </patternFill>
    </fill>
    <fill>
      <patternFill patternType="solid">
        <fgColor rgb="FFFDE9D9"/>
        <bgColor indexed="64"/>
      </patternFill>
    </fill>
    <fill>
      <patternFill patternType="solid">
        <fgColor theme="9" tint="0.79998168889431442"/>
        <bgColor indexed="64"/>
      </patternFill>
    </fill>
    <fill>
      <patternFill patternType="solid">
        <fgColor rgb="FFDAEEF3"/>
        <bgColor indexed="64"/>
      </patternFill>
    </fill>
    <fill>
      <patternFill patternType="solid">
        <fgColor theme="6" tint="0.59999389629810485"/>
        <bgColor indexed="64"/>
      </patternFill>
    </fill>
    <fill>
      <patternFill patternType="solid">
        <fgColor rgb="FFFFFF00"/>
        <bgColor indexed="64"/>
      </patternFill>
    </fill>
  </fills>
  <borders count="256">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rgb="FF95D6D3"/>
      </left>
      <right/>
      <top style="thin">
        <color rgb="FF95D6D3"/>
      </top>
      <bottom/>
      <diagonal/>
    </border>
    <border>
      <left/>
      <right/>
      <top style="thin">
        <color rgb="FF95D6D3"/>
      </top>
      <bottom/>
      <diagonal/>
    </border>
    <border>
      <left/>
      <right style="thin">
        <color rgb="FF95D6D3"/>
      </right>
      <top style="thin">
        <color rgb="FF95D6D3"/>
      </top>
      <bottom/>
      <diagonal/>
    </border>
    <border>
      <left style="thin">
        <color rgb="FF95D6D3"/>
      </left>
      <right/>
      <top/>
      <bottom/>
      <diagonal/>
    </border>
    <border>
      <left/>
      <right style="thin">
        <color rgb="FF95D6D3"/>
      </right>
      <top/>
      <bottom/>
      <diagonal/>
    </border>
    <border>
      <left style="thin">
        <color rgb="FF95D6D3"/>
      </left>
      <right/>
      <top/>
      <bottom style="thin">
        <color rgb="FF95D6D3"/>
      </bottom>
      <diagonal/>
    </border>
    <border>
      <left/>
      <right/>
      <top/>
      <bottom style="thin">
        <color rgb="FF95D6D3"/>
      </bottom>
      <diagonal/>
    </border>
    <border>
      <left/>
      <right style="thin">
        <color rgb="FF95D6D3"/>
      </right>
      <top/>
      <bottom style="thin">
        <color rgb="FF95D6D3"/>
      </bottom>
      <diagonal/>
    </border>
    <border>
      <left style="thin">
        <color indexed="64"/>
      </left>
      <right style="thin">
        <color indexed="64"/>
      </right>
      <top/>
      <bottom/>
      <diagonal/>
    </border>
    <border>
      <left style="thin">
        <color rgb="FF95D6D3"/>
      </left>
      <right/>
      <top style="thin">
        <color rgb="FF95D6D3"/>
      </top>
      <bottom style="thin">
        <color indexed="64"/>
      </bottom>
      <diagonal/>
    </border>
    <border>
      <left/>
      <right/>
      <top style="thin">
        <color rgb="FF95D6D3"/>
      </top>
      <bottom style="thin">
        <color indexed="64"/>
      </bottom>
      <diagonal/>
    </border>
    <border>
      <left/>
      <right style="thin">
        <color rgb="FF95D6D3"/>
      </right>
      <top style="thin">
        <color rgb="FF95D6D3"/>
      </top>
      <bottom style="thin">
        <color indexed="64"/>
      </bottom>
      <diagonal/>
    </border>
    <border>
      <left style="thin">
        <color rgb="FF95D6D3"/>
      </left>
      <right style="thin">
        <color indexed="64"/>
      </right>
      <top style="thin">
        <color indexed="64"/>
      </top>
      <bottom style="thin">
        <color auto="1"/>
      </bottom>
      <diagonal/>
    </border>
    <border>
      <left style="thin">
        <color indexed="64"/>
      </left>
      <right/>
      <top style="thin">
        <color indexed="64"/>
      </top>
      <bottom/>
      <diagonal/>
    </border>
    <border>
      <left style="thin">
        <color indexed="64"/>
      </left>
      <right style="thin">
        <color rgb="FF95D6D3"/>
      </right>
      <top style="thin">
        <color indexed="64"/>
      </top>
      <bottom/>
      <diagonal/>
    </border>
    <border>
      <left style="thin">
        <color indexed="64"/>
      </left>
      <right style="thin">
        <color rgb="FF95D6D3"/>
      </right>
      <top/>
      <bottom/>
      <diagonal/>
    </border>
    <border>
      <left style="thin">
        <color rgb="FF95D6D3"/>
      </left>
      <right style="thin">
        <color indexed="64"/>
      </right>
      <top style="thin">
        <color indexed="64"/>
      </top>
      <bottom style="thin">
        <color rgb="FF95D6D3"/>
      </bottom>
      <diagonal/>
    </border>
    <border>
      <left style="thin">
        <color indexed="64"/>
      </left>
      <right style="thin">
        <color indexed="64"/>
      </right>
      <top style="thin">
        <color indexed="64"/>
      </top>
      <bottom style="thin">
        <color rgb="FF95D6D3"/>
      </bottom>
      <diagonal/>
    </border>
    <border>
      <left style="thin">
        <color indexed="64"/>
      </left>
      <right/>
      <top style="thin">
        <color indexed="64"/>
      </top>
      <bottom style="thin">
        <color rgb="FF95D6D3"/>
      </bottom>
      <diagonal/>
    </border>
    <border>
      <left/>
      <right style="thin">
        <color indexed="64"/>
      </right>
      <top style="thin">
        <color indexed="64"/>
      </top>
      <bottom/>
      <diagonal/>
    </border>
    <border>
      <left style="thin">
        <color indexed="64"/>
      </left>
      <right/>
      <top/>
      <bottom/>
      <diagonal/>
    </border>
  </borders>
  <cellStyleXfs count="12">
    <xf numFmtId="0" fontId="0" fillId="0" borderId="0"/>
    <xf numFmtId="9" fontId="30" fillId="0" borderId="0" applyFont="0" applyFill="0" applyBorder="0" applyAlignment="0" applyProtection="0"/>
    <xf numFmtId="0" fontId="6" fillId="0" borderId="23"/>
    <xf numFmtId="9" fontId="6" fillId="0" borderId="23" applyFont="0" applyFill="0" applyBorder="0" applyAlignment="0" applyProtection="0"/>
    <xf numFmtId="0" fontId="5" fillId="0" borderId="23"/>
    <xf numFmtId="9" fontId="5" fillId="0" borderId="23" applyFont="0" applyFill="0" applyBorder="0" applyAlignment="0" applyProtection="0"/>
    <xf numFmtId="0" fontId="33" fillId="0" borderId="23"/>
    <xf numFmtId="0" fontId="275" fillId="0" borderId="23" applyNumberFormat="0" applyFill="0" applyBorder="0" applyAlignment="0" applyProtection="0"/>
    <xf numFmtId="9" fontId="2" fillId="0" borderId="23" applyFont="0" applyFill="0" applyBorder="0" applyAlignment="0" applyProtection="0"/>
    <xf numFmtId="9" fontId="33" fillId="0" borderId="23" applyFont="0" applyFill="0" applyBorder="0" applyAlignment="0" applyProtection="0"/>
    <xf numFmtId="182" fontId="33" fillId="0" borderId="23" applyFont="0" applyFill="0" applyBorder="0" applyAlignment="0" applyProtection="0"/>
    <xf numFmtId="9" fontId="1" fillId="0" borderId="23" applyFont="0" applyFill="0" applyBorder="0" applyAlignment="0" applyProtection="0"/>
  </cellStyleXfs>
  <cellXfs count="2986">
    <xf numFmtId="0" fontId="0" fillId="0" borderId="0" xfId="0"/>
    <xf numFmtId="0" fontId="8"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1"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Alignment="1">
      <alignment horizontal="center" vertical="center"/>
    </xf>
    <xf numFmtId="0" fontId="11" fillId="0" borderId="0" xfId="0" applyFont="1" applyAlignment="1">
      <alignment horizontal="center" vertical="center"/>
    </xf>
    <xf numFmtId="0" fontId="11" fillId="0" borderId="0" xfId="0" applyFont="1" applyAlignment="1">
      <alignment vertical="center"/>
    </xf>
    <xf numFmtId="0" fontId="21" fillId="0" borderId="0" xfId="0" applyFont="1" applyAlignment="1">
      <alignment vertical="center"/>
    </xf>
    <xf numFmtId="0" fontId="0" fillId="0" borderId="0" xfId="0" applyAlignment="1">
      <alignment vertical="center"/>
    </xf>
    <xf numFmtId="0" fontId="12" fillId="0" borderId="0" xfId="0" applyFont="1" applyAlignment="1">
      <alignment vertical="center"/>
    </xf>
    <xf numFmtId="0" fontId="8"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6" fillId="0" borderId="0" xfId="0" applyFont="1" applyAlignment="1">
      <alignment vertical="center"/>
    </xf>
    <xf numFmtId="0" fontId="7" fillId="0" borderId="0" xfId="0" applyFont="1" applyAlignment="1">
      <alignment vertical="center"/>
    </xf>
    <xf numFmtId="0" fontId="10" fillId="0" borderId="0" xfId="0" applyFont="1" applyAlignment="1">
      <alignment vertical="center"/>
    </xf>
    <xf numFmtId="4" fontId="10" fillId="0" borderId="0" xfId="0" applyNumberFormat="1" applyFont="1" applyAlignment="1">
      <alignment vertical="center"/>
    </xf>
    <xf numFmtId="0" fontId="8" fillId="0" borderId="0" xfId="0" applyFont="1" applyAlignment="1">
      <alignment vertical="center"/>
    </xf>
    <xf numFmtId="0" fontId="10" fillId="0" borderId="0" xfId="0" applyFont="1"/>
    <xf numFmtId="4" fontId="11" fillId="0" borderId="0" xfId="0" applyNumberFormat="1" applyFont="1" applyAlignment="1">
      <alignment vertical="center"/>
    </xf>
    <xf numFmtId="0" fontId="27" fillId="0" borderId="0" xfId="0" applyFont="1" applyAlignment="1">
      <alignment horizontal="center"/>
    </xf>
    <xf numFmtId="168" fontId="8" fillId="0" borderId="0" xfId="0" applyNumberFormat="1" applyFont="1" applyAlignment="1">
      <alignment horizontal="center" vertical="center"/>
    </xf>
    <xf numFmtId="0" fontId="9" fillId="0" borderId="0" xfId="0" applyFont="1" applyAlignment="1">
      <alignment vertical="center"/>
    </xf>
    <xf numFmtId="168" fontId="0" fillId="0" borderId="0" xfId="0" applyNumberFormat="1" applyAlignment="1">
      <alignment horizontal="center" vertical="center"/>
    </xf>
    <xf numFmtId="9" fontId="24" fillId="0" borderId="0" xfId="0" applyNumberFormat="1" applyFont="1" applyAlignment="1">
      <alignment horizontal="center" vertical="center"/>
    </xf>
    <xf numFmtId="167" fontId="8" fillId="0" borderId="0" xfId="0" applyNumberFormat="1" applyFont="1" applyAlignment="1">
      <alignment horizontal="center" vertical="center"/>
    </xf>
    <xf numFmtId="1" fontId="8" fillId="0" borderId="0" xfId="0" applyNumberFormat="1" applyFont="1" applyAlignment="1">
      <alignment vertical="center"/>
    </xf>
    <xf numFmtId="0" fontId="22" fillId="0" borderId="0" xfId="0" applyFont="1" applyAlignment="1">
      <alignment vertical="center"/>
    </xf>
    <xf numFmtId="0" fontId="9" fillId="0" borderId="0" xfId="0" applyFont="1"/>
    <xf numFmtId="9" fontId="24" fillId="0" borderId="0" xfId="0" applyNumberFormat="1" applyFont="1" applyAlignment="1">
      <alignment horizontal="center"/>
    </xf>
    <xf numFmtId="179" fontId="0" fillId="0" borderId="0" xfId="0" applyNumberFormat="1" applyAlignment="1">
      <alignment horizontal="center"/>
    </xf>
    <xf numFmtId="179" fontId="23" fillId="0" borderId="0" xfId="0" applyNumberFormat="1" applyFont="1" applyAlignment="1">
      <alignment horizontal="center"/>
    </xf>
    <xf numFmtId="177" fontId="0" fillId="0" borderId="0" xfId="0" applyNumberFormat="1" applyAlignment="1">
      <alignment horizontal="center"/>
    </xf>
    <xf numFmtId="168" fontId="0" fillId="0" borderId="0" xfId="0" applyNumberFormat="1"/>
    <xf numFmtId="0" fontId="17" fillId="0" borderId="0" xfId="0" applyFont="1"/>
    <xf numFmtId="0" fontId="33"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28" fillId="0" borderId="0" xfId="0" applyFont="1" applyAlignment="1">
      <alignment horizontal="right" vertical="center"/>
    </xf>
    <xf numFmtId="0" fontId="37" fillId="0" borderId="0" xfId="0" applyFont="1"/>
    <xf numFmtId="0" fontId="38" fillId="0" borderId="0" xfId="0" applyFont="1"/>
    <xf numFmtId="0" fontId="39" fillId="0" borderId="0" xfId="0" applyFont="1"/>
    <xf numFmtId="0" fontId="38" fillId="0" borderId="0" xfId="0" applyFont="1" applyAlignment="1">
      <alignment horizontal="right"/>
    </xf>
    <xf numFmtId="0" fontId="37" fillId="0" borderId="0" xfId="0" applyFont="1" applyAlignment="1">
      <alignment horizontal="right"/>
    </xf>
    <xf numFmtId="0" fontId="39" fillId="0" borderId="0" xfId="0" applyFont="1" applyAlignment="1">
      <alignment wrapText="1"/>
    </xf>
    <xf numFmtId="0" fontId="43" fillId="0" borderId="0" xfId="0" applyFont="1"/>
    <xf numFmtId="0" fontId="44" fillId="0" borderId="0" xfId="0" applyFont="1" applyAlignment="1">
      <alignment horizontal="left" vertical="center"/>
    </xf>
    <xf numFmtId="0" fontId="45" fillId="0" borderId="0" xfId="0" applyFont="1" applyAlignment="1">
      <alignment horizontal="left" vertical="center"/>
    </xf>
    <xf numFmtId="0" fontId="46" fillId="0" borderId="0" xfId="0" applyFont="1"/>
    <xf numFmtId="0" fontId="48" fillId="0" borderId="0" xfId="0" applyFont="1"/>
    <xf numFmtId="0" fontId="48" fillId="0" borderId="0" xfId="0" applyFont="1" applyAlignment="1">
      <alignment horizontal="center"/>
    </xf>
    <xf numFmtId="0" fontId="48" fillId="0" borderId="0" xfId="0" applyFont="1" applyAlignment="1">
      <alignment horizontal="right"/>
    </xf>
    <xf numFmtId="0" fontId="50" fillId="0" borderId="0" xfId="0" applyFont="1"/>
    <xf numFmtId="0" fontId="51" fillId="15" borderId="0" xfId="0" applyFont="1" applyFill="1"/>
    <xf numFmtId="0" fontId="48" fillId="15" borderId="0" xfId="0" applyFont="1" applyFill="1"/>
    <xf numFmtId="0" fontId="48" fillId="0" borderId="30" xfId="0" applyFont="1" applyBorder="1"/>
    <xf numFmtId="0" fontId="57" fillId="15" borderId="0" xfId="0" applyFont="1" applyFill="1" applyAlignment="1">
      <alignment vertical="center"/>
    </xf>
    <xf numFmtId="165" fontId="49" fillId="19" borderId="30" xfId="0" applyNumberFormat="1" applyFont="1" applyFill="1" applyBorder="1" applyAlignment="1">
      <alignment horizontal="center" vertical="center"/>
    </xf>
    <xf numFmtId="165" fontId="48" fillId="3" borderId="30" xfId="0" applyNumberFormat="1" applyFont="1" applyFill="1" applyBorder="1" applyAlignment="1">
      <alignment horizontal="center" vertical="center"/>
    </xf>
    <xf numFmtId="165" fontId="49" fillId="3" borderId="30" xfId="0" applyNumberFormat="1" applyFont="1" applyFill="1" applyBorder="1" applyAlignment="1">
      <alignment horizontal="center" vertical="center"/>
    </xf>
    <xf numFmtId="4" fontId="49" fillId="19" borderId="30"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9" fillId="0" borderId="30" xfId="0" applyNumberFormat="1" applyFont="1" applyBorder="1" applyAlignment="1">
      <alignment horizontal="center" vertical="center"/>
    </xf>
    <xf numFmtId="0" fontId="59" fillId="15" borderId="0" xfId="0" applyFont="1" applyFill="1" applyAlignment="1">
      <alignment vertical="center"/>
    </xf>
    <xf numFmtId="165" fontId="48" fillId="2" borderId="30" xfId="0" applyNumberFormat="1" applyFont="1" applyFill="1" applyBorder="1" applyAlignment="1" applyProtection="1">
      <alignment horizontal="center" vertical="center"/>
      <protection locked="0"/>
    </xf>
    <xf numFmtId="4" fontId="48" fillId="0" borderId="30" xfId="0" applyNumberFormat="1" applyFont="1" applyBorder="1"/>
    <xf numFmtId="4" fontId="48" fillId="19" borderId="30" xfId="0" applyNumberFormat="1" applyFont="1" applyFill="1" applyBorder="1" applyAlignment="1">
      <alignment horizontal="center"/>
    </xf>
    <xf numFmtId="0" fontId="40" fillId="0" borderId="0" xfId="0" applyFont="1"/>
    <xf numFmtId="4" fontId="46" fillId="0" borderId="0" xfId="0" applyNumberFormat="1" applyFont="1" applyAlignment="1">
      <alignment horizontal="center"/>
    </xf>
    <xf numFmtId="0" fontId="46" fillId="0" borderId="0" xfId="0" applyFont="1" applyAlignment="1">
      <alignment horizontal="center" vertical="center"/>
    </xf>
    <xf numFmtId="4" fontId="46" fillId="0" borderId="0" xfId="0" applyNumberFormat="1" applyFont="1" applyAlignment="1">
      <alignment horizontal="center" vertical="center"/>
    </xf>
    <xf numFmtId="0" fontId="74" fillId="15" borderId="0" xfId="0" applyFont="1" applyFill="1" applyAlignment="1">
      <alignment vertical="center"/>
    </xf>
    <xf numFmtId="0" fontId="73" fillId="15" borderId="0" xfId="0" applyFont="1" applyFill="1" applyAlignment="1">
      <alignment horizontal="left" vertical="center"/>
    </xf>
    <xf numFmtId="0" fontId="74" fillId="15" borderId="0" xfId="0" applyFont="1" applyFill="1" applyAlignment="1">
      <alignment horizontal="center" vertical="center"/>
    </xf>
    <xf numFmtId="0" fontId="58" fillId="0" borderId="0" xfId="0" applyFont="1" applyAlignment="1">
      <alignment horizontal="right"/>
    </xf>
    <xf numFmtId="0" fontId="58" fillId="0" borderId="0" xfId="0" applyFont="1" applyAlignment="1">
      <alignment horizontal="right" vertical="center"/>
    </xf>
    <xf numFmtId="4" fontId="48" fillId="4" borderId="32" xfId="0" applyNumberFormat="1" applyFont="1" applyFill="1" applyBorder="1" applyAlignment="1">
      <alignment horizontal="center" vertical="center"/>
    </xf>
    <xf numFmtId="4" fontId="48" fillId="3" borderId="32" xfId="0" applyNumberFormat="1" applyFont="1" applyFill="1" applyBorder="1" applyAlignment="1">
      <alignment horizontal="center" vertical="center"/>
    </xf>
    <xf numFmtId="4" fontId="49" fillId="4" borderId="32" xfId="0" applyNumberFormat="1" applyFont="1" applyFill="1" applyBorder="1" applyAlignment="1">
      <alignment horizontal="center" vertical="center"/>
    </xf>
    <xf numFmtId="0" fontId="77" fillId="0" borderId="30" xfId="0" applyFont="1" applyBorder="1" applyAlignment="1">
      <alignment horizontal="right" vertical="center"/>
    </xf>
    <xf numFmtId="0" fontId="58" fillId="0" borderId="30" xfId="0" applyFont="1" applyBorder="1" applyAlignment="1">
      <alignment horizontal="right" vertical="center"/>
    </xf>
    <xf numFmtId="0" fontId="58" fillId="0" borderId="0" xfId="0" applyFont="1" applyAlignment="1">
      <alignment vertical="center"/>
    </xf>
    <xf numFmtId="0" fontId="48" fillId="0" borderId="0" xfId="0" applyFont="1" applyAlignment="1">
      <alignment vertical="center"/>
    </xf>
    <xf numFmtId="4" fontId="48" fillId="5" borderId="30" xfId="0" applyNumberFormat="1" applyFont="1" applyFill="1" applyBorder="1" applyAlignment="1">
      <alignment horizontal="center" vertical="center"/>
    </xf>
    <xf numFmtId="4" fontId="48" fillId="3" borderId="30" xfId="0" applyNumberFormat="1" applyFont="1" applyFill="1" applyBorder="1" applyAlignment="1">
      <alignment horizontal="center" vertical="center"/>
    </xf>
    <xf numFmtId="0" fontId="60" fillId="16" borderId="29" xfId="0" applyFont="1" applyFill="1" applyBorder="1" applyAlignment="1">
      <alignment vertical="center"/>
    </xf>
    <xf numFmtId="0" fontId="48" fillId="0" borderId="31" xfId="0" applyFont="1" applyBorder="1" applyAlignment="1">
      <alignment vertical="center"/>
    </xf>
    <xf numFmtId="0" fontId="58" fillId="0" borderId="28" xfId="0" applyFont="1" applyBorder="1" applyAlignment="1">
      <alignment horizontal="right" vertical="center"/>
    </xf>
    <xf numFmtId="0" fontId="60" fillId="16" borderId="28" xfId="0" applyFont="1" applyFill="1" applyBorder="1" applyAlignment="1">
      <alignment vertical="center"/>
    </xf>
    <xf numFmtId="0" fontId="60" fillId="16" borderId="35" xfId="0" applyFont="1" applyFill="1" applyBorder="1" applyAlignment="1">
      <alignment vertical="center"/>
    </xf>
    <xf numFmtId="0" fontId="60" fillId="16" borderId="35" xfId="0" applyFont="1" applyFill="1" applyBorder="1" applyAlignment="1">
      <alignment horizontal="right" vertical="center"/>
    </xf>
    <xf numFmtId="0" fontId="48" fillId="3" borderId="30" xfId="0" applyFont="1" applyFill="1" applyBorder="1" applyAlignment="1" applyProtection="1">
      <alignment horizontal="center" vertical="center"/>
      <protection locked="0"/>
    </xf>
    <xf numFmtId="165" fontId="48" fillId="3" borderId="30" xfId="0" applyNumberFormat="1" applyFont="1" applyFill="1" applyBorder="1" applyAlignment="1" applyProtection="1">
      <alignment horizontal="center" vertical="center"/>
      <protection locked="0"/>
    </xf>
    <xf numFmtId="0" fontId="48" fillId="0" borderId="30" xfId="0" applyFont="1" applyBorder="1" applyAlignment="1">
      <alignment vertical="center"/>
    </xf>
    <xf numFmtId="0" fontId="66" fillId="5" borderId="30" xfId="0" applyFont="1" applyFill="1" applyBorder="1" applyAlignment="1">
      <alignment horizontal="center" vertical="center"/>
    </xf>
    <xf numFmtId="0" fontId="66" fillId="5" borderId="30" xfId="0" applyFont="1" applyFill="1" applyBorder="1" applyAlignment="1">
      <alignment horizontal="center" vertical="center" wrapText="1"/>
    </xf>
    <xf numFmtId="4" fontId="42" fillId="3" borderId="30" xfId="0" applyNumberFormat="1" applyFont="1" applyFill="1" applyBorder="1" applyAlignment="1">
      <alignment horizontal="center" vertical="center"/>
    </xf>
    <xf numFmtId="0" fontId="40" fillId="3" borderId="28" xfId="0" applyFont="1" applyFill="1" applyBorder="1" applyAlignment="1">
      <alignment horizontal="center" vertical="center"/>
    </xf>
    <xf numFmtId="0" fontId="40" fillId="3" borderId="28" xfId="0" applyFont="1" applyFill="1" applyBorder="1" applyAlignment="1">
      <alignment horizontal="center" vertical="center" wrapText="1"/>
    </xf>
    <xf numFmtId="0" fontId="77" fillId="0" borderId="28" xfId="0" applyFont="1" applyBorder="1" applyAlignment="1">
      <alignment horizontal="right" vertical="center"/>
    </xf>
    <xf numFmtId="0" fontId="42" fillId="0" borderId="28" xfId="0" applyFont="1" applyBorder="1" applyAlignment="1">
      <alignment vertical="center"/>
    </xf>
    <xf numFmtId="4" fontId="67" fillId="5" borderId="30" xfId="0" applyNumberFormat="1" applyFont="1" applyFill="1" applyBorder="1" applyAlignment="1">
      <alignment horizontal="center" vertical="center"/>
    </xf>
    <xf numFmtId="4" fontId="46" fillId="3" borderId="28" xfId="0" applyNumberFormat="1" applyFont="1" applyFill="1" applyBorder="1" applyAlignment="1">
      <alignment horizontal="center" vertical="center"/>
    </xf>
    <xf numFmtId="4" fontId="64" fillId="5" borderId="30" xfId="0" applyNumberFormat="1" applyFont="1" applyFill="1" applyBorder="1" applyAlignment="1">
      <alignment horizontal="center" vertical="center"/>
    </xf>
    <xf numFmtId="0" fontId="46" fillId="0" borderId="0" xfId="0" applyFont="1" applyAlignment="1">
      <alignment vertical="center"/>
    </xf>
    <xf numFmtId="0" fontId="40" fillId="0" borderId="0" xfId="0" applyFont="1" applyAlignment="1">
      <alignment horizontal="right" vertical="center"/>
    </xf>
    <xf numFmtId="0" fontId="81" fillId="16" borderId="28" xfId="0" applyFont="1" applyFill="1" applyBorder="1" applyAlignment="1">
      <alignment horizontal="right" vertical="center"/>
    </xf>
    <xf numFmtId="0" fontId="46" fillId="0" borderId="0" xfId="0" applyFont="1" applyAlignment="1">
      <alignment horizontal="right" vertical="center"/>
    </xf>
    <xf numFmtId="0" fontId="46" fillId="0" borderId="30" xfId="0" applyFont="1" applyBorder="1" applyAlignment="1">
      <alignment vertical="center"/>
    </xf>
    <xf numFmtId="165" fontId="42" fillId="3" borderId="30" xfId="0" applyNumberFormat="1" applyFont="1" applyFill="1" applyBorder="1" applyAlignment="1" applyProtection="1">
      <alignment horizontal="center" vertical="center"/>
      <protection locked="0"/>
    </xf>
    <xf numFmtId="0" fontId="42" fillId="0" borderId="0" xfId="0" applyFont="1" applyAlignment="1">
      <alignment vertical="center"/>
    </xf>
    <xf numFmtId="1" fontId="46" fillId="2" borderId="30" xfId="0" applyNumberFormat="1" applyFont="1" applyFill="1" applyBorder="1" applyAlignment="1" applyProtection="1">
      <alignment horizontal="center" vertical="center"/>
      <protection locked="0"/>
    </xf>
    <xf numFmtId="4" fontId="48" fillId="3" borderId="30" xfId="0" applyNumberFormat="1" applyFont="1" applyFill="1" applyBorder="1" applyAlignment="1">
      <alignment vertical="center"/>
    </xf>
    <xf numFmtId="4" fontId="49" fillId="20" borderId="30" xfId="0" applyNumberFormat="1" applyFont="1" applyFill="1" applyBorder="1" applyAlignment="1">
      <alignment horizontal="center" vertical="center"/>
    </xf>
    <xf numFmtId="0" fontId="83" fillId="16" borderId="28" xfId="0" applyFont="1" applyFill="1" applyBorder="1" applyAlignment="1">
      <alignment horizontal="right" vertical="center"/>
    </xf>
    <xf numFmtId="4" fontId="85" fillId="5" borderId="30" xfId="0" applyNumberFormat="1" applyFont="1" applyFill="1" applyBorder="1" applyAlignment="1">
      <alignment horizontal="center" vertical="center"/>
    </xf>
    <xf numFmtId="4" fontId="48" fillId="19" borderId="4" xfId="0" applyNumberFormat="1" applyFont="1" applyFill="1" applyBorder="1" applyAlignment="1">
      <alignment horizontal="center" vertical="center"/>
    </xf>
    <xf numFmtId="164" fontId="37" fillId="3" borderId="4" xfId="0" applyNumberFormat="1" applyFont="1" applyFill="1" applyBorder="1" applyAlignment="1">
      <alignment horizontal="center" vertical="center"/>
    </xf>
    <xf numFmtId="4" fontId="37" fillId="5" borderId="5" xfId="0" applyNumberFormat="1" applyFont="1" applyFill="1" applyBorder="1" applyAlignment="1">
      <alignment vertical="center"/>
    </xf>
    <xf numFmtId="0" fontId="37" fillId="5" borderId="5" xfId="0" applyFont="1" applyFill="1" applyBorder="1" applyAlignment="1">
      <alignment horizontal="center" vertical="center"/>
    </xf>
    <xf numFmtId="164" fontId="39" fillId="3" borderId="4" xfId="0" applyNumberFormat="1" applyFont="1" applyFill="1" applyBorder="1" applyAlignment="1">
      <alignment horizontal="center" vertical="center"/>
    </xf>
    <xf numFmtId="164" fontId="37" fillId="5" borderId="5" xfId="0" applyNumberFormat="1" applyFont="1" applyFill="1" applyBorder="1" applyAlignment="1">
      <alignment horizontal="center" vertical="center"/>
    </xf>
    <xf numFmtId="165" fontId="38" fillId="5" borderId="5" xfId="0" applyNumberFormat="1" applyFont="1" applyFill="1" applyBorder="1" applyAlignment="1">
      <alignment horizontal="center" vertical="center"/>
    </xf>
    <xf numFmtId="0" fontId="37" fillId="0" borderId="0" xfId="0" applyFont="1" applyAlignment="1">
      <alignment vertical="center"/>
    </xf>
    <xf numFmtId="0" fontId="38" fillId="0" borderId="0" xfId="0" applyFont="1" applyAlignment="1">
      <alignment vertical="center"/>
    </xf>
    <xf numFmtId="0" fontId="37" fillId="5" borderId="5" xfId="0" applyFont="1" applyFill="1" applyBorder="1" applyAlignment="1">
      <alignment vertical="center"/>
    </xf>
    <xf numFmtId="0" fontId="38" fillId="5" borderId="19" xfId="0" applyFont="1" applyFill="1" applyBorder="1" applyAlignment="1">
      <alignment horizontal="center" vertical="center"/>
    </xf>
    <xf numFmtId="0" fontId="38" fillId="5" borderId="5" xfId="0" applyFont="1" applyFill="1" applyBorder="1" applyAlignment="1">
      <alignment horizontal="center" vertical="center"/>
    </xf>
    <xf numFmtId="0" fontId="38" fillId="5" borderId="20" xfId="0" applyFont="1" applyFill="1" applyBorder="1" applyAlignment="1">
      <alignment horizontal="center" vertical="center"/>
    </xf>
    <xf numFmtId="0" fontId="37" fillId="0" borderId="23" xfId="0" applyFont="1" applyBorder="1" applyAlignment="1">
      <alignment vertical="center"/>
    </xf>
    <xf numFmtId="0" fontId="37" fillId="5" borderId="19" xfId="0" applyFont="1" applyFill="1" applyBorder="1" applyAlignment="1">
      <alignment vertical="center"/>
    </xf>
    <xf numFmtId="0" fontId="37" fillId="5" borderId="20" xfId="0" applyFont="1" applyFill="1" applyBorder="1" applyAlignment="1">
      <alignment vertical="center"/>
    </xf>
    <xf numFmtId="0" fontId="37" fillId="0" borderId="23" xfId="0" applyFont="1" applyBorder="1" applyAlignment="1">
      <alignment horizontal="right" vertical="center"/>
    </xf>
    <xf numFmtId="0" fontId="37" fillId="0" borderId="23" xfId="0" applyFont="1" applyBorder="1" applyAlignment="1">
      <alignment horizontal="center" vertical="center"/>
    </xf>
    <xf numFmtId="0" fontId="38" fillId="0" borderId="23" xfId="0" applyFont="1" applyBorder="1" applyAlignment="1">
      <alignment vertical="center"/>
    </xf>
    <xf numFmtId="4" fontId="38" fillId="0" borderId="0" xfId="0" applyNumberFormat="1" applyFont="1" applyAlignment="1">
      <alignment vertical="center"/>
    </xf>
    <xf numFmtId="2" fontId="37" fillId="0" borderId="23" xfId="0" applyNumberFormat="1" applyFont="1" applyBorder="1" applyAlignment="1">
      <alignment vertical="center"/>
    </xf>
    <xf numFmtId="4" fontId="37" fillId="0" borderId="23" xfId="0" applyNumberFormat="1" applyFont="1" applyBorder="1" applyAlignment="1">
      <alignment vertical="center"/>
    </xf>
    <xf numFmtId="2" fontId="37" fillId="5" borderId="5" xfId="0" applyNumberFormat="1" applyFont="1" applyFill="1" applyBorder="1" applyAlignment="1">
      <alignment vertical="center"/>
    </xf>
    <xf numFmtId="4" fontId="37" fillId="0" borderId="0" xfId="0" applyNumberFormat="1" applyFont="1" applyAlignment="1">
      <alignment vertical="center"/>
    </xf>
    <xf numFmtId="0" fontId="37" fillId="0" borderId="0" xfId="0" applyFont="1" applyAlignment="1">
      <alignment horizontal="right" vertical="center"/>
    </xf>
    <xf numFmtId="0" fontId="37" fillId="0" borderId="0" xfId="0" applyFont="1" applyAlignment="1">
      <alignment horizontal="center" vertical="center"/>
    </xf>
    <xf numFmtId="2" fontId="37" fillId="0" borderId="0" xfId="0" applyNumberFormat="1" applyFont="1" applyAlignment="1">
      <alignment vertical="center"/>
    </xf>
    <xf numFmtId="0" fontId="90" fillId="5" borderId="5" xfId="0" applyFont="1" applyFill="1" applyBorder="1" applyAlignment="1">
      <alignment vertical="center"/>
    </xf>
    <xf numFmtId="164" fontId="37" fillId="0" borderId="0" xfId="0" applyNumberFormat="1" applyFont="1" applyAlignment="1">
      <alignment horizontal="right" vertical="center"/>
    </xf>
    <xf numFmtId="0" fontId="39" fillId="5" borderId="5" xfId="0" applyFont="1" applyFill="1" applyBorder="1" applyAlignment="1">
      <alignment vertical="center"/>
    </xf>
    <xf numFmtId="0" fontId="39" fillId="5" borderId="5" xfId="0" applyFont="1" applyFill="1" applyBorder="1" applyAlignment="1">
      <alignment horizontal="right" vertical="center"/>
    </xf>
    <xf numFmtId="3" fontId="37" fillId="5" borderId="5" xfId="0" applyNumberFormat="1" applyFont="1" applyFill="1" applyBorder="1" applyAlignment="1">
      <alignment vertical="center"/>
    </xf>
    <xf numFmtId="167" fontId="37" fillId="0" borderId="0" xfId="0" applyNumberFormat="1" applyFont="1" applyAlignment="1">
      <alignment vertical="center"/>
    </xf>
    <xf numFmtId="0" fontId="37" fillId="5" borderId="24" xfId="0" applyFont="1" applyFill="1" applyBorder="1" applyAlignment="1">
      <alignment vertical="center"/>
    </xf>
    <xf numFmtId="0" fontId="37" fillId="5" borderId="25" xfId="0" applyFont="1" applyFill="1" applyBorder="1" applyAlignment="1">
      <alignment vertical="center"/>
    </xf>
    <xf numFmtId="0" fontId="39" fillId="5" borderId="25" xfId="0" applyFont="1" applyFill="1" applyBorder="1" applyAlignment="1">
      <alignment vertical="center"/>
    </xf>
    <xf numFmtId="0" fontId="37" fillId="5" borderId="26" xfId="0" applyFont="1" applyFill="1" applyBorder="1" applyAlignment="1">
      <alignment vertical="center"/>
    </xf>
    <xf numFmtId="0" fontId="60" fillId="16" borderId="31" xfId="0" applyFont="1" applyFill="1" applyBorder="1" applyAlignment="1">
      <alignment vertical="center"/>
    </xf>
    <xf numFmtId="0" fontId="60" fillId="16" borderId="30" xfId="0" applyFont="1" applyFill="1" applyBorder="1" applyAlignment="1">
      <alignment vertical="center"/>
    </xf>
    <xf numFmtId="164" fontId="48" fillId="21" borderId="23" xfId="0" applyNumberFormat="1" applyFont="1" applyFill="1" applyBorder="1" applyAlignment="1" applyProtection="1">
      <alignment horizontal="center" vertical="center"/>
      <protection locked="0"/>
    </xf>
    <xf numFmtId="4" fontId="49" fillId="19" borderId="32" xfId="0" applyNumberFormat="1" applyFont="1" applyFill="1" applyBorder="1" applyAlignment="1">
      <alignment horizontal="center" vertical="center"/>
    </xf>
    <xf numFmtId="4" fontId="46" fillId="19" borderId="30" xfId="0" applyNumberFormat="1" applyFont="1" applyFill="1" applyBorder="1" applyAlignment="1">
      <alignment horizontal="center" vertical="center"/>
    </xf>
    <xf numFmtId="165" fontId="42" fillId="19" borderId="30" xfId="0" applyNumberFormat="1" applyFont="1" applyFill="1" applyBorder="1" applyAlignment="1">
      <alignment horizontal="center" vertical="center"/>
    </xf>
    <xf numFmtId="3" fontId="46" fillId="19" borderId="30" xfId="0" applyNumberFormat="1" applyFont="1" applyFill="1" applyBorder="1" applyAlignment="1">
      <alignment horizontal="center" vertical="center"/>
    </xf>
    <xf numFmtId="0" fontId="92" fillId="15" borderId="0" xfId="0" applyFont="1" applyFill="1" applyAlignment="1">
      <alignment vertical="center"/>
    </xf>
    <xf numFmtId="0" fontId="57" fillId="15" borderId="0" xfId="0" applyFont="1" applyFill="1" applyAlignment="1">
      <alignment horizontal="left" vertical="center"/>
    </xf>
    <xf numFmtId="0" fontId="39" fillId="15" borderId="0" xfId="0" applyFont="1" applyFill="1" applyAlignment="1">
      <alignment vertical="center"/>
    </xf>
    <xf numFmtId="0" fontId="39" fillId="0" borderId="0" xfId="0" applyFont="1" applyAlignment="1">
      <alignment vertical="center"/>
    </xf>
    <xf numFmtId="0" fontId="62" fillId="0" borderId="0" xfId="0" applyFont="1" applyAlignment="1">
      <alignment horizontal="right" vertical="center"/>
    </xf>
    <xf numFmtId="0" fontId="93" fillId="0" borderId="0" xfId="0" applyFont="1" applyAlignment="1">
      <alignment vertical="center"/>
    </xf>
    <xf numFmtId="165" fontId="46" fillId="27" borderId="30" xfId="0" applyNumberFormat="1" applyFont="1" applyFill="1" applyBorder="1" applyAlignment="1" applyProtection="1">
      <alignment horizontal="center" vertical="center"/>
      <protection locked="0"/>
    </xf>
    <xf numFmtId="0" fontId="99" fillId="16" borderId="31" xfId="0" applyFont="1" applyFill="1" applyBorder="1" applyAlignment="1">
      <alignment vertical="center"/>
    </xf>
    <xf numFmtId="0" fontId="60" fillId="16" borderId="0" xfId="0" applyFont="1" applyFill="1" applyAlignment="1">
      <alignment horizontal="left" vertical="center"/>
    </xf>
    <xf numFmtId="165" fontId="94" fillId="3" borderId="23" xfId="0" applyNumberFormat="1" applyFont="1" applyFill="1" applyBorder="1" applyAlignment="1">
      <alignment horizontal="right" vertical="center"/>
    </xf>
    <xf numFmtId="165" fontId="94" fillId="27" borderId="30" xfId="0" applyNumberFormat="1" applyFont="1" applyFill="1" applyBorder="1" applyAlignment="1" applyProtection="1">
      <alignment horizontal="center" vertical="center"/>
      <protection locked="0"/>
    </xf>
    <xf numFmtId="165" fontId="103" fillId="3" borderId="30" xfId="0" applyNumberFormat="1" applyFont="1" applyFill="1" applyBorder="1" applyAlignment="1">
      <alignment horizontal="center" vertical="center"/>
    </xf>
    <xf numFmtId="164" fontId="93" fillId="27" borderId="30" xfId="0" applyNumberFormat="1" applyFont="1" applyFill="1" applyBorder="1" applyAlignment="1" applyProtection="1">
      <alignment horizontal="center" vertical="center"/>
      <protection locked="0"/>
    </xf>
    <xf numFmtId="4" fontId="94" fillId="27" borderId="30" xfId="0" applyNumberFormat="1" applyFont="1" applyFill="1" applyBorder="1" applyAlignment="1" applyProtection="1">
      <alignment horizontal="center" vertical="center"/>
      <protection locked="0"/>
    </xf>
    <xf numFmtId="0" fontId="40" fillId="5" borderId="5" xfId="0" applyFont="1" applyFill="1" applyBorder="1" applyAlignment="1">
      <alignment vertical="center"/>
    </xf>
    <xf numFmtId="0" fontId="40" fillId="5" borderId="5" xfId="0" applyFont="1" applyFill="1" applyBorder="1" applyAlignment="1">
      <alignment horizontal="right" vertical="center"/>
    </xf>
    <xf numFmtId="0" fontId="40" fillId="16" borderId="30" xfId="0" applyFont="1" applyFill="1" applyBorder="1" applyAlignment="1">
      <alignment horizontal="center" vertical="center"/>
    </xf>
    <xf numFmtId="4" fontId="40" fillId="16" borderId="31" xfId="0" applyNumberFormat="1" applyFont="1" applyFill="1" applyBorder="1" applyAlignment="1">
      <alignment horizontal="center" vertical="center"/>
    </xf>
    <xf numFmtId="4" fontId="46" fillId="0" borderId="30" xfId="0" applyNumberFormat="1" applyFont="1" applyBorder="1" applyAlignment="1">
      <alignment horizontal="center" vertical="center"/>
    </xf>
    <xf numFmtId="4" fontId="46" fillId="16" borderId="30" xfId="0" applyNumberFormat="1" applyFont="1" applyFill="1" applyBorder="1" applyAlignment="1">
      <alignment horizontal="center" vertical="center"/>
    </xf>
    <xf numFmtId="0" fontId="47" fillId="16" borderId="29" xfId="0" applyFont="1" applyFill="1" applyBorder="1" applyAlignment="1">
      <alignment horizontal="center" vertical="center"/>
    </xf>
    <xf numFmtId="0" fontId="62" fillId="0" borderId="30" xfId="0" applyFont="1" applyBorder="1" applyAlignment="1">
      <alignment horizontal="center" vertical="center"/>
    </xf>
    <xf numFmtId="0" fontId="42" fillId="0" borderId="30" xfId="0" applyFont="1" applyBorder="1" applyAlignment="1">
      <alignment horizontal="left" vertical="center"/>
    </xf>
    <xf numFmtId="4" fontId="40" fillId="0" borderId="23" xfId="0" applyNumberFormat="1" applyFont="1" applyBorder="1" applyAlignment="1">
      <alignment horizontal="center" vertical="center"/>
    </xf>
    <xf numFmtId="4" fontId="46" fillId="0" borderId="23" xfId="0" applyNumberFormat="1" applyFont="1" applyBorder="1" applyAlignment="1">
      <alignment horizontal="center" vertical="center"/>
    </xf>
    <xf numFmtId="4" fontId="40" fillId="0" borderId="0" xfId="0" applyNumberFormat="1" applyFont="1" applyAlignment="1">
      <alignment horizontal="center" vertical="center"/>
    </xf>
    <xf numFmtId="4" fontId="46" fillId="0" borderId="0" xfId="0" applyNumberFormat="1" applyFont="1" applyAlignment="1">
      <alignment horizontal="right"/>
    </xf>
    <xf numFmtId="0" fontId="46" fillId="0" borderId="0" xfId="0" applyFont="1" applyAlignment="1">
      <alignment horizontal="center"/>
    </xf>
    <xf numFmtId="0" fontId="58" fillId="0" borderId="30" xfId="0" applyFont="1" applyBorder="1" applyAlignment="1">
      <alignment horizontal="left" vertical="center"/>
    </xf>
    <xf numFmtId="2" fontId="99" fillId="16" borderId="30" xfId="0" applyNumberFormat="1" applyFont="1" applyFill="1" applyBorder="1" applyAlignment="1">
      <alignment horizontal="center" vertical="center"/>
    </xf>
    <xf numFmtId="4" fontId="99" fillId="16" borderId="30" xfId="0" applyNumberFormat="1" applyFont="1" applyFill="1" applyBorder="1" applyAlignment="1">
      <alignment horizontal="center" vertical="center"/>
    </xf>
    <xf numFmtId="0" fontId="58" fillId="0" borderId="30" xfId="0" applyFont="1" applyBorder="1" applyAlignment="1">
      <alignment vertical="center" wrapText="1"/>
    </xf>
    <xf numFmtId="0" fontId="109" fillId="0" borderId="0" xfId="0" applyFont="1"/>
    <xf numFmtId="2" fontId="110" fillId="0" borderId="0" xfId="0" applyNumberFormat="1" applyFont="1"/>
    <xf numFmtId="4" fontId="46" fillId="3" borderId="30" xfId="0" applyNumberFormat="1" applyFont="1" applyFill="1" applyBorder="1" applyAlignment="1">
      <alignment horizontal="center" vertical="center"/>
    </xf>
    <xf numFmtId="4" fontId="47" fillId="16" borderId="30" xfId="0" applyNumberFormat="1" applyFont="1" applyFill="1" applyBorder="1" applyAlignment="1">
      <alignment horizontal="center" vertical="center"/>
    </xf>
    <xf numFmtId="4" fontId="47" fillId="20" borderId="30" xfId="0" applyNumberFormat="1" applyFont="1" applyFill="1" applyBorder="1" applyAlignment="1">
      <alignment horizontal="center" vertical="center"/>
    </xf>
    <xf numFmtId="4" fontId="99" fillId="20" borderId="30" xfId="0" applyNumberFormat="1" applyFont="1" applyFill="1" applyBorder="1" applyAlignment="1">
      <alignment horizontal="center" vertical="center"/>
    </xf>
    <xf numFmtId="0" fontId="42" fillId="0" borderId="0" xfId="0" applyFont="1" applyAlignment="1">
      <alignment horizontal="center" vertical="center"/>
    </xf>
    <xf numFmtId="0" fontId="58" fillId="0" borderId="0" xfId="0" applyFont="1" applyAlignment="1">
      <alignment horizontal="center" vertical="center"/>
    </xf>
    <xf numFmtId="0" fontId="49" fillId="16" borderId="30" xfId="0" applyFont="1" applyFill="1" applyBorder="1" applyAlignment="1">
      <alignment vertical="center"/>
    </xf>
    <xf numFmtId="4" fontId="48" fillId="0" borderId="30" xfId="0" applyNumberFormat="1" applyFont="1" applyBorder="1" applyAlignment="1">
      <alignment horizontal="center" vertical="center"/>
    </xf>
    <xf numFmtId="0" fontId="48" fillId="0" borderId="30" xfId="0" applyFont="1" applyBorder="1" applyAlignment="1">
      <alignment horizontal="center" vertical="center"/>
    </xf>
    <xf numFmtId="165" fontId="48" fillId="0" borderId="30" xfId="0" applyNumberFormat="1" applyFont="1" applyBorder="1" applyAlignment="1">
      <alignment horizontal="center" vertical="center"/>
    </xf>
    <xf numFmtId="0" fontId="47" fillId="16" borderId="29" xfId="0" applyFont="1" applyFill="1" applyBorder="1" applyAlignment="1">
      <alignment vertical="center"/>
    </xf>
    <xf numFmtId="0" fontId="47" fillId="16" borderId="31" xfId="0" applyFont="1" applyFill="1" applyBorder="1" applyAlignment="1">
      <alignment vertical="center"/>
    </xf>
    <xf numFmtId="0" fontId="46" fillId="0" borderId="0" xfId="0" applyFont="1" applyAlignment="1">
      <alignment horizontal="left" vertical="center"/>
    </xf>
    <xf numFmtId="0" fontId="86" fillId="0" borderId="0" xfId="0" applyFont="1" applyAlignment="1">
      <alignment vertical="center"/>
    </xf>
    <xf numFmtId="0" fontId="42" fillId="0" borderId="0" xfId="0" applyFont="1"/>
    <xf numFmtId="3" fontId="40" fillId="0" borderId="30" xfId="0" applyNumberFormat="1" applyFont="1" applyBorder="1" applyAlignment="1">
      <alignment horizontal="center" vertical="center"/>
    </xf>
    <xf numFmtId="3" fontId="46" fillId="0" borderId="30" xfId="0" applyNumberFormat="1" applyFont="1" applyBorder="1" applyAlignment="1">
      <alignment horizontal="center" vertical="center"/>
    </xf>
    <xf numFmtId="3" fontId="62" fillId="0" borderId="30" xfId="0" applyNumberFormat="1" applyFont="1" applyBorder="1" applyAlignment="1">
      <alignment horizontal="center" vertical="center"/>
    </xf>
    <xf numFmtId="0" fontId="40" fillId="19" borderId="30" xfId="0" applyFont="1" applyFill="1" applyBorder="1" applyAlignment="1">
      <alignment horizontal="center" vertical="center"/>
    </xf>
    <xf numFmtId="0" fontId="62" fillId="0" borderId="0" xfId="0" applyFont="1" applyAlignment="1">
      <alignment horizontal="center"/>
    </xf>
    <xf numFmtId="168" fontId="42" fillId="0" borderId="0" xfId="0" applyNumberFormat="1" applyFont="1" applyAlignment="1">
      <alignment horizontal="center" vertical="center"/>
    </xf>
    <xf numFmtId="0" fontId="40" fillId="0" borderId="0" xfId="0" applyFont="1" applyAlignment="1">
      <alignment vertical="center"/>
    </xf>
    <xf numFmtId="168" fontId="46" fillId="0" borderId="0" xfId="0" applyNumberFormat="1" applyFont="1" applyAlignment="1">
      <alignment horizontal="center" vertical="center"/>
    </xf>
    <xf numFmtId="168" fontId="42" fillId="0" borderId="30" xfId="0" applyNumberFormat="1" applyFont="1" applyBorder="1" applyAlignment="1">
      <alignment horizontal="center" vertical="center"/>
    </xf>
    <xf numFmtId="0" fontId="42" fillId="3" borderId="30" xfId="0" applyFont="1" applyFill="1" applyBorder="1" applyAlignment="1">
      <alignment horizontal="center" vertical="center"/>
    </xf>
    <xf numFmtId="9" fontId="40" fillId="2" borderId="30" xfId="0" applyNumberFormat="1" applyFont="1" applyFill="1" applyBorder="1" applyAlignment="1" applyProtection="1">
      <alignment horizontal="center" vertical="center"/>
      <protection locked="0"/>
    </xf>
    <xf numFmtId="0" fontId="46" fillId="0" borderId="31" xfId="0" applyFont="1" applyBorder="1" applyAlignment="1">
      <alignment vertical="center"/>
    </xf>
    <xf numFmtId="9" fontId="46" fillId="0" borderId="30" xfId="0" applyNumberFormat="1" applyFont="1" applyBorder="1" applyAlignment="1">
      <alignment horizontal="center" vertical="center"/>
    </xf>
    <xf numFmtId="168" fontId="62" fillId="0" borderId="30" xfId="0" applyNumberFormat="1" applyFont="1" applyBorder="1" applyAlignment="1">
      <alignment horizontal="center" vertical="center"/>
    </xf>
    <xf numFmtId="0" fontId="62" fillId="0" borderId="30" xfId="0" applyFont="1" applyBorder="1" applyAlignment="1">
      <alignment horizontal="right" vertical="center"/>
    </xf>
    <xf numFmtId="167" fontId="42" fillId="0" borderId="30" xfId="0" applyNumberFormat="1" applyFont="1" applyBorder="1" applyAlignment="1">
      <alignment horizontal="center" vertical="center"/>
    </xf>
    <xf numFmtId="168" fontId="113" fillId="0" borderId="30" xfId="0" applyNumberFormat="1" applyFont="1" applyBorder="1" applyAlignment="1">
      <alignment horizontal="center" vertical="center"/>
    </xf>
    <xf numFmtId="0" fontId="46" fillId="0" borderId="23" xfId="0" applyFont="1" applyBorder="1" applyAlignment="1">
      <alignment vertical="center"/>
    </xf>
    <xf numFmtId="0" fontId="40" fillId="0" borderId="23" xfId="0" applyFont="1" applyBorder="1" applyAlignment="1">
      <alignment vertical="center"/>
    </xf>
    <xf numFmtId="0" fontId="62" fillId="0" borderId="0" xfId="0" applyFont="1" applyAlignment="1">
      <alignment horizontal="center" vertical="center"/>
    </xf>
    <xf numFmtId="0" fontId="42" fillId="0" borderId="23" xfId="0" applyFont="1" applyBorder="1" applyAlignment="1">
      <alignment horizontal="center" vertical="center"/>
    </xf>
    <xf numFmtId="1" fontId="42" fillId="0" borderId="0" xfId="0" applyNumberFormat="1" applyFont="1" applyAlignment="1">
      <alignment horizontal="center" vertical="center"/>
    </xf>
    <xf numFmtId="0" fontId="62" fillId="0" borderId="30" xfId="0" applyFont="1" applyBorder="1" applyAlignment="1">
      <alignment horizontal="left" vertical="center"/>
    </xf>
    <xf numFmtId="175" fontId="42" fillId="0" borderId="30" xfId="0" applyNumberFormat="1" applyFont="1" applyBorder="1" applyAlignment="1">
      <alignment horizontal="center" vertical="center"/>
    </xf>
    <xf numFmtId="3" fontId="62" fillId="0" borderId="28" xfId="0" applyNumberFormat="1" applyFont="1" applyBorder="1" applyAlignment="1">
      <alignment horizontal="center" vertical="center"/>
    </xf>
    <xf numFmtId="0" fontId="119" fillId="0" borderId="28" xfId="0" applyFont="1" applyBorder="1" applyAlignment="1">
      <alignment horizontal="left" vertical="center" wrapText="1"/>
    </xf>
    <xf numFmtId="0" fontId="119" fillId="0" borderId="28" xfId="0" applyFont="1" applyBorder="1" applyAlignment="1">
      <alignment vertical="center" wrapText="1"/>
    </xf>
    <xf numFmtId="164" fontId="42" fillId="0" borderId="28" xfId="0" applyNumberFormat="1" applyFont="1" applyBorder="1" applyAlignment="1">
      <alignment horizontal="center" vertical="center"/>
    </xf>
    <xf numFmtId="1" fontId="42" fillId="0" borderId="28" xfId="0" applyNumberFormat="1" applyFont="1" applyBorder="1" applyAlignment="1">
      <alignment horizontal="center" vertical="center"/>
    </xf>
    <xf numFmtId="0" fontId="42" fillId="0" borderId="28" xfId="0" applyFont="1" applyBorder="1" applyAlignment="1">
      <alignment horizontal="center" vertical="center"/>
    </xf>
    <xf numFmtId="0" fontId="39" fillId="0" borderId="0" xfId="0" applyFont="1" applyAlignment="1" applyProtection="1">
      <alignment vertical="center"/>
      <protection locked="0"/>
    </xf>
    <xf numFmtId="0" fontId="39" fillId="0" borderId="0" xfId="0" applyFont="1" applyAlignment="1">
      <alignment vertical="center" wrapText="1"/>
    </xf>
    <xf numFmtId="0" fontId="39" fillId="0" borderId="0" xfId="0" applyFont="1" applyAlignment="1" applyProtection="1">
      <alignment horizontal="center" vertical="center"/>
      <protection locked="0"/>
    </xf>
    <xf numFmtId="165" fontId="39" fillId="0" borderId="0" xfId="0" applyNumberFormat="1" applyFont="1" applyAlignment="1" applyProtection="1">
      <alignment horizontal="center" vertical="center"/>
      <protection locked="0"/>
    </xf>
    <xf numFmtId="9" fontId="39" fillId="0" borderId="0" xfId="0" applyNumberFormat="1" applyFont="1" applyAlignment="1">
      <alignment horizontal="center" vertical="center"/>
    </xf>
    <xf numFmtId="166" fontId="39" fillId="0" borderId="0" xfId="0" applyNumberFormat="1" applyFont="1" applyAlignment="1" applyProtection="1">
      <alignment horizontal="center" vertical="center"/>
      <protection locked="0"/>
    </xf>
    <xf numFmtId="0" fontId="39" fillId="0" borderId="0" xfId="0" applyFont="1" applyAlignment="1">
      <alignment horizontal="center" vertical="center"/>
    </xf>
    <xf numFmtId="0" fontId="120" fillId="0" borderId="0" xfId="0" applyFont="1" applyAlignment="1">
      <alignment vertical="center"/>
    </xf>
    <xf numFmtId="0" fontId="39" fillId="0" borderId="0" xfId="0" applyFont="1" applyAlignment="1">
      <alignment horizontal="left" vertical="center"/>
    </xf>
    <xf numFmtId="0" fontId="120" fillId="0" borderId="0" xfId="0" applyFont="1" applyAlignment="1">
      <alignment horizontal="center" vertical="center"/>
    </xf>
    <xf numFmtId="0" fontId="39" fillId="0" borderId="0" xfId="0" applyFont="1" applyAlignment="1">
      <alignment horizontal="right" vertical="center"/>
    </xf>
    <xf numFmtId="3" fontId="39" fillId="0" borderId="0" xfId="0" applyNumberFormat="1" applyFont="1" applyAlignment="1">
      <alignment horizontal="center" vertical="center"/>
    </xf>
    <xf numFmtId="164" fontId="39" fillId="0" borderId="0" xfId="0" applyNumberFormat="1" applyFont="1" applyAlignment="1">
      <alignment horizontal="center" vertical="center"/>
    </xf>
    <xf numFmtId="168" fontId="39" fillId="0" borderId="0" xfId="0" applyNumberFormat="1" applyFont="1" applyAlignment="1">
      <alignment horizontal="center" vertical="center"/>
    </xf>
    <xf numFmtId="170" fontId="39" fillId="0" borderId="0" xfId="0" applyNumberFormat="1" applyFont="1" applyAlignment="1">
      <alignment horizontal="center" vertical="center"/>
    </xf>
    <xf numFmtId="170" fontId="39" fillId="0" borderId="0" xfId="0" applyNumberFormat="1" applyFont="1" applyAlignment="1">
      <alignment vertical="center"/>
    </xf>
    <xf numFmtId="0" fontId="39" fillId="0" borderId="5" xfId="0" applyFont="1" applyBorder="1" applyAlignment="1">
      <alignment vertical="center"/>
    </xf>
    <xf numFmtId="170" fontId="39" fillId="0" borderId="5" xfId="0" applyNumberFormat="1" applyFont="1" applyBorder="1" applyAlignment="1">
      <alignment horizontal="center" vertical="center"/>
    </xf>
    <xf numFmtId="0" fontId="120" fillId="0" borderId="5" xfId="0" applyFont="1" applyBorder="1" applyAlignment="1">
      <alignment vertical="center"/>
    </xf>
    <xf numFmtId="173" fontId="39" fillId="0" borderId="0" xfId="0" applyNumberFormat="1" applyFont="1" applyAlignment="1">
      <alignment horizontal="center" vertical="center"/>
    </xf>
    <xf numFmtId="0" fontId="120" fillId="0" borderId="0" xfId="0" applyFont="1" applyAlignment="1">
      <alignment horizontal="right" vertical="center"/>
    </xf>
    <xf numFmtId="9" fontId="39" fillId="0" borderId="31" xfId="0" applyNumberFormat="1" applyFont="1" applyBorder="1" applyAlignment="1">
      <alignment horizontal="center" vertical="center"/>
    </xf>
    <xf numFmtId="0" fontId="62" fillId="0" borderId="0" xfId="0" applyFont="1" applyAlignment="1">
      <alignment vertical="center"/>
    </xf>
    <xf numFmtId="3" fontId="12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4" fontId="39"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64" fontId="39" fillId="0" borderId="31" xfId="0" applyNumberFormat="1" applyFont="1" applyBorder="1" applyAlignment="1">
      <alignment horizontal="center" vertical="center"/>
    </xf>
    <xf numFmtId="3" fontId="39" fillId="0" borderId="31" xfId="0" applyNumberFormat="1" applyFont="1" applyBorder="1" applyAlignment="1">
      <alignment horizontal="center" vertical="center"/>
    </xf>
    <xf numFmtId="9" fontId="39" fillId="0" borderId="29" xfId="0" applyNumberFormat="1" applyFont="1" applyBorder="1" applyAlignment="1">
      <alignment horizontal="center" vertical="center"/>
    </xf>
    <xf numFmtId="168" fontId="39" fillId="0" borderId="29" xfId="0" applyNumberFormat="1" applyFont="1" applyBorder="1" applyAlignment="1">
      <alignment horizontal="center" vertical="center"/>
    </xf>
    <xf numFmtId="168" fontId="39" fillId="0" borderId="30" xfId="0" applyNumberFormat="1" applyFont="1" applyBorder="1" applyAlignment="1">
      <alignment horizontal="center" vertical="center"/>
    </xf>
    <xf numFmtId="168" fontId="39" fillId="0" borderId="31" xfId="0" applyNumberFormat="1" applyFont="1" applyBorder="1" applyAlignment="1">
      <alignment horizontal="center" vertical="center"/>
    </xf>
    <xf numFmtId="0" fontId="39" fillId="0" borderId="28" xfId="0" applyFont="1" applyBorder="1" applyAlignment="1">
      <alignment vertical="center"/>
    </xf>
    <xf numFmtId="168" fontId="120" fillId="0" borderId="30" xfId="0" applyNumberFormat="1" applyFont="1" applyBorder="1" applyAlignment="1">
      <alignment horizontal="center" vertical="center"/>
    </xf>
    <xf numFmtId="3" fontId="38" fillId="0" borderId="30" xfId="0" applyNumberFormat="1" applyFont="1" applyBorder="1" applyAlignment="1">
      <alignment horizontal="center" vertical="center"/>
    </xf>
    <xf numFmtId="3" fontId="37" fillId="0" borderId="30" xfId="0" applyNumberFormat="1" applyFont="1" applyBorder="1" applyAlignment="1">
      <alignment horizontal="center" vertical="center"/>
    </xf>
    <xf numFmtId="1" fontId="37" fillId="0" borderId="30" xfId="0" applyNumberFormat="1" applyFont="1" applyBorder="1" applyAlignment="1">
      <alignment horizontal="center" vertical="center"/>
    </xf>
    <xf numFmtId="0" fontId="37" fillId="0" borderId="30" xfId="0" applyFont="1" applyBorder="1" applyAlignment="1">
      <alignment horizontal="center" vertical="center"/>
    </xf>
    <xf numFmtId="0" fontId="127" fillId="0" borderId="0" xfId="0" applyFont="1" applyAlignment="1">
      <alignment vertical="center"/>
    </xf>
    <xf numFmtId="0" fontId="38" fillId="0" borderId="0" xfId="0" applyFont="1" applyAlignment="1">
      <alignment horizontal="center" vertical="center"/>
    </xf>
    <xf numFmtId="1" fontId="37" fillId="0" borderId="0" xfId="0" applyNumberFormat="1" applyFont="1" applyAlignment="1">
      <alignment horizontal="center" vertical="center"/>
    </xf>
    <xf numFmtId="168" fontId="37" fillId="0" borderId="0" xfId="0" applyNumberFormat="1" applyFont="1" applyAlignment="1">
      <alignment horizontal="center" vertical="center"/>
    </xf>
    <xf numFmtId="3" fontId="37" fillId="0" borderId="0" xfId="0" applyNumberFormat="1" applyFont="1" applyAlignment="1">
      <alignment horizontal="center" vertical="center"/>
    </xf>
    <xf numFmtId="9" fontId="37" fillId="0" borderId="0" xfId="0" applyNumberFormat="1" applyFont="1" applyAlignment="1">
      <alignment horizontal="center" vertical="center"/>
    </xf>
    <xf numFmtId="168" fontId="38" fillId="0" borderId="0" xfId="0" applyNumberFormat="1" applyFont="1" applyAlignment="1">
      <alignment horizontal="center" vertical="center"/>
    </xf>
    <xf numFmtId="9" fontId="90" fillId="0" borderId="0" xfId="0" applyNumberFormat="1" applyFont="1" applyAlignment="1">
      <alignment horizontal="center" vertical="center"/>
    </xf>
    <xf numFmtId="165" fontId="37" fillId="0" borderId="0" xfId="0" applyNumberFormat="1" applyFont="1" applyAlignment="1">
      <alignment horizontal="center" vertical="center"/>
    </xf>
    <xf numFmtId="0" fontId="128" fillId="0" borderId="0" xfId="0" applyFont="1" applyAlignment="1">
      <alignment vertical="center"/>
    </xf>
    <xf numFmtId="0" fontId="129" fillId="0" borderId="0" xfId="0" applyFont="1" applyAlignment="1">
      <alignment vertical="center"/>
    </xf>
    <xf numFmtId="0" fontId="128" fillId="0" borderId="0" xfId="0" applyFont="1"/>
    <xf numFmtId="0" fontId="130" fillId="0" borderId="0" xfId="0" applyFont="1" applyAlignment="1">
      <alignment vertical="center"/>
    </xf>
    <xf numFmtId="9" fontId="128" fillId="0" borderId="0" xfId="0" applyNumberFormat="1" applyFont="1" applyAlignment="1">
      <alignment horizontal="center" vertical="center"/>
    </xf>
    <xf numFmtId="1" fontId="48" fillId="0" borderId="30" xfId="0" applyNumberFormat="1" applyFont="1" applyBorder="1" applyAlignment="1">
      <alignment horizontal="center" vertical="center"/>
    </xf>
    <xf numFmtId="166" fontId="48"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9" fontId="48" fillId="0" borderId="30" xfId="0" applyNumberFormat="1" applyFont="1" applyBorder="1" applyAlignment="1">
      <alignment horizontal="center" vertical="center"/>
    </xf>
    <xf numFmtId="167" fontId="48" fillId="0" borderId="30" xfId="0" applyNumberFormat="1" applyFont="1" applyBorder="1" applyAlignment="1">
      <alignment horizontal="center" vertical="center"/>
    </xf>
    <xf numFmtId="164" fontId="48" fillId="0" borderId="30" xfId="0" applyNumberFormat="1" applyFont="1" applyBorder="1" applyAlignment="1">
      <alignment horizontal="center" vertical="center"/>
    </xf>
    <xf numFmtId="0" fontId="127" fillId="0" borderId="0" xfId="0" applyFont="1" applyAlignment="1">
      <alignment horizontal="center" vertical="center"/>
    </xf>
    <xf numFmtId="9" fontId="38" fillId="0" borderId="0" xfId="0" applyNumberFormat="1" applyFont="1" applyAlignment="1">
      <alignment horizontal="center" vertical="center"/>
    </xf>
    <xf numFmtId="167" fontId="38" fillId="0" borderId="0" xfId="0" applyNumberFormat="1" applyFont="1" applyAlignment="1">
      <alignment horizontal="center" vertical="center"/>
    </xf>
    <xf numFmtId="1" fontId="38" fillId="0" borderId="0" xfId="0" applyNumberFormat="1" applyFont="1" applyAlignment="1">
      <alignment horizontal="center" vertical="center"/>
    </xf>
    <xf numFmtId="0" fontId="128" fillId="0" borderId="30" xfId="0" applyFont="1" applyBorder="1" applyAlignment="1">
      <alignment vertical="center"/>
    </xf>
    <xf numFmtId="3" fontId="129" fillId="0" borderId="30" xfId="0" applyNumberFormat="1" applyFont="1" applyBorder="1" applyAlignment="1">
      <alignment horizontal="center" vertical="center"/>
    </xf>
    <xf numFmtId="177" fontId="129" fillId="0" borderId="30" xfId="0" applyNumberFormat="1" applyFont="1" applyBorder="1" applyAlignment="1">
      <alignment horizontal="center" vertical="center"/>
    </xf>
    <xf numFmtId="0" fontId="128" fillId="0" borderId="30" xfId="0" applyFont="1" applyBorder="1" applyAlignment="1">
      <alignment horizontal="center" vertical="center"/>
    </xf>
    <xf numFmtId="3" fontId="128" fillId="0" borderId="30" xfId="0" applyNumberFormat="1" applyFont="1" applyBorder="1" applyAlignment="1">
      <alignment horizontal="center" vertical="center"/>
    </xf>
    <xf numFmtId="9" fontId="128" fillId="0" borderId="30" xfId="0" applyNumberFormat="1" applyFont="1" applyBorder="1" applyAlignment="1">
      <alignment horizontal="center" vertical="center"/>
    </xf>
    <xf numFmtId="168" fontId="128" fillId="0" borderId="30" xfId="0" applyNumberFormat="1" applyFont="1" applyBorder="1" applyAlignment="1">
      <alignment horizontal="center" vertical="center"/>
    </xf>
    <xf numFmtId="1" fontId="128" fillId="0" borderId="30" xfId="0" applyNumberFormat="1" applyFont="1" applyBorder="1" applyAlignment="1">
      <alignment horizontal="center" vertical="center"/>
    </xf>
    <xf numFmtId="167" fontId="128" fillId="0" borderId="30" xfId="0" applyNumberFormat="1" applyFont="1" applyBorder="1" applyAlignment="1">
      <alignment horizontal="center" vertical="center"/>
    </xf>
    <xf numFmtId="166" fontId="128" fillId="0" borderId="30" xfId="0" applyNumberFormat="1" applyFont="1" applyBorder="1" applyAlignment="1">
      <alignment horizontal="center" vertical="center"/>
    </xf>
    <xf numFmtId="3" fontId="129" fillId="18" borderId="30" xfId="0" applyNumberFormat="1" applyFont="1" applyFill="1" applyBorder="1" applyAlignment="1">
      <alignment horizontal="center" vertical="center"/>
    </xf>
    <xf numFmtId="2" fontId="128" fillId="0" borderId="30" xfId="0" applyNumberFormat="1" applyFont="1" applyBorder="1" applyAlignment="1">
      <alignment horizontal="center" vertical="center"/>
    </xf>
    <xf numFmtId="0" fontId="38" fillId="0" borderId="30" xfId="0" applyFont="1" applyBorder="1" applyAlignment="1">
      <alignment vertical="center"/>
    </xf>
    <xf numFmtId="0" fontId="37" fillId="0" borderId="30" xfId="0" applyFont="1" applyBorder="1" applyAlignment="1">
      <alignment vertical="center"/>
    </xf>
    <xf numFmtId="167" fontId="38" fillId="0" borderId="30" xfId="0" applyNumberFormat="1" applyFont="1" applyBorder="1" applyAlignment="1">
      <alignment horizontal="center" vertical="center"/>
    </xf>
    <xf numFmtId="9" fontId="37" fillId="0" borderId="30" xfId="0" applyNumberFormat="1" applyFont="1" applyBorder="1" applyAlignment="1">
      <alignment horizontal="center" vertical="center"/>
    </xf>
    <xf numFmtId="166" fontId="37" fillId="0" borderId="30" xfId="0" applyNumberFormat="1" applyFont="1" applyBorder="1" applyAlignment="1">
      <alignment horizontal="center" vertical="center"/>
    </xf>
    <xf numFmtId="168" fontId="37" fillId="0" borderId="30" xfId="0" applyNumberFormat="1" applyFont="1" applyBorder="1" applyAlignment="1">
      <alignment horizontal="center" vertical="center"/>
    </xf>
    <xf numFmtId="164" fontId="37" fillId="0" borderId="30" xfId="0" applyNumberFormat="1" applyFont="1" applyBorder="1" applyAlignment="1">
      <alignment horizontal="center" vertical="center"/>
    </xf>
    <xf numFmtId="0" fontId="87" fillId="0" borderId="0" xfId="0" applyFont="1" applyAlignment="1">
      <alignment vertical="center"/>
    </xf>
    <xf numFmtId="0" fontId="88" fillId="0" borderId="0" xfId="0" applyFont="1" applyAlignment="1">
      <alignment vertical="center"/>
    </xf>
    <xf numFmtId="1" fontId="88" fillId="0" borderId="30" xfId="0" applyNumberFormat="1" applyFont="1" applyBorder="1" applyAlignment="1">
      <alignment horizontal="center" vertical="center"/>
    </xf>
    <xf numFmtId="165" fontId="37" fillId="0" borderId="30" xfId="0" applyNumberFormat="1" applyFont="1" applyBorder="1" applyAlignment="1">
      <alignment horizontal="center" vertical="center"/>
    </xf>
    <xf numFmtId="4" fontId="37" fillId="0" borderId="30" xfId="0" applyNumberFormat="1" applyFont="1" applyBorder="1" applyAlignment="1">
      <alignment horizontal="center" vertical="center"/>
    </xf>
    <xf numFmtId="0" fontId="37" fillId="9" borderId="5" xfId="0" applyFont="1" applyFill="1" applyBorder="1" applyAlignment="1">
      <alignment horizontal="center" vertical="center"/>
    </xf>
    <xf numFmtId="3" fontId="37" fillId="9" borderId="5" xfId="0" applyNumberFormat="1" applyFont="1" applyFill="1" applyBorder="1" applyAlignment="1">
      <alignment horizontal="center" vertical="center"/>
    </xf>
    <xf numFmtId="1" fontId="37" fillId="9" borderId="5" xfId="0" applyNumberFormat="1" applyFont="1" applyFill="1" applyBorder="1" applyAlignment="1">
      <alignment horizontal="center" vertical="center"/>
    </xf>
    <xf numFmtId="166" fontId="90" fillId="9" borderId="5" xfId="0" applyNumberFormat="1" applyFont="1" applyFill="1" applyBorder="1" applyAlignment="1">
      <alignment horizontal="center" vertical="center"/>
    </xf>
    <xf numFmtId="9" fontId="90" fillId="9" borderId="5" xfId="0" applyNumberFormat="1" applyFont="1" applyFill="1" applyBorder="1" applyAlignment="1">
      <alignment horizontal="center" vertical="center"/>
    </xf>
    <xf numFmtId="164" fontId="90" fillId="9" borderId="5" xfId="0" applyNumberFormat="1" applyFont="1" applyFill="1" applyBorder="1" applyAlignment="1">
      <alignment horizontal="center" vertical="center"/>
    </xf>
    <xf numFmtId="3" fontId="90" fillId="9" borderId="5" xfId="0" applyNumberFormat="1" applyFont="1" applyFill="1" applyBorder="1" applyAlignment="1">
      <alignment horizontal="center" vertical="center"/>
    </xf>
    <xf numFmtId="1" fontId="90" fillId="9" borderId="5" xfId="0" applyNumberFormat="1" applyFont="1" applyFill="1" applyBorder="1" applyAlignment="1">
      <alignment horizontal="center" vertical="center"/>
    </xf>
    <xf numFmtId="9" fontId="37" fillId="10" borderId="5" xfId="0" applyNumberFormat="1" applyFont="1" applyFill="1" applyBorder="1" applyAlignment="1">
      <alignment horizontal="center" vertical="center"/>
    </xf>
    <xf numFmtId="0" fontId="37" fillId="6" borderId="5" xfId="0" applyFont="1" applyFill="1" applyBorder="1" applyAlignment="1">
      <alignment horizontal="left" vertical="center"/>
    </xf>
    <xf numFmtId="0" fontId="37" fillId="6" borderId="5" xfId="0" applyFont="1" applyFill="1" applyBorder="1" applyAlignment="1">
      <alignment horizontal="center" vertical="center"/>
    </xf>
    <xf numFmtId="165" fontId="38" fillId="6" borderId="5" xfId="0" applyNumberFormat="1" applyFont="1" applyFill="1" applyBorder="1" applyAlignment="1">
      <alignment horizontal="center" vertical="center"/>
    </xf>
    <xf numFmtId="1" fontId="38" fillId="6" borderId="5" xfId="0" applyNumberFormat="1" applyFont="1" applyFill="1" applyBorder="1" applyAlignment="1">
      <alignment horizontal="center" vertical="center"/>
    </xf>
    <xf numFmtId="165" fontId="37" fillId="6" borderId="5" xfId="0" applyNumberFormat="1" applyFont="1" applyFill="1" applyBorder="1" applyAlignment="1">
      <alignment horizontal="center" vertical="center"/>
    </xf>
    <xf numFmtId="1" fontId="37" fillId="6" borderId="5" xfId="0" applyNumberFormat="1" applyFont="1" applyFill="1" applyBorder="1" applyAlignment="1">
      <alignment horizontal="center" vertical="center"/>
    </xf>
    <xf numFmtId="166" fontId="90" fillId="6" borderId="5" xfId="0" applyNumberFormat="1" applyFont="1" applyFill="1" applyBorder="1" applyAlignment="1">
      <alignment horizontal="center" vertical="center"/>
    </xf>
    <xf numFmtId="9" fontId="90" fillId="6" borderId="5" xfId="0" applyNumberFormat="1" applyFont="1" applyFill="1" applyBorder="1" applyAlignment="1">
      <alignment horizontal="center" vertical="center"/>
    </xf>
    <xf numFmtId="164" fontId="133" fillId="6" borderId="5" xfId="0" applyNumberFormat="1" applyFont="1" applyFill="1" applyBorder="1" applyAlignment="1">
      <alignment horizontal="center" vertical="center"/>
    </xf>
    <xf numFmtId="9" fontId="133" fillId="6" borderId="5" xfId="0" applyNumberFormat="1" applyFont="1" applyFill="1" applyBorder="1" applyAlignment="1">
      <alignment horizontal="center" vertical="center"/>
    </xf>
    <xf numFmtId="165" fontId="133" fillId="6" borderId="5" xfId="0" applyNumberFormat="1" applyFont="1" applyFill="1" applyBorder="1" applyAlignment="1">
      <alignment horizontal="center" vertical="center"/>
    </xf>
    <xf numFmtId="165" fontId="38" fillId="0" borderId="30" xfId="0" applyNumberFormat="1" applyFont="1" applyBorder="1" applyAlignment="1">
      <alignment horizontal="center" vertical="center"/>
    </xf>
    <xf numFmtId="0" fontId="37" fillId="0" borderId="30" xfId="0" applyFont="1" applyBorder="1"/>
    <xf numFmtId="168" fontId="37" fillId="0" borderId="30" xfId="0" applyNumberFormat="1" applyFont="1" applyBorder="1" applyAlignment="1">
      <alignment horizontal="center"/>
    </xf>
    <xf numFmtId="0" fontId="100" fillId="15" borderId="0" xfId="0" applyFont="1" applyFill="1"/>
    <xf numFmtId="0" fontId="37" fillId="15" borderId="0" xfId="0" applyFont="1" applyFill="1"/>
    <xf numFmtId="0" fontId="91" fillId="15" borderId="0" xfId="0" applyFont="1" applyFill="1"/>
    <xf numFmtId="0" fontId="38" fillId="15" borderId="0" xfId="0" applyFont="1" applyFill="1"/>
    <xf numFmtId="0" fontId="132" fillId="0" borderId="0" xfId="0" applyFont="1" applyAlignment="1">
      <alignment horizontal="right"/>
    </xf>
    <xf numFmtId="0" fontId="123" fillId="16" borderId="0" xfId="0" applyFont="1" applyFill="1" applyAlignment="1">
      <alignment vertical="center"/>
    </xf>
    <xf numFmtId="0" fontId="138" fillId="16" borderId="0" xfId="0" applyFont="1" applyFill="1" applyAlignment="1">
      <alignment vertical="center"/>
    </xf>
    <xf numFmtId="0" fontId="100" fillId="0" borderId="0" xfId="0" applyFont="1" applyAlignment="1">
      <alignment horizontal="right"/>
    </xf>
    <xf numFmtId="0" fontId="101" fillId="0" borderId="0" xfId="0" applyFont="1" applyAlignment="1">
      <alignment horizontal="right"/>
    </xf>
    <xf numFmtId="0" fontId="123" fillId="16" borderId="0" xfId="0" applyFont="1" applyFill="1" applyAlignment="1">
      <alignment horizontal="center" vertical="center"/>
    </xf>
    <xf numFmtId="0" fontId="61" fillId="16" borderId="0" xfId="0" applyFont="1" applyFill="1" applyAlignment="1">
      <alignment horizontal="left" vertical="center"/>
    </xf>
    <xf numFmtId="0" fontId="48" fillId="16" borderId="0" xfId="0" applyFont="1" applyFill="1" applyAlignment="1">
      <alignment horizontal="left" vertical="center"/>
    </xf>
    <xf numFmtId="0" fontId="48" fillId="15" borderId="23" xfId="0" applyFont="1" applyFill="1" applyBorder="1"/>
    <xf numFmtId="0" fontId="48" fillId="15" borderId="23" xfId="0" applyFont="1" applyFill="1" applyBorder="1" applyAlignment="1">
      <alignment horizontal="right"/>
    </xf>
    <xf numFmtId="0" fontId="49" fillId="15" borderId="23" xfId="0" applyFont="1" applyFill="1" applyBorder="1" applyAlignment="1">
      <alignment horizontal="center" vertical="center"/>
    </xf>
    <xf numFmtId="0" fontId="104" fillId="16" borderId="28" xfId="0" applyFont="1" applyFill="1" applyBorder="1" applyAlignment="1">
      <alignment vertical="center"/>
    </xf>
    <xf numFmtId="0" fontId="60" fillId="16" borderId="28" xfId="0" applyFont="1" applyFill="1" applyBorder="1" applyAlignment="1">
      <alignment horizontal="left" vertical="center"/>
    </xf>
    <xf numFmtId="0" fontId="47" fillId="16" borderId="28" xfId="0" applyFont="1" applyFill="1" applyBorder="1" applyAlignment="1">
      <alignment horizontal="center" vertical="center"/>
    </xf>
    <xf numFmtId="0" fontId="40" fillId="16" borderId="28" xfId="0" applyFont="1" applyFill="1" applyBorder="1" applyAlignment="1">
      <alignment horizontal="center" vertical="center"/>
    </xf>
    <xf numFmtId="0" fontId="46" fillId="16" borderId="28" xfId="0" applyFont="1" applyFill="1" applyBorder="1" applyAlignment="1">
      <alignment horizontal="center" vertical="center"/>
    </xf>
    <xf numFmtId="0" fontId="48" fillId="14" borderId="0" xfId="0" applyFont="1" applyFill="1" applyAlignment="1">
      <alignment vertical="center"/>
    </xf>
    <xf numFmtId="0" fontId="48" fillId="14" borderId="0" xfId="0" applyFont="1" applyFill="1"/>
    <xf numFmtId="0" fontId="58" fillId="14" borderId="0" xfId="0" applyFont="1" applyFill="1" applyAlignment="1">
      <alignment horizontal="center" vertical="center"/>
    </xf>
    <xf numFmtId="0" fontId="58" fillId="14" borderId="0" xfId="0" applyFont="1" applyFill="1" applyAlignment="1">
      <alignment vertical="center"/>
    </xf>
    <xf numFmtId="0" fontId="48" fillId="14" borderId="0" xfId="0" applyFont="1" applyFill="1" applyAlignment="1">
      <alignment horizontal="center" vertical="center"/>
    </xf>
    <xf numFmtId="0" fontId="48" fillId="14" borderId="23" xfId="0" applyFont="1" applyFill="1" applyBorder="1" applyAlignment="1">
      <alignment vertical="center"/>
    </xf>
    <xf numFmtId="0" fontId="48" fillId="14" borderId="23" xfId="0" applyFont="1" applyFill="1" applyBorder="1" applyAlignment="1">
      <alignment horizontal="center" vertical="center"/>
    </xf>
    <xf numFmtId="0" fontId="0" fillId="14" borderId="0" xfId="0" applyFill="1"/>
    <xf numFmtId="0" fontId="0" fillId="14" borderId="0" xfId="0" applyFill="1" applyAlignment="1">
      <alignment vertical="center"/>
    </xf>
    <xf numFmtId="0" fontId="8" fillId="14" borderId="0" xfId="0" applyFont="1" applyFill="1" applyAlignment="1">
      <alignment vertical="center"/>
    </xf>
    <xf numFmtId="0" fontId="42" fillId="14" borderId="0" xfId="0" applyFont="1" applyFill="1" applyAlignment="1">
      <alignment vertical="center"/>
    </xf>
    <xf numFmtId="0" fontId="42" fillId="14" borderId="0" xfId="0" applyFont="1" applyFill="1" applyAlignment="1">
      <alignment horizontal="center" vertical="center"/>
    </xf>
    <xf numFmtId="3" fontId="42" fillId="14" borderId="0" xfId="0" applyNumberFormat="1" applyFont="1" applyFill="1" applyAlignment="1">
      <alignment vertical="center"/>
    </xf>
    <xf numFmtId="0" fontId="95" fillId="14" borderId="0" xfId="0" applyFont="1" applyFill="1" applyAlignment="1">
      <alignment vertical="center"/>
    </xf>
    <xf numFmtId="0" fontId="42" fillId="14" borderId="23" xfId="0" applyFont="1" applyFill="1" applyBorder="1" applyAlignment="1">
      <alignment horizontal="center" vertical="center"/>
    </xf>
    <xf numFmtId="10" fontId="42" fillId="14" borderId="0" xfId="0" applyNumberFormat="1" applyFont="1" applyFill="1" applyAlignment="1">
      <alignment vertical="center"/>
    </xf>
    <xf numFmtId="10" fontId="42" fillId="14" borderId="0" xfId="0" applyNumberFormat="1" applyFont="1" applyFill="1" applyAlignment="1">
      <alignment horizontal="center" vertical="center"/>
    </xf>
    <xf numFmtId="0" fontId="62" fillId="14" borderId="0" xfId="0" applyFont="1" applyFill="1" applyAlignment="1">
      <alignment horizontal="right" vertical="center"/>
    </xf>
    <xf numFmtId="3" fontId="62" fillId="14" borderId="0" xfId="0" applyNumberFormat="1" applyFont="1" applyFill="1" applyAlignment="1">
      <alignment horizontal="center" vertical="center"/>
    </xf>
    <xf numFmtId="0" fontId="42" fillId="14" borderId="23" xfId="0" applyFont="1" applyFill="1" applyBorder="1" applyAlignment="1">
      <alignment vertical="center"/>
    </xf>
    <xf numFmtId="3" fontId="42" fillId="14" borderId="0" xfId="0" applyNumberFormat="1" applyFont="1" applyFill="1" applyAlignment="1">
      <alignment horizontal="center" vertical="center"/>
    </xf>
    <xf numFmtId="3" fontId="42" fillId="14" borderId="23" xfId="0" applyNumberFormat="1" applyFont="1" applyFill="1" applyBorder="1" applyAlignment="1">
      <alignment horizontal="center" vertical="center"/>
    </xf>
    <xf numFmtId="0" fontId="42" fillId="14" borderId="23" xfId="0" applyFont="1" applyFill="1" applyBorder="1" applyAlignment="1" applyProtection="1">
      <alignment vertical="center"/>
      <protection locked="0"/>
    </xf>
    <xf numFmtId="165" fontId="42" fillId="14" borderId="0" xfId="0" applyNumberFormat="1" applyFont="1" applyFill="1" applyAlignment="1">
      <alignment horizontal="center" vertical="center"/>
    </xf>
    <xf numFmtId="168" fontId="62" fillId="14" borderId="0" xfId="0" applyNumberFormat="1" applyFont="1" applyFill="1" applyAlignment="1">
      <alignment horizontal="center" vertical="center"/>
    </xf>
    <xf numFmtId="0" fontId="42" fillId="14" borderId="0" xfId="0" applyFont="1" applyFill="1"/>
    <xf numFmtId="0" fontId="117" fillId="14" borderId="0" xfId="0" applyFont="1" applyFill="1" applyAlignment="1">
      <alignment vertical="center"/>
    </xf>
    <xf numFmtId="1" fontId="42" fillId="14" borderId="0" xfId="0" applyNumberFormat="1" applyFont="1" applyFill="1" applyAlignment="1">
      <alignment horizontal="center" vertical="center"/>
    </xf>
    <xf numFmtId="0" fontId="129" fillId="14" borderId="0" xfId="0" applyFont="1" applyFill="1" applyAlignment="1">
      <alignment vertical="center"/>
    </xf>
    <xf numFmtId="0" fontId="128" fillId="14" borderId="0" xfId="0" applyFont="1" applyFill="1" applyAlignment="1">
      <alignment vertical="center"/>
    </xf>
    <xf numFmtId="0" fontId="49" fillId="14" borderId="0" xfId="0" applyFont="1" applyFill="1" applyAlignment="1">
      <alignment vertical="center"/>
    </xf>
    <xf numFmtId="0" fontId="52" fillId="14" borderId="0" xfId="0" applyFont="1" applyFill="1" applyAlignment="1">
      <alignment vertical="center"/>
    </xf>
    <xf numFmtId="0" fontId="52" fillId="38" borderId="5" xfId="0" applyFont="1" applyFill="1" applyBorder="1" applyAlignment="1">
      <alignment vertical="center"/>
    </xf>
    <xf numFmtId="0" fontId="130" fillId="14" borderId="0" xfId="0" applyFont="1" applyFill="1" applyAlignment="1">
      <alignment vertical="center"/>
    </xf>
    <xf numFmtId="0" fontId="38" fillId="14" borderId="0" xfId="0" applyFont="1" applyFill="1" applyAlignment="1">
      <alignment vertical="center"/>
    </xf>
    <xf numFmtId="0" fontId="37" fillId="14" borderId="0" xfId="0" applyFont="1" applyFill="1" applyAlignment="1">
      <alignment vertical="center"/>
    </xf>
    <xf numFmtId="0" fontId="9" fillId="14" borderId="0" xfId="0" applyFont="1" applyFill="1" applyAlignment="1">
      <alignment vertical="center"/>
    </xf>
    <xf numFmtId="0" fontId="7" fillId="14" borderId="0" xfId="0" applyFont="1" applyFill="1" applyAlignment="1">
      <alignment vertical="center"/>
    </xf>
    <xf numFmtId="0" fontId="130" fillId="38" borderId="5" xfId="0" applyFont="1" applyFill="1" applyBorder="1" applyAlignment="1">
      <alignment vertical="center"/>
    </xf>
    <xf numFmtId="0" fontId="131" fillId="14" borderId="0" xfId="0" applyFont="1" applyFill="1" applyAlignment="1">
      <alignment vertical="center"/>
    </xf>
    <xf numFmtId="4" fontId="48" fillId="14" borderId="0" xfId="0" applyNumberFormat="1" applyFont="1" applyFill="1" applyAlignment="1">
      <alignment horizontal="center" vertical="center"/>
    </xf>
    <xf numFmtId="0" fontId="0" fillId="0" borderId="0" xfId="0" applyAlignment="1">
      <alignment horizontal="center"/>
    </xf>
    <xf numFmtId="0" fontId="70" fillId="16" borderId="30" xfId="0" applyFont="1" applyFill="1" applyBorder="1" applyAlignment="1">
      <alignment horizontal="center" vertical="center" wrapText="1"/>
    </xf>
    <xf numFmtId="0" fontId="60" fillId="16" borderId="30" xfId="0" applyFont="1" applyFill="1" applyBorder="1" applyAlignment="1">
      <alignment horizontal="center" vertical="center"/>
    </xf>
    <xf numFmtId="0" fontId="60" fillId="16" borderId="30" xfId="0" applyFont="1" applyFill="1" applyBorder="1" applyAlignment="1">
      <alignment horizontal="center" vertical="center" wrapText="1"/>
    </xf>
    <xf numFmtId="165" fontId="48" fillId="19" borderId="30" xfId="0" applyNumberFormat="1" applyFont="1" applyFill="1" applyBorder="1" applyAlignment="1">
      <alignment horizontal="center" vertical="center"/>
    </xf>
    <xf numFmtId="0" fontId="70" fillId="16" borderId="30" xfId="0" applyFont="1" applyFill="1" applyBorder="1" applyAlignment="1">
      <alignment horizontal="center" vertical="center"/>
    </xf>
    <xf numFmtId="0" fontId="25" fillId="16" borderId="30" xfId="0" applyFont="1" applyFill="1" applyBorder="1" applyAlignment="1">
      <alignment horizontal="center" vertical="center"/>
    </xf>
    <xf numFmtId="0" fontId="25" fillId="16" borderId="30" xfId="0" applyFont="1" applyFill="1" applyBorder="1" applyAlignment="1">
      <alignment horizontal="center" vertical="center" wrapText="1"/>
    </xf>
    <xf numFmtId="0" fontId="58" fillId="0" borderId="30" xfId="0" applyFont="1" applyBorder="1" applyAlignment="1">
      <alignment vertical="center"/>
    </xf>
    <xf numFmtId="0" fontId="104" fillId="16" borderId="29" xfId="0" applyFont="1" applyFill="1" applyBorder="1" applyAlignment="1">
      <alignment vertical="center"/>
    </xf>
    <xf numFmtId="0" fontId="58" fillId="0" borderId="29" xfId="0" applyFont="1" applyBorder="1" applyAlignment="1">
      <alignment horizontal="right" vertical="center"/>
    </xf>
    <xf numFmtId="0" fontId="42" fillId="0" borderId="30" xfId="0" applyFont="1" applyBorder="1" applyAlignment="1">
      <alignment vertical="center"/>
    </xf>
    <xf numFmtId="0" fontId="42" fillId="0" borderId="29" xfId="0" applyFont="1" applyBorder="1" applyAlignment="1">
      <alignment horizontal="center" vertical="center"/>
    </xf>
    <xf numFmtId="0" fontId="61" fillId="16" borderId="29" xfId="0" applyFont="1" applyFill="1" applyBorder="1" applyAlignment="1">
      <alignment vertical="center"/>
    </xf>
    <xf numFmtId="0" fontId="26" fillId="16" borderId="30" xfId="0" applyFont="1" applyFill="1" applyBorder="1" applyAlignment="1">
      <alignment horizontal="center" vertical="center"/>
    </xf>
    <xf numFmtId="0" fontId="47" fillId="16" borderId="30" xfId="0" applyFont="1" applyFill="1" applyBorder="1" applyAlignment="1">
      <alignment horizontal="center" vertical="center"/>
    </xf>
    <xf numFmtId="0" fontId="46" fillId="0" borderId="30" xfId="0" applyFont="1" applyBorder="1" applyAlignment="1">
      <alignment horizontal="center" vertical="center"/>
    </xf>
    <xf numFmtId="0" fontId="99" fillId="16" borderId="30" xfId="0" applyFont="1" applyFill="1" applyBorder="1" applyAlignment="1">
      <alignment horizontal="center" vertical="center"/>
    </xf>
    <xf numFmtId="0" fontId="42" fillId="0" borderId="30" xfId="0" applyFont="1" applyBorder="1" applyAlignment="1">
      <alignment horizontal="center" vertical="center"/>
    </xf>
    <xf numFmtId="0" fontId="42" fillId="0" borderId="23" xfId="0" applyFont="1" applyBorder="1" applyAlignment="1">
      <alignment vertical="center"/>
    </xf>
    <xf numFmtId="0" fontId="104" fillId="0" borderId="0" xfId="0" applyFont="1" applyAlignment="1">
      <alignment vertical="center"/>
    </xf>
    <xf numFmtId="0" fontId="43" fillId="0" borderId="0" xfId="0" applyFont="1" applyAlignment="1">
      <alignment horizontal="left" vertical="center"/>
    </xf>
    <xf numFmtId="0" fontId="139" fillId="0" borderId="0" xfId="0" applyFont="1" applyAlignment="1">
      <alignment horizontal="left" vertical="center"/>
    </xf>
    <xf numFmtId="0" fontId="51" fillId="14" borderId="0" xfId="0" applyFont="1" applyFill="1"/>
    <xf numFmtId="0" fontId="59" fillId="14" borderId="0" xfId="0" applyFont="1" applyFill="1" applyAlignment="1">
      <alignment vertical="center"/>
    </xf>
    <xf numFmtId="0" fontId="57" fillId="14" borderId="0" xfId="0" applyFont="1" applyFill="1" applyAlignment="1">
      <alignment vertical="center"/>
    </xf>
    <xf numFmtId="0" fontId="48" fillId="14" borderId="0" xfId="0" applyFont="1" applyFill="1" applyAlignment="1">
      <alignment horizontal="center"/>
    </xf>
    <xf numFmtId="0" fontId="48" fillId="14" borderId="23" xfId="0" applyFont="1" applyFill="1" applyBorder="1"/>
    <xf numFmtId="0" fontId="49" fillId="14" borderId="0" xfId="0" applyFont="1" applyFill="1" applyAlignment="1">
      <alignment horizontal="right" vertical="center"/>
    </xf>
    <xf numFmtId="0" fontId="49" fillId="14" borderId="0" xfId="0" applyFont="1" applyFill="1"/>
    <xf numFmtId="3" fontId="48" fillId="24" borderId="30" xfId="0" applyNumberFormat="1" applyFont="1" applyFill="1" applyBorder="1" applyAlignment="1" applyProtection="1">
      <alignment horizontal="center" vertical="center"/>
      <protection locked="0"/>
    </xf>
    <xf numFmtId="2" fontId="48"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0" fontId="48" fillId="24" borderId="30" xfId="0" applyFont="1" applyFill="1" applyBorder="1" applyAlignment="1" applyProtection="1">
      <alignment horizontal="center" vertical="center"/>
      <protection locked="0"/>
    </xf>
    <xf numFmtId="0" fontId="48" fillId="19" borderId="30" xfId="0" applyFont="1" applyFill="1" applyBorder="1" applyAlignment="1">
      <alignment horizontal="center" vertical="center"/>
    </xf>
    <xf numFmtId="0" fontId="58" fillId="3" borderId="30" xfId="0" applyFont="1" applyFill="1" applyBorder="1" applyAlignment="1">
      <alignment horizontal="left" vertical="center"/>
    </xf>
    <xf numFmtId="0" fontId="47" fillId="20" borderId="30" xfId="0" applyFont="1" applyFill="1" applyBorder="1" applyAlignment="1">
      <alignment horizontal="center" vertical="center"/>
    </xf>
    <xf numFmtId="0" fontId="57" fillId="15" borderId="37" xfId="0"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48" fillId="14" borderId="0" xfId="0" applyFont="1" applyFill="1" applyAlignment="1">
      <alignment horizontal="right"/>
    </xf>
    <xf numFmtId="0" fontId="50" fillId="14" borderId="0" xfId="0" applyFont="1" applyFill="1"/>
    <xf numFmtId="0" fontId="48" fillId="14" borderId="0" xfId="0" applyFont="1" applyFill="1" applyAlignment="1">
      <alignment horizontal="left"/>
    </xf>
    <xf numFmtId="0" fontId="49" fillId="14" borderId="0" xfId="0" applyFont="1" applyFill="1" applyAlignment="1">
      <alignment horizontal="left"/>
    </xf>
    <xf numFmtId="4" fontId="48" fillId="14" borderId="0" xfId="0" applyNumberFormat="1" applyFont="1" applyFill="1"/>
    <xf numFmtId="0" fontId="48" fillId="14" borderId="0" xfId="0" applyFont="1" applyFill="1" applyAlignment="1">
      <alignment horizontal="right" vertical="center"/>
    </xf>
    <xf numFmtId="0" fontId="48" fillId="16" borderId="30" xfId="0" applyFont="1" applyFill="1" applyBorder="1"/>
    <xf numFmtId="4" fontId="48" fillId="19" borderId="30" xfId="0" applyNumberFormat="1" applyFont="1" applyFill="1" applyBorder="1" applyAlignment="1">
      <alignment vertical="center"/>
    </xf>
    <xf numFmtId="0" fontId="57" fillId="15" borderId="35" xfId="0" applyFont="1" applyFill="1" applyBorder="1" applyAlignment="1">
      <alignment vertical="center"/>
    </xf>
    <xf numFmtId="0" fontId="57" fillId="15" borderId="36" xfId="0" applyFont="1" applyFill="1" applyBorder="1" applyAlignment="1">
      <alignment vertical="center"/>
    </xf>
    <xf numFmtId="0" fontId="49" fillId="15" borderId="38" xfId="0" applyFont="1" applyFill="1" applyBorder="1"/>
    <xf numFmtId="0" fontId="48" fillId="15" borderId="41" xfId="0" applyFont="1" applyFill="1" applyBorder="1"/>
    <xf numFmtId="0" fontId="56" fillId="23" borderId="23" xfId="0" applyFont="1" applyFill="1" applyBorder="1" applyAlignment="1">
      <alignment vertical="center"/>
    </xf>
    <xf numFmtId="0" fontId="48" fillId="17" borderId="23" xfId="0" applyFont="1" applyFill="1" applyBorder="1" applyAlignment="1">
      <alignment vertical="center"/>
    </xf>
    <xf numFmtId="0" fontId="48" fillId="18" borderId="23" xfId="0" applyFont="1" applyFill="1" applyBorder="1" applyAlignment="1">
      <alignment vertical="center"/>
    </xf>
    <xf numFmtId="0" fontId="50" fillId="14" borderId="0" xfId="0" applyFont="1" applyFill="1" applyAlignment="1">
      <alignment horizontal="left" vertical="center"/>
    </xf>
    <xf numFmtId="164" fontId="48" fillId="19" borderId="30" xfId="0" applyNumberFormat="1" applyFont="1" applyFill="1" applyBorder="1" applyAlignment="1">
      <alignment horizontal="center" vertical="center"/>
    </xf>
    <xf numFmtId="0" fontId="58" fillId="14" borderId="0" xfId="0" applyFont="1" applyFill="1" applyAlignment="1">
      <alignment horizontal="right" vertical="center"/>
    </xf>
    <xf numFmtId="0" fontId="132" fillId="14" borderId="0" xfId="0" applyFont="1" applyFill="1"/>
    <xf numFmtId="0" fontId="58" fillId="14" borderId="0" xfId="0" applyFont="1" applyFill="1" applyAlignment="1">
      <alignment horizontal="right"/>
    </xf>
    <xf numFmtId="0" fontId="48" fillId="14" borderId="28" xfId="0" applyFont="1" applyFill="1" applyBorder="1"/>
    <xf numFmtId="0" fontId="58" fillId="14" borderId="28" xfId="0" applyFont="1" applyFill="1" applyBorder="1" applyAlignment="1">
      <alignment horizontal="right" vertical="center"/>
    </xf>
    <xf numFmtId="0" fontId="48" fillId="14" borderId="28" xfId="0" applyFont="1" applyFill="1" applyBorder="1" applyAlignment="1">
      <alignment vertical="center"/>
    </xf>
    <xf numFmtId="0" fontId="49" fillId="14" borderId="0" xfId="0" applyFont="1" applyFill="1" applyAlignment="1">
      <alignment horizontal="center" vertical="center"/>
    </xf>
    <xf numFmtId="0" fontId="46" fillId="14" borderId="0" xfId="0" applyFont="1" applyFill="1"/>
    <xf numFmtId="0" fontId="14" fillId="14" borderId="0" xfId="0" applyFont="1" applyFill="1"/>
    <xf numFmtId="0" fontId="72" fillId="14" borderId="0" xfId="0" applyFont="1" applyFill="1" applyAlignment="1">
      <alignment vertical="center"/>
    </xf>
    <xf numFmtId="0" fontId="14" fillId="14" borderId="0" xfId="0" applyFont="1" applyFill="1" applyAlignment="1">
      <alignment horizontal="center"/>
    </xf>
    <xf numFmtId="0" fontId="72" fillId="14" borderId="0" xfId="0" applyFont="1" applyFill="1" applyAlignment="1">
      <alignment horizontal="center" vertical="center"/>
    </xf>
    <xf numFmtId="0" fontId="33" fillId="14" borderId="0" xfId="0" applyFont="1" applyFill="1"/>
    <xf numFmtId="0" fontId="14" fillId="14" borderId="0" xfId="0" applyFont="1" applyFill="1" applyAlignment="1">
      <alignment vertical="center"/>
    </xf>
    <xf numFmtId="0" fontId="78" fillId="14" borderId="0" xfId="0" applyFont="1" applyFill="1" applyAlignment="1">
      <alignment vertical="center"/>
    </xf>
    <xf numFmtId="0" fontId="80" fillId="14" borderId="0" xfId="0" applyFont="1" applyFill="1" applyAlignment="1">
      <alignment horizontal="right" vertical="center"/>
    </xf>
    <xf numFmtId="0" fontId="46" fillId="14" borderId="0" xfId="0" applyFont="1" applyFill="1" applyAlignment="1">
      <alignment horizontal="right"/>
    </xf>
    <xf numFmtId="4" fontId="82" fillId="14" borderId="0" xfId="0" applyNumberFormat="1" applyFont="1" applyFill="1" applyAlignment="1">
      <alignment horizontal="center" vertical="center"/>
    </xf>
    <xf numFmtId="0" fontId="62" fillId="14" borderId="0" xfId="0" applyFont="1" applyFill="1" applyAlignment="1">
      <alignment horizontal="left" vertical="center"/>
    </xf>
    <xf numFmtId="0" fontId="46" fillId="14" borderId="0" xfId="0" applyFont="1" applyFill="1" applyAlignment="1">
      <alignment vertical="center"/>
    </xf>
    <xf numFmtId="0" fontId="47" fillId="16" borderId="0" xfId="0" applyFont="1" applyFill="1" applyAlignment="1">
      <alignment vertical="center"/>
    </xf>
    <xf numFmtId="0" fontId="99" fillId="16" borderId="0" xfId="0" applyFont="1" applyFill="1"/>
    <xf numFmtId="0" fontId="48" fillId="14" borderId="0" xfId="0" applyFont="1" applyFill="1" applyAlignment="1">
      <alignment horizontal="left" vertical="center"/>
    </xf>
    <xf numFmtId="4" fontId="48" fillId="14" borderId="0" xfId="0" applyNumberFormat="1" applyFont="1" applyFill="1" applyAlignment="1">
      <alignment horizontal="center"/>
    </xf>
    <xf numFmtId="0" fontId="58" fillId="14" borderId="0" xfId="0" applyFont="1" applyFill="1" applyAlignment="1">
      <alignment horizontal="left"/>
    </xf>
    <xf numFmtId="4" fontId="46" fillId="14" borderId="0" xfId="0" applyNumberFormat="1" applyFont="1" applyFill="1" applyAlignment="1">
      <alignment horizontal="left"/>
    </xf>
    <xf numFmtId="4" fontId="46" fillId="14" borderId="0" xfId="0" applyNumberFormat="1" applyFont="1" applyFill="1" applyAlignment="1">
      <alignment horizontal="center"/>
    </xf>
    <xf numFmtId="4" fontId="40" fillId="14" borderId="0" xfId="0" applyNumberFormat="1" applyFont="1" applyFill="1" applyAlignment="1">
      <alignment horizontal="center"/>
    </xf>
    <xf numFmtId="4" fontId="46" fillId="14" borderId="0" xfId="0" applyNumberFormat="1" applyFont="1" applyFill="1"/>
    <xf numFmtId="0" fontId="48" fillId="14" borderId="23" xfId="0" applyFont="1" applyFill="1" applyBorder="1" applyAlignment="1">
      <alignment horizontal="center"/>
    </xf>
    <xf numFmtId="4" fontId="48" fillId="14" borderId="23" xfId="0" applyNumberFormat="1" applyFont="1" applyFill="1" applyBorder="1"/>
    <xf numFmtId="0" fontId="77" fillId="14" borderId="30" xfId="0" applyFont="1" applyFill="1" applyBorder="1" applyAlignment="1">
      <alignment horizontal="right" vertical="center"/>
    </xf>
    <xf numFmtId="0" fontId="58" fillId="14" borderId="30" xfId="0" applyFont="1" applyFill="1" applyBorder="1" applyAlignment="1">
      <alignment horizontal="right" vertical="center"/>
    </xf>
    <xf numFmtId="0" fontId="76" fillId="16" borderId="36" xfId="0" applyFont="1" applyFill="1" applyBorder="1" applyAlignment="1">
      <alignment horizontal="left" vertical="center"/>
    </xf>
    <xf numFmtId="0" fontId="58" fillId="14" borderId="23" xfId="0" applyFont="1" applyFill="1" applyBorder="1" applyAlignment="1">
      <alignment horizontal="right" vertical="center"/>
    </xf>
    <xf numFmtId="0" fontId="76" fillId="16" borderId="35" xfId="0" applyFont="1" applyFill="1" applyBorder="1" applyAlignment="1">
      <alignment horizontal="left" vertical="center"/>
    </xf>
    <xf numFmtId="0" fontId="48" fillId="14" borderId="27" xfId="0" applyFont="1" applyFill="1" applyBorder="1"/>
    <xf numFmtId="0" fontId="58" fillId="14" borderId="27" xfId="0" applyFont="1" applyFill="1" applyBorder="1" applyAlignment="1">
      <alignment horizontal="right" vertical="center"/>
    </xf>
    <xf numFmtId="0" fontId="58" fillId="14" borderId="29" xfId="0" applyFont="1" applyFill="1" applyBorder="1" applyAlignment="1">
      <alignment horizontal="right" vertical="center"/>
    </xf>
    <xf numFmtId="2" fontId="48" fillId="14" borderId="23" xfId="0" applyNumberFormat="1" applyFont="1" applyFill="1" applyBorder="1" applyAlignment="1">
      <alignment horizontal="center"/>
    </xf>
    <xf numFmtId="2" fontId="48" fillId="14" borderId="0" xfId="0" applyNumberFormat="1" applyFont="1" applyFill="1" applyAlignment="1">
      <alignment horizontal="center"/>
    </xf>
    <xf numFmtId="2" fontId="48" fillId="14" borderId="7" xfId="0" applyNumberFormat="1" applyFont="1" applyFill="1" applyBorder="1" applyAlignment="1">
      <alignment horizontal="center" vertical="center"/>
    </xf>
    <xf numFmtId="2" fontId="48" fillId="14" borderId="0" xfId="0" applyNumberFormat="1" applyFont="1" applyFill="1" applyAlignment="1">
      <alignment vertical="center"/>
    </xf>
    <xf numFmtId="0" fontId="52" fillId="14" borderId="0" xfId="0" applyFont="1" applyFill="1" applyAlignment="1">
      <alignment horizontal="right" vertical="center"/>
    </xf>
    <xf numFmtId="0" fontId="64" fillId="14" borderId="0" xfId="0" applyFont="1" applyFill="1"/>
    <xf numFmtId="0" fontId="42" fillId="14" borderId="23" xfId="0" applyFont="1" applyFill="1" applyBorder="1" applyAlignment="1">
      <alignment horizontal="right" vertical="center"/>
    </xf>
    <xf numFmtId="2" fontId="46" fillId="14" borderId="0" xfId="0" applyNumberFormat="1" applyFont="1" applyFill="1" applyAlignment="1">
      <alignment horizontal="center" vertical="center"/>
    </xf>
    <xf numFmtId="0" fontId="63" fillId="14" borderId="0" xfId="0" applyFont="1" applyFill="1" applyAlignment="1">
      <alignment vertical="center"/>
    </xf>
    <xf numFmtId="0" fontId="68" fillId="14" borderId="0" xfId="0" applyFont="1" applyFill="1" applyAlignment="1">
      <alignment horizontal="right"/>
    </xf>
    <xf numFmtId="0" fontId="64" fillId="14" borderId="0" xfId="0" applyFont="1" applyFill="1" applyAlignment="1">
      <alignment vertical="center"/>
    </xf>
    <xf numFmtId="0" fontId="65" fillId="14" borderId="0" xfId="0" applyFont="1" applyFill="1" applyAlignment="1">
      <alignment vertical="center"/>
    </xf>
    <xf numFmtId="0" fontId="46" fillId="14" borderId="0" xfId="0" applyFont="1" applyFill="1" applyAlignment="1">
      <alignment horizontal="right" vertical="center"/>
    </xf>
    <xf numFmtId="0" fontId="69" fillId="14" borderId="0" xfId="0" applyFont="1" applyFill="1" applyAlignment="1">
      <alignment vertical="center"/>
    </xf>
    <xf numFmtId="0" fontId="42" fillId="14" borderId="28" xfId="0" applyFont="1" applyFill="1" applyBorder="1" applyAlignment="1">
      <alignment vertical="center"/>
    </xf>
    <xf numFmtId="0" fontId="46" fillId="14" borderId="28" xfId="0" applyFont="1" applyFill="1" applyBorder="1" applyAlignment="1">
      <alignment vertical="center"/>
    </xf>
    <xf numFmtId="0" fontId="42" fillId="14" borderId="31" xfId="0" applyFont="1" applyFill="1" applyBorder="1" applyAlignment="1">
      <alignment vertical="center"/>
    </xf>
    <xf numFmtId="0" fontId="46" fillId="14" borderId="29" xfId="0" applyFont="1" applyFill="1" applyBorder="1" applyAlignment="1">
      <alignment vertical="center"/>
    </xf>
    <xf numFmtId="164" fontId="46" fillId="19" borderId="30" xfId="0" applyNumberFormat="1" applyFont="1" applyFill="1" applyBorder="1" applyAlignment="1">
      <alignment horizontal="center" vertical="center"/>
    </xf>
    <xf numFmtId="0" fontId="46" fillId="38" borderId="28" xfId="0" applyFont="1" applyFill="1" applyBorder="1" applyAlignment="1">
      <alignment vertical="center"/>
    </xf>
    <xf numFmtId="0" fontId="58" fillId="14" borderId="0" xfId="0" applyFont="1" applyFill="1"/>
    <xf numFmtId="0" fontId="74" fillId="15" borderId="38" xfId="0" applyFont="1" applyFill="1" applyBorder="1" applyAlignment="1">
      <alignment horizontal="center" vertical="center"/>
    </xf>
    <xf numFmtId="0" fontId="74" fillId="15" borderId="23" xfId="0" applyFont="1" applyFill="1" applyBorder="1" applyAlignment="1">
      <alignment vertical="center"/>
    </xf>
    <xf numFmtId="0" fontId="75" fillId="15" borderId="23" xfId="0" applyFont="1" applyFill="1" applyBorder="1" applyAlignment="1">
      <alignment horizontal="center" vertical="center"/>
    </xf>
    <xf numFmtId="0" fontId="58" fillId="0" borderId="31" xfId="0" applyFont="1" applyBorder="1" applyAlignment="1">
      <alignment horizontal="left" vertical="center"/>
    </xf>
    <xf numFmtId="0" fontId="47" fillId="16" borderId="31" xfId="0" applyFont="1" applyFill="1" applyBorder="1" applyAlignment="1">
      <alignment horizontal="left" vertical="center"/>
    </xf>
    <xf numFmtId="0" fontId="74" fillId="15" borderId="41" xfId="0" applyFont="1" applyFill="1" applyBorder="1" applyAlignment="1">
      <alignment vertical="center"/>
    </xf>
    <xf numFmtId="4" fontId="48" fillId="3" borderId="42" xfId="0" applyNumberFormat="1" applyFont="1" applyFill="1" applyBorder="1" applyAlignment="1">
      <alignment horizontal="center" vertical="center"/>
    </xf>
    <xf numFmtId="4" fontId="49" fillId="19" borderId="42" xfId="0" applyNumberFormat="1" applyFont="1" applyFill="1" applyBorder="1" applyAlignment="1">
      <alignment horizontal="center" vertical="center"/>
    </xf>
    <xf numFmtId="0" fontId="76" fillId="16" borderId="37" xfId="0" applyFont="1" applyFill="1" applyBorder="1" applyAlignment="1">
      <alignment horizontal="left" vertical="center"/>
    </xf>
    <xf numFmtId="0" fontId="48" fillId="14" borderId="30" xfId="0" applyFont="1" applyFill="1" applyBorder="1"/>
    <xf numFmtId="0" fontId="48" fillId="14" borderId="31" xfId="0" applyFont="1" applyFill="1" applyBorder="1"/>
    <xf numFmtId="0" fontId="48" fillId="14" borderId="31" xfId="0" applyFont="1" applyFill="1" applyBorder="1" applyAlignment="1">
      <alignment horizontal="center"/>
    </xf>
    <xf numFmtId="0" fontId="49" fillId="19" borderId="30" xfId="0" applyFont="1" applyFill="1" applyBorder="1" applyAlignment="1">
      <alignment horizontal="center" vertical="center"/>
    </xf>
    <xf numFmtId="0" fontId="76" fillId="14" borderId="23" xfId="0" applyFont="1" applyFill="1" applyBorder="1" applyAlignment="1">
      <alignment horizontal="left" vertical="center"/>
    </xf>
    <xf numFmtId="0" fontId="76" fillId="16" borderId="30" xfId="0" applyFont="1" applyFill="1" applyBorder="1" applyAlignment="1">
      <alignment horizontal="left" vertical="center"/>
    </xf>
    <xf numFmtId="0" fontId="48" fillId="14" borderId="27" xfId="0" applyFont="1" applyFill="1" applyBorder="1" applyAlignment="1">
      <alignment vertical="center"/>
    </xf>
    <xf numFmtId="0" fontId="58" fillId="14" borderId="30" xfId="0" applyFont="1" applyFill="1" applyBorder="1" applyAlignment="1">
      <alignment horizontal="right"/>
    </xf>
    <xf numFmtId="4" fontId="48" fillId="14" borderId="30" xfId="0" applyNumberFormat="1" applyFont="1" applyFill="1" applyBorder="1"/>
    <xf numFmtId="0" fontId="58" fillId="0" borderId="30" xfId="0" applyFont="1" applyBorder="1" applyAlignment="1">
      <alignment horizontal="left" vertical="center" wrapText="1"/>
    </xf>
    <xf numFmtId="0" fontId="58" fillId="14" borderId="23" xfId="0" applyFont="1" applyFill="1" applyBorder="1" applyAlignment="1">
      <alignment vertical="center"/>
    </xf>
    <xf numFmtId="0" fontId="58" fillId="14" borderId="38" xfId="0" applyFont="1" applyFill="1" applyBorder="1" applyAlignment="1">
      <alignment horizontal="right" vertical="center"/>
    </xf>
    <xf numFmtId="0" fontId="58" fillId="14" borderId="40" xfId="0" applyFont="1" applyFill="1" applyBorder="1" applyAlignment="1">
      <alignment horizontal="right" vertical="center"/>
    </xf>
    <xf numFmtId="0" fontId="47" fillId="14" borderId="30" xfId="0" applyFont="1" applyFill="1" applyBorder="1" applyAlignment="1">
      <alignment horizontal="right" vertical="center" wrapText="1"/>
    </xf>
    <xf numFmtId="0" fontId="47" fillId="14" borderId="30" xfId="0" applyFont="1" applyFill="1" applyBorder="1" applyAlignment="1">
      <alignment horizontal="right" vertical="center"/>
    </xf>
    <xf numFmtId="0" fontId="60" fillId="14" borderId="41" xfId="0" applyFont="1" applyFill="1" applyBorder="1" applyAlignment="1">
      <alignment vertical="center"/>
    </xf>
    <xf numFmtId="0" fontId="48" fillId="14" borderId="41" xfId="0" applyFont="1" applyFill="1" applyBorder="1"/>
    <xf numFmtId="2" fontId="58" fillId="38" borderId="6" xfId="0" applyNumberFormat="1" applyFont="1" applyFill="1" applyBorder="1" applyAlignment="1">
      <alignment horizontal="center" vertical="center"/>
    </xf>
    <xf numFmtId="0" fontId="58" fillId="14" borderId="23" xfId="0" applyFont="1" applyFill="1" applyBorder="1" applyAlignment="1">
      <alignment horizontal="center" vertical="center"/>
    </xf>
    <xf numFmtId="2" fontId="58" fillId="38" borderId="43" xfId="0" applyNumberFormat="1" applyFont="1" applyFill="1" applyBorder="1" applyAlignment="1">
      <alignment horizontal="center" vertical="center"/>
    </xf>
    <xf numFmtId="0" fontId="48" fillId="15" borderId="27" xfId="0" applyFont="1" applyFill="1" applyBorder="1"/>
    <xf numFmtId="0" fontId="74" fillId="15" borderId="27" xfId="0" applyFont="1" applyFill="1" applyBorder="1" applyAlignment="1">
      <alignment vertical="center"/>
    </xf>
    <xf numFmtId="0" fontId="75" fillId="15" borderId="27" xfId="0" applyFont="1" applyFill="1" applyBorder="1" applyAlignment="1">
      <alignment horizontal="right" vertical="center"/>
    </xf>
    <xf numFmtId="0" fontId="75" fillId="15" borderId="27" xfId="0" applyFont="1" applyFill="1" applyBorder="1" applyAlignment="1">
      <alignment vertical="center"/>
    </xf>
    <xf numFmtId="2" fontId="48" fillId="19" borderId="30" xfId="0" applyNumberFormat="1" applyFont="1" applyFill="1" applyBorder="1" applyAlignment="1">
      <alignment horizontal="center" vertical="center"/>
    </xf>
    <xf numFmtId="0" fontId="60" fillId="16" borderId="30" xfId="0" applyFont="1" applyFill="1" applyBorder="1" applyAlignment="1">
      <alignment horizontal="right" vertical="center"/>
    </xf>
    <xf numFmtId="2" fontId="48" fillId="4" borderId="30" xfId="0" applyNumberFormat="1" applyFont="1" applyFill="1" applyBorder="1" applyAlignment="1">
      <alignment horizontal="center" vertical="center"/>
    </xf>
    <xf numFmtId="3" fontId="48" fillId="4" borderId="30" xfId="0" applyNumberFormat="1" applyFont="1" applyFill="1" applyBorder="1" applyAlignment="1">
      <alignment horizontal="center" vertical="center"/>
    </xf>
    <xf numFmtId="0" fontId="60" fillId="16" borderId="37" xfId="0" applyFont="1" applyFill="1" applyBorder="1" applyAlignment="1">
      <alignment vertical="center"/>
    </xf>
    <xf numFmtId="0" fontId="48" fillId="14" borderId="31" xfId="0" applyFont="1" applyFill="1" applyBorder="1" applyAlignment="1">
      <alignment vertical="center"/>
    </xf>
    <xf numFmtId="0" fontId="60" fillId="16" borderId="39" xfId="0" applyFont="1" applyFill="1" applyBorder="1" applyAlignment="1">
      <alignment vertical="center"/>
    </xf>
    <xf numFmtId="0" fontId="60" fillId="16" borderId="39" xfId="0" applyFont="1" applyFill="1" applyBorder="1" applyAlignment="1">
      <alignment horizontal="right" vertical="center"/>
    </xf>
    <xf numFmtId="0" fontId="60" fillId="16" borderId="34" xfId="0" applyFont="1" applyFill="1" applyBorder="1" applyAlignment="1">
      <alignment vertical="center"/>
    </xf>
    <xf numFmtId="0" fontId="60" fillId="16" borderId="34" xfId="0" applyFont="1" applyFill="1" applyBorder="1" applyAlignment="1">
      <alignment horizontal="right" vertical="center"/>
    </xf>
    <xf numFmtId="4" fontId="42" fillId="19" borderId="30" xfId="0" applyNumberFormat="1" applyFont="1" applyFill="1" applyBorder="1" applyAlignment="1">
      <alignment horizontal="center" vertical="center"/>
    </xf>
    <xf numFmtId="4" fontId="67" fillId="19" borderId="30" xfId="0" applyNumberFormat="1" applyFont="1" applyFill="1" applyBorder="1" applyAlignment="1">
      <alignment horizontal="center" vertical="center"/>
    </xf>
    <xf numFmtId="0" fontId="74" fillId="14" borderId="0" xfId="0" applyFont="1" applyFill="1" applyAlignment="1">
      <alignment vertical="center"/>
    </xf>
    <xf numFmtId="0" fontId="48" fillId="14" borderId="23" xfId="0" applyFont="1" applyFill="1" applyBorder="1" applyAlignment="1">
      <alignment horizontal="right" vertical="center"/>
    </xf>
    <xf numFmtId="0" fontId="46" fillId="14" borderId="23" xfId="0" applyFont="1" applyFill="1" applyBorder="1"/>
    <xf numFmtId="0" fontId="41" fillId="14" borderId="23" xfId="0" applyFont="1" applyFill="1" applyBorder="1" applyAlignment="1">
      <alignment horizontal="right"/>
    </xf>
    <xf numFmtId="0" fontId="74" fillId="14" borderId="23" xfId="0" applyFont="1" applyFill="1" applyBorder="1" applyAlignment="1">
      <alignment vertical="center"/>
    </xf>
    <xf numFmtId="0" fontId="42" fillId="14" borderId="23" xfId="0" applyFont="1" applyFill="1" applyBorder="1"/>
    <xf numFmtId="4" fontId="85" fillId="19" borderId="30" xfId="0" applyNumberFormat="1" applyFont="1" applyFill="1" applyBorder="1" applyAlignment="1">
      <alignment horizontal="center" vertical="center"/>
    </xf>
    <xf numFmtId="4" fontId="66" fillId="0" borderId="30" xfId="0" applyNumberFormat="1" applyFont="1" applyBorder="1" applyAlignment="1">
      <alignment horizontal="center" vertical="center"/>
    </xf>
    <xf numFmtId="0" fontId="46" fillId="14" borderId="23" xfId="0" applyFont="1" applyFill="1" applyBorder="1" applyAlignment="1">
      <alignment vertical="center"/>
    </xf>
    <xf numFmtId="2" fontId="46" fillId="0" borderId="23" xfId="0" applyNumberFormat="1" applyFont="1" applyBorder="1" applyAlignment="1">
      <alignment horizontal="center" vertical="center"/>
    </xf>
    <xf numFmtId="0" fontId="46" fillId="14" borderId="31" xfId="0" applyFont="1" applyFill="1" applyBorder="1" applyAlignment="1">
      <alignment vertical="center"/>
    </xf>
    <xf numFmtId="2" fontId="42" fillId="13" borderId="29" xfId="0" applyNumberFormat="1" applyFont="1" applyFill="1" applyBorder="1" applyAlignment="1">
      <alignment horizontal="center" vertical="center"/>
    </xf>
    <xf numFmtId="0" fontId="83" fillId="16" borderId="29" xfId="0" applyFont="1" applyFill="1" applyBorder="1" applyAlignment="1">
      <alignment horizontal="right" vertical="center"/>
    </xf>
    <xf numFmtId="2" fontId="46" fillId="4" borderId="30" xfId="0" applyNumberFormat="1" applyFont="1" applyFill="1" applyBorder="1" applyAlignment="1">
      <alignment horizontal="center" vertical="center"/>
    </xf>
    <xf numFmtId="164" fontId="46" fillId="4" borderId="30" xfId="0" applyNumberFormat="1" applyFont="1" applyFill="1" applyBorder="1" applyAlignment="1">
      <alignment horizontal="center" vertical="center"/>
    </xf>
    <xf numFmtId="0" fontId="79" fillId="14" borderId="0" xfId="0" applyFont="1" applyFill="1" applyAlignment="1">
      <alignment vertical="center"/>
    </xf>
    <xf numFmtId="0" fontId="46" fillId="2" borderId="30" xfId="0" applyFont="1" applyFill="1" applyBorder="1" applyAlignment="1" applyProtection="1">
      <alignment horizontal="center" vertical="center"/>
      <protection locked="0"/>
    </xf>
    <xf numFmtId="0" fontId="80" fillId="16" borderId="37" xfId="0" applyFont="1" applyFill="1" applyBorder="1" applyAlignment="1">
      <alignment horizontal="right" vertical="center"/>
    </xf>
    <xf numFmtId="0" fontId="84" fillId="16" borderId="35" xfId="0" applyFont="1" applyFill="1" applyBorder="1" applyAlignment="1">
      <alignment horizontal="right" vertical="center"/>
    </xf>
    <xf numFmtId="0" fontId="46" fillId="16" borderId="36" xfId="0" applyFont="1" applyFill="1" applyBorder="1" applyAlignment="1">
      <alignment vertical="center"/>
    </xf>
    <xf numFmtId="3" fontId="46" fillId="3" borderId="30" xfId="0" applyNumberFormat="1" applyFont="1" applyFill="1" applyBorder="1" applyAlignment="1">
      <alignment horizontal="center" vertical="center"/>
    </xf>
    <xf numFmtId="0" fontId="46" fillId="14" borderId="37" xfId="0" applyFont="1" applyFill="1" applyBorder="1"/>
    <xf numFmtId="0" fontId="42" fillId="0" borderId="30" xfId="0" applyFont="1" applyBorder="1"/>
    <xf numFmtId="0" fontId="46" fillId="19" borderId="30" xfId="0" applyFont="1" applyFill="1" applyBorder="1" applyAlignment="1">
      <alignment horizontal="center" vertical="center"/>
    </xf>
    <xf numFmtId="0" fontId="46" fillId="3" borderId="30" xfId="0" applyFont="1" applyFill="1" applyBorder="1" applyAlignment="1" applyProtection="1">
      <alignment horizontal="center" vertical="center"/>
      <protection locked="0"/>
    </xf>
    <xf numFmtId="0" fontId="82" fillId="14" borderId="0" xfId="0" applyFont="1" applyFill="1" applyAlignment="1">
      <alignment vertical="center"/>
    </xf>
    <xf numFmtId="4" fontId="48" fillId="13" borderId="30" xfId="0" applyNumberFormat="1" applyFont="1" applyFill="1" applyBorder="1" applyAlignment="1">
      <alignment horizontal="center" vertical="center"/>
    </xf>
    <xf numFmtId="0" fontId="48" fillId="25" borderId="23" xfId="0" applyFont="1" applyFill="1" applyBorder="1" applyAlignment="1">
      <alignment vertical="center"/>
    </xf>
    <xf numFmtId="0" fontId="48" fillId="12" borderId="23" xfId="0" applyFont="1" applyFill="1" applyBorder="1" applyAlignment="1">
      <alignment vertical="center"/>
    </xf>
    <xf numFmtId="0" fontId="140" fillId="14" borderId="0" xfId="0" applyFont="1" applyFill="1" applyAlignment="1">
      <alignment horizontal="left" vertical="center"/>
    </xf>
    <xf numFmtId="0" fontId="54" fillId="14" borderId="0" xfId="0" applyFont="1" applyFill="1" applyAlignment="1">
      <alignment vertical="center"/>
    </xf>
    <xf numFmtId="0" fontId="82" fillId="14" borderId="0" xfId="0" applyFont="1" applyFill="1" applyAlignment="1">
      <alignment horizontal="left" vertical="center"/>
    </xf>
    <xf numFmtId="0" fontId="73" fillId="15" borderId="37" xfId="0" applyFont="1" applyFill="1" applyBorder="1" applyAlignment="1">
      <alignment horizontal="left" vertical="center"/>
    </xf>
    <xf numFmtId="0" fontId="74" fillId="15" borderId="35" xfId="0" applyFont="1" applyFill="1" applyBorder="1" applyAlignment="1">
      <alignment vertical="center"/>
    </xf>
    <xf numFmtId="0" fontId="48" fillId="15" borderId="36" xfId="0" applyFont="1" applyFill="1" applyBorder="1"/>
    <xf numFmtId="0" fontId="48" fillId="0" borderId="30" xfId="0" applyFont="1" applyBorder="1" applyAlignment="1">
      <alignment horizontal="right" vertical="center"/>
    </xf>
    <xf numFmtId="0" fontId="60" fillId="16" borderId="36" xfId="0" applyFont="1" applyFill="1" applyBorder="1" applyAlignment="1">
      <alignment vertical="center"/>
    </xf>
    <xf numFmtId="0" fontId="74" fillId="15" borderId="36" xfId="0" applyFont="1" applyFill="1" applyBorder="1" applyAlignment="1">
      <alignment vertical="center"/>
    </xf>
    <xf numFmtId="0" fontId="79" fillId="16" borderId="31" xfId="0" applyFont="1" applyFill="1" applyBorder="1" applyAlignment="1">
      <alignment vertical="center"/>
    </xf>
    <xf numFmtId="0" fontId="84" fillId="16" borderId="29" xfId="0" applyFont="1" applyFill="1" applyBorder="1" applyAlignment="1">
      <alignment horizontal="right" vertical="center"/>
    </xf>
    <xf numFmtId="0" fontId="92" fillId="14" borderId="0" xfId="0" applyFont="1" applyFill="1" applyAlignment="1">
      <alignment vertical="center"/>
    </xf>
    <xf numFmtId="0" fontId="104" fillId="14" borderId="0" xfId="0" applyFont="1" applyFill="1" applyAlignment="1">
      <alignment vertical="center"/>
    </xf>
    <xf numFmtId="0" fontId="96" fillId="16" borderId="29" xfId="0" applyFont="1" applyFill="1" applyBorder="1" applyAlignment="1">
      <alignment horizontal="left" vertical="center"/>
    </xf>
    <xf numFmtId="0" fontId="60" fillId="16" borderId="31" xfId="0" applyFont="1" applyFill="1" applyBorder="1" applyAlignment="1">
      <alignment horizontal="left" vertical="center"/>
    </xf>
    <xf numFmtId="0" fontId="60" fillId="16" borderId="29" xfId="0" applyFont="1" applyFill="1" applyBorder="1" applyAlignment="1">
      <alignment horizontal="left" vertical="center"/>
    </xf>
    <xf numFmtId="0" fontId="26" fillId="16" borderId="30" xfId="0" applyFont="1" applyFill="1" applyBorder="1" applyAlignment="1">
      <alignment vertical="center"/>
    </xf>
    <xf numFmtId="0" fontId="104" fillId="16" borderId="31" xfId="0" applyFont="1" applyFill="1" applyBorder="1" applyAlignment="1">
      <alignment vertical="center"/>
    </xf>
    <xf numFmtId="0" fontId="93" fillId="14" borderId="0" xfId="0" applyFont="1" applyFill="1" applyAlignment="1">
      <alignment vertical="center"/>
    </xf>
    <xf numFmtId="0" fontId="93" fillId="14" borderId="0" xfId="0" applyFont="1" applyFill="1" applyAlignment="1">
      <alignment horizontal="right" vertical="center"/>
    </xf>
    <xf numFmtId="0" fontId="43" fillId="14" borderId="0" xfId="0" applyFont="1" applyFill="1" applyAlignment="1">
      <alignment horizontal="right" vertical="center"/>
    </xf>
    <xf numFmtId="0" fontId="94" fillId="14" borderId="0" xfId="0" applyFont="1" applyFill="1" applyAlignment="1">
      <alignment vertical="center"/>
    </xf>
    <xf numFmtId="0" fontId="37" fillId="14" borderId="23" xfId="0" applyFont="1" applyFill="1" applyBorder="1" applyAlignment="1">
      <alignment vertical="center"/>
    </xf>
    <xf numFmtId="0" fontId="26" fillId="0" borderId="23" xfId="0" applyFont="1" applyBorder="1" applyAlignment="1">
      <alignment vertical="center"/>
    </xf>
    <xf numFmtId="0" fontId="60" fillId="16" borderId="40" xfId="0" applyFont="1" applyFill="1" applyBorder="1" applyAlignment="1">
      <alignment horizontal="left" vertical="center"/>
    </xf>
    <xf numFmtId="0" fontId="39" fillId="14" borderId="0" xfId="0" applyFont="1" applyFill="1" applyAlignment="1">
      <alignment vertical="center"/>
    </xf>
    <xf numFmtId="0" fontId="26" fillId="14" borderId="23" xfId="0" applyFont="1" applyFill="1" applyBorder="1" applyAlignment="1">
      <alignment vertical="center"/>
    </xf>
    <xf numFmtId="0" fontId="26" fillId="14" borderId="0" xfId="0" applyFont="1" applyFill="1" applyAlignment="1">
      <alignment vertical="center"/>
    </xf>
    <xf numFmtId="0" fontId="26" fillId="14" borderId="0" xfId="0" applyFont="1" applyFill="1" applyAlignment="1">
      <alignment horizontal="center" vertical="center"/>
    </xf>
    <xf numFmtId="0" fontId="39" fillId="0" borderId="29" xfId="0" applyFont="1" applyBorder="1" applyAlignment="1">
      <alignment vertical="center"/>
    </xf>
    <xf numFmtId="164" fontId="48" fillId="38" borderId="30" xfId="0" applyNumberFormat="1" applyFont="1" applyFill="1" applyBorder="1" applyAlignment="1" applyProtection="1">
      <alignment horizontal="center" vertical="center"/>
      <protection locked="0"/>
    </xf>
    <xf numFmtId="0" fontId="37" fillId="40" borderId="5" xfId="0" applyFont="1" applyFill="1" applyBorder="1" applyAlignment="1">
      <alignment vertical="center"/>
    </xf>
    <xf numFmtId="0" fontId="108" fillId="14" borderId="0" xfId="0" applyFont="1" applyFill="1"/>
    <xf numFmtId="0" fontId="40" fillId="16" borderId="29" xfId="0" applyFont="1" applyFill="1" applyBorder="1" applyAlignment="1">
      <alignment horizontal="center" vertical="center"/>
    </xf>
    <xf numFmtId="0" fontId="47" fillId="16" borderId="31" xfId="0" applyFont="1" applyFill="1" applyBorder="1" applyAlignment="1">
      <alignment horizontal="center" vertical="center"/>
    </xf>
    <xf numFmtId="0" fontId="46" fillId="0" borderId="31" xfId="0" applyFont="1" applyBorder="1" applyAlignment="1">
      <alignment horizontal="center" vertical="center"/>
    </xf>
    <xf numFmtId="4" fontId="58" fillId="0" borderId="30" xfId="0" applyNumberFormat="1" applyFont="1" applyBorder="1" applyAlignment="1">
      <alignment horizontal="center" vertical="center"/>
    </xf>
    <xf numFmtId="0" fontId="46" fillId="16" borderId="30" xfId="0" applyFont="1" applyFill="1" applyBorder="1" applyAlignment="1">
      <alignment vertical="center"/>
    </xf>
    <xf numFmtId="4" fontId="40" fillId="16" borderId="30" xfId="0" applyNumberFormat="1" applyFont="1" applyFill="1" applyBorder="1" applyAlignment="1">
      <alignment horizontal="center" vertical="center"/>
    </xf>
    <xf numFmtId="0" fontId="46" fillId="16" borderId="29" xfId="0" applyFont="1" applyFill="1" applyBorder="1" applyAlignment="1">
      <alignment horizontal="center" vertical="center"/>
    </xf>
    <xf numFmtId="165" fontId="46" fillId="16" borderId="30" xfId="0" applyNumberFormat="1" applyFont="1" applyFill="1" applyBorder="1" applyAlignment="1">
      <alignment horizontal="center" vertical="center"/>
    </xf>
    <xf numFmtId="0" fontId="58" fillId="0" borderId="29" xfId="0" applyFont="1" applyBorder="1" applyAlignment="1">
      <alignment vertical="center"/>
    </xf>
    <xf numFmtId="0" fontId="46" fillId="16" borderId="31" xfId="0" applyFont="1" applyFill="1" applyBorder="1" applyAlignment="1">
      <alignment vertical="center"/>
    </xf>
    <xf numFmtId="0" fontId="40" fillId="16" borderId="29" xfId="0" applyFont="1" applyFill="1" applyBorder="1" applyAlignment="1">
      <alignment horizontal="left" vertical="center"/>
    </xf>
    <xf numFmtId="0" fontId="47" fillId="16" borderId="29" xfId="0" applyFont="1" applyFill="1" applyBorder="1" applyAlignment="1">
      <alignment horizontal="left" vertical="center"/>
    </xf>
    <xf numFmtId="0" fontId="60" fillId="16" borderId="28" xfId="0" applyFont="1" applyFill="1" applyBorder="1" applyAlignment="1">
      <alignment horizontal="center" vertical="center"/>
    </xf>
    <xf numFmtId="4" fontId="48" fillId="16" borderId="30" xfId="0" applyNumberFormat="1" applyFont="1" applyFill="1" applyBorder="1" applyAlignment="1">
      <alignment horizontal="center" vertical="center"/>
    </xf>
    <xf numFmtId="2" fontId="48" fillId="16" borderId="30" xfId="0" applyNumberFormat="1" applyFont="1" applyFill="1" applyBorder="1" applyAlignment="1">
      <alignment horizontal="center" vertical="center"/>
    </xf>
    <xf numFmtId="0" fontId="48" fillId="16" borderId="30" xfId="0" applyFont="1" applyFill="1" applyBorder="1" applyAlignment="1">
      <alignment horizontal="center" vertical="center"/>
    </xf>
    <xf numFmtId="0" fontId="40" fillId="16" borderId="30" xfId="0" applyFont="1" applyFill="1" applyBorder="1" applyAlignment="1">
      <alignment horizontal="left" vertical="center"/>
    </xf>
    <xf numFmtId="0" fontId="47" fillId="16" borderId="30" xfId="0" applyFont="1" applyFill="1" applyBorder="1" applyAlignment="1">
      <alignment horizontal="left" vertical="center"/>
    </xf>
    <xf numFmtId="0" fontId="0" fillId="14" borderId="23" xfId="0" applyFill="1" applyBorder="1"/>
    <xf numFmtId="0" fontId="48" fillId="0" borderId="34" xfId="0" applyFont="1" applyBorder="1" applyAlignment="1">
      <alignment vertical="center"/>
    </xf>
    <xf numFmtId="0" fontId="58" fillId="0" borderId="23" xfId="0" applyFont="1" applyBorder="1" applyAlignment="1">
      <alignment vertical="center"/>
    </xf>
    <xf numFmtId="0" fontId="48" fillId="0" borderId="34" xfId="0" applyFont="1" applyBorder="1" applyAlignment="1">
      <alignment horizontal="center" vertical="center"/>
    </xf>
    <xf numFmtId="0" fontId="48" fillId="14" borderId="44" xfId="0" applyFont="1" applyFill="1" applyBorder="1" applyAlignment="1">
      <alignment vertical="center"/>
    </xf>
    <xf numFmtId="0" fontId="25" fillId="0" borderId="0" xfId="0" applyFont="1" applyAlignment="1">
      <alignment horizontal="center" vertical="center"/>
    </xf>
    <xf numFmtId="0" fontId="25" fillId="14" borderId="0" xfId="0" applyFont="1" applyFill="1" applyAlignment="1">
      <alignment horizontal="center" vertical="center"/>
    </xf>
    <xf numFmtId="0" fontId="7" fillId="0" borderId="0" xfId="0" applyFont="1" applyAlignment="1">
      <alignment horizontal="center"/>
    </xf>
    <xf numFmtId="0" fontId="7" fillId="0" borderId="0" xfId="0" applyFont="1" applyAlignment="1">
      <alignment horizontal="center" vertical="center"/>
    </xf>
    <xf numFmtId="168" fontId="7" fillId="0" borderId="0" xfId="0" applyNumberFormat="1" applyFont="1" applyAlignment="1">
      <alignment horizontal="center" vertical="center"/>
    </xf>
    <xf numFmtId="0" fontId="26" fillId="0" borderId="0" xfId="0" applyFont="1"/>
    <xf numFmtId="0" fontId="42" fillId="0" borderId="0" xfId="0" applyFont="1" applyAlignment="1">
      <alignment horizontal="right" vertical="center"/>
    </xf>
    <xf numFmtId="0" fontId="40" fillId="14" borderId="23" xfId="0" applyFont="1" applyFill="1" applyBorder="1" applyAlignment="1">
      <alignment vertical="center"/>
    </xf>
    <xf numFmtId="0" fontId="60" fillId="29" borderId="30" xfId="0" applyFont="1" applyFill="1" applyBorder="1" applyAlignment="1">
      <alignment horizontal="center" vertical="center"/>
    </xf>
    <xf numFmtId="0" fontId="60" fillId="41" borderId="30" xfId="0" applyFont="1" applyFill="1" applyBorder="1" applyAlignment="1">
      <alignment horizontal="center" vertical="center" wrapText="1"/>
    </xf>
    <xf numFmtId="0" fontId="7" fillId="0" borderId="23" xfId="0" applyFont="1" applyBorder="1" applyAlignment="1">
      <alignment vertical="center"/>
    </xf>
    <xf numFmtId="166" fontId="46" fillId="0" borderId="30" xfId="0" applyNumberFormat="1" applyFont="1" applyBorder="1" applyAlignment="1">
      <alignment horizontal="center" vertical="center"/>
    </xf>
    <xf numFmtId="0" fontId="42" fillId="0" borderId="39" xfId="0" applyFont="1" applyBorder="1" applyAlignment="1">
      <alignment horizontal="center" vertical="center"/>
    </xf>
    <xf numFmtId="1" fontId="42" fillId="0" borderId="30" xfId="0" applyNumberFormat="1" applyFont="1" applyBorder="1" applyAlignment="1">
      <alignment horizontal="center" vertical="center"/>
    </xf>
    <xf numFmtId="9" fontId="42" fillId="0" borderId="30" xfId="0" applyNumberFormat="1" applyFont="1" applyBorder="1" applyAlignment="1">
      <alignment horizontal="center" vertical="center"/>
    </xf>
    <xf numFmtId="0" fontId="143" fillId="0" borderId="30" xfId="0" applyFont="1" applyBorder="1" applyAlignment="1">
      <alignment horizontal="center" vertical="center"/>
    </xf>
    <xf numFmtId="164" fontId="46" fillId="14" borderId="30" xfId="0" applyNumberFormat="1" applyFont="1" applyFill="1" applyBorder="1" applyAlignment="1">
      <alignment horizontal="center" vertical="center"/>
    </xf>
    <xf numFmtId="2" fontId="46" fillId="14" borderId="30" xfId="0" applyNumberFormat="1" applyFont="1" applyFill="1" applyBorder="1" applyAlignment="1">
      <alignment horizontal="center" vertical="center"/>
    </xf>
    <xf numFmtId="4" fontId="46" fillId="14" borderId="30" xfId="0" applyNumberFormat="1" applyFont="1" applyFill="1" applyBorder="1" applyAlignment="1">
      <alignment horizontal="center" vertical="center"/>
    </xf>
    <xf numFmtId="0" fontId="46" fillId="14" borderId="30" xfId="0" applyFont="1" applyFill="1" applyBorder="1" applyAlignment="1">
      <alignment horizontal="center" vertical="center"/>
    </xf>
    <xf numFmtId="2" fontId="46" fillId="0" borderId="30" xfId="0" applyNumberFormat="1" applyFont="1" applyBorder="1" applyAlignment="1">
      <alignment horizontal="center" vertical="center"/>
    </xf>
    <xf numFmtId="2" fontId="40" fillId="0" borderId="30" xfId="0" applyNumberFormat="1" applyFont="1" applyBorder="1" applyAlignment="1">
      <alignment horizontal="center" vertical="center"/>
    </xf>
    <xf numFmtId="0" fontId="40" fillId="0" borderId="30" xfId="0" applyFont="1" applyBorder="1" applyAlignment="1">
      <alignment horizontal="center" vertical="center"/>
    </xf>
    <xf numFmtId="0" fontId="42" fillId="14" borderId="39" xfId="0" applyFont="1" applyFill="1" applyBorder="1" applyAlignment="1">
      <alignment vertical="center"/>
    </xf>
    <xf numFmtId="0" fontId="42" fillId="14" borderId="44" xfId="0" applyFont="1" applyFill="1" applyBorder="1" applyAlignment="1">
      <alignment vertical="center"/>
    </xf>
    <xf numFmtId="0" fontId="42" fillId="0" borderId="44" xfId="0" applyFont="1" applyBorder="1" applyAlignment="1">
      <alignment vertical="center"/>
    </xf>
    <xf numFmtId="0" fontId="95" fillId="14" borderId="23" xfId="0" applyFont="1" applyFill="1" applyBorder="1" applyAlignment="1">
      <alignment vertical="center"/>
    </xf>
    <xf numFmtId="3" fontId="62" fillId="0" borderId="39" xfId="0" applyNumberFormat="1" applyFont="1" applyBorder="1" applyAlignment="1">
      <alignment horizontal="center" vertical="center"/>
    </xf>
    <xf numFmtId="0" fontId="118" fillId="0" borderId="34" xfId="0" applyFont="1" applyBorder="1" applyAlignment="1">
      <alignment vertical="center" wrapText="1"/>
    </xf>
    <xf numFmtId="1" fontId="95" fillId="2" borderId="30" xfId="0" applyNumberFormat="1" applyFont="1" applyFill="1" applyBorder="1" applyAlignment="1" applyProtection="1">
      <alignment horizontal="center" vertical="center" wrapText="1"/>
      <protection locked="0"/>
    </xf>
    <xf numFmtId="0" fontId="95" fillId="0" borderId="44" xfId="0" applyFont="1" applyBorder="1" applyAlignment="1">
      <alignment vertical="center"/>
    </xf>
    <xf numFmtId="174" fontId="118" fillId="0" borderId="30" xfId="0" applyNumberFormat="1" applyFont="1" applyBorder="1" applyAlignment="1">
      <alignment horizontal="center" vertical="center" wrapText="1"/>
    </xf>
    <xf numFmtId="9" fontId="118" fillId="2" borderId="30" xfId="0" applyNumberFormat="1" applyFont="1" applyFill="1" applyBorder="1" applyAlignment="1" applyProtection="1">
      <alignment horizontal="center" vertical="center" wrapText="1"/>
      <protection locked="0"/>
    </xf>
    <xf numFmtId="164" fontId="42" fillId="0" borderId="30" xfId="0" applyNumberFormat="1" applyFont="1" applyBorder="1" applyAlignment="1">
      <alignment horizontal="center" vertical="center"/>
    </xf>
    <xf numFmtId="3" fontId="42" fillId="0" borderId="44" xfId="0" applyNumberFormat="1" applyFont="1" applyBorder="1" applyAlignment="1">
      <alignment horizontal="center" vertical="center"/>
    </xf>
    <xf numFmtId="166" fontId="42" fillId="0" borderId="30" xfId="0" applyNumberFormat="1" applyFont="1" applyBorder="1" applyAlignment="1">
      <alignment horizontal="center" vertical="center"/>
    </xf>
    <xf numFmtId="0" fontId="118" fillId="0" borderId="30" xfId="0" applyFont="1" applyBorder="1" applyAlignment="1">
      <alignment vertical="center" wrapText="1"/>
    </xf>
    <xf numFmtId="174" fontId="118" fillId="0" borderId="34" xfId="0" applyNumberFormat="1" applyFont="1" applyBorder="1" applyAlignment="1">
      <alignment horizontal="center" vertical="center" wrapText="1"/>
    </xf>
    <xf numFmtId="0" fontId="42" fillId="14" borderId="28" xfId="0" applyFont="1" applyFill="1" applyBorder="1" applyAlignment="1">
      <alignment horizontal="center" vertical="center"/>
    </xf>
    <xf numFmtId="1" fontId="42" fillId="0" borderId="23" xfId="0" applyNumberFormat="1" applyFont="1" applyBorder="1" applyAlignment="1">
      <alignment horizontal="center" vertical="center"/>
    </xf>
    <xf numFmtId="1" fontId="42" fillId="0" borderId="45" xfId="0" applyNumberFormat="1" applyFont="1" applyBorder="1" applyAlignment="1">
      <alignment horizontal="center" vertical="center"/>
    </xf>
    <xf numFmtId="1" fontId="42" fillId="0" borderId="46" xfId="0" applyNumberFormat="1" applyFont="1" applyBorder="1" applyAlignment="1">
      <alignment horizontal="center" vertical="center"/>
    </xf>
    <xf numFmtId="1" fontId="42" fillId="0" borderId="47" xfId="0" applyNumberFormat="1" applyFont="1" applyBorder="1" applyAlignment="1">
      <alignment horizontal="center" vertical="center"/>
    </xf>
    <xf numFmtId="0" fontId="42" fillId="14" borderId="23" xfId="0" applyFont="1" applyFill="1" applyBorder="1" applyAlignment="1">
      <alignment vertical="top"/>
    </xf>
    <xf numFmtId="0" fontId="42" fillId="14" borderId="0" xfId="0" applyFont="1" applyFill="1" applyAlignment="1">
      <alignment vertical="top"/>
    </xf>
    <xf numFmtId="0" fontId="42" fillId="0" borderId="0" xfId="0" applyFont="1" applyAlignment="1">
      <alignment vertical="top"/>
    </xf>
    <xf numFmtId="0" fontId="62" fillId="29" borderId="30" xfId="0" applyFont="1" applyFill="1" applyBorder="1" applyAlignment="1">
      <alignment horizontal="left" vertical="center"/>
    </xf>
    <xf numFmtId="0" fontId="47" fillId="29" borderId="30" xfId="0" applyFont="1" applyFill="1" applyBorder="1" applyAlignment="1">
      <alignment horizontal="left" vertical="center"/>
    </xf>
    <xf numFmtId="0" fontId="47" fillId="29" borderId="30" xfId="0" applyFont="1" applyFill="1" applyBorder="1" applyAlignment="1">
      <alignment vertical="center"/>
    </xf>
    <xf numFmtId="1" fontId="120" fillId="0" borderId="30" xfId="0" applyNumberFormat="1" applyFont="1" applyBorder="1" applyAlignment="1" applyProtection="1">
      <alignment horizontal="center" vertical="center"/>
      <protection locked="0"/>
    </xf>
    <xf numFmtId="166" fontId="120" fillId="0" borderId="30" xfId="0" applyNumberFormat="1" applyFont="1" applyBorder="1" applyAlignment="1" applyProtection="1">
      <alignment horizontal="center" vertical="center"/>
      <protection locked="0"/>
    </xf>
    <xf numFmtId="3" fontId="120" fillId="0" borderId="29" xfId="0" applyNumberFormat="1" applyFont="1" applyBorder="1" applyAlignment="1">
      <alignment horizontal="center" vertical="center"/>
    </xf>
    <xf numFmtId="0" fontId="60" fillId="29" borderId="30" xfId="0" applyFont="1" applyFill="1" applyBorder="1" applyAlignment="1">
      <alignment vertical="center"/>
    </xf>
    <xf numFmtId="0" fontId="122" fillId="29" borderId="30" xfId="0" applyFont="1" applyFill="1" applyBorder="1" applyAlignment="1">
      <alignment vertical="center"/>
    </xf>
    <xf numFmtId="0" fontId="39" fillId="0" borderId="41" xfId="0" applyFont="1" applyBorder="1" applyAlignment="1">
      <alignment vertical="center"/>
    </xf>
    <xf numFmtId="0" fontId="49" fillId="14" borderId="44" xfId="0" applyFont="1" applyFill="1" applyBorder="1" applyAlignment="1">
      <alignment vertical="center"/>
    </xf>
    <xf numFmtId="0" fontId="48" fillId="14" borderId="44" xfId="0" applyFont="1" applyFill="1" applyBorder="1" applyAlignment="1">
      <alignment horizontal="center" vertical="center"/>
    </xf>
    <xf numFmtId="3" fontId="48" fillId="0" borderId="39" xfId="0" applyNumberFormat="1" applyFont="1" applyBorder="1" applyAlignment="1">
      <alignment horizontal="center" vertical="center"/>
    </xf>
    <xf numFmtId="164" fontId="48" fillId="0" borderId="39" xfId="0" applyNumberFormat="1" applyFont="1" applyBorder="1" applyAlignment="1">
      <alignment horizontal="center" vertical="center"/>
    </xf>
    <xf numFmtId="9" fontId="48" fillId="0" borderId="39" xfId="0" applyNumberFormat="1" applyFont="1" applyBorder="1" applyAlignment="1">
      <alignment horizontal="center" vertical="center"/>
    </xf>
    <xf numFmtId="166" fontId="48" fillId="0" borderId="34" xfId="0" applyNumberFormat="1" applyFont="1" applyBorder="1" applyAlignment="1">
      <alignment horizontal="center" vertical="center"/>
    </xf>
    <xf numFmtId="3" fontId="48" fillId="0" borderId="34" xfId="0" applyNumberFormat="1" applyFont="1" applyBorder="1" applyAlignment="1">
      <alignment horizontal="center" vertical="center"/>
    </xf>
    <xf numFmtId="165" fontId="128" fillId="0" borderId="30" xfId="0" applyNumberFormat="1" applyFont="1" applyBorder="1" applyAlignment="1">
      <alignment horizontal="center" vertical="center"/>
    </xf>
    <xf numFmtId="0" fontId="0" fillId="0" borderId="23" xfId="0" applyBorder="1" applyAlignment="1">
      <alignment vertical="center"/>
    </xf>
    <xf numFmtId="0" fontId="49" fillId="0" borderId="23" xfId="0" applyFont="1" applyBorder="1" applyAlignment="1">
      <alignment vertical="center"/>
    </xf>
    <xf numFmtId="0" fontId="128" fillId="14" borderId="44" xfId="0" applyFont="1" applyFill="1" applyBorder="1" applyAlignment="1">
      <alignment vertical="center"/>
    </xf>
    <xf numFmtId="0" fontId="128" fillId="14" borderId="44" xfId="0" applyFont="1" applyFill="1" applyBorder="1" applyAlignment="1">
      <alignment horizontal="center" vertical="center"/>
    </xf>
    <xf numFmtId="0" fontId="49" fillId="0" borderId="34" xfId="0" applyFont="1" applyBorder="1" applyAlignment="1">
      <alignment vertical="center"/>
    </xf>
    <xf numFmtId="0" fontId="128" fillId="0" borderId="30" xfId="0" applyFont="1" applyBorder="1" applyAlignment="1">
      <alignment horizontal="left" vertical="center"/>
    </xf>
    <xf numFmtId="0" fontId="129" fillId="0" borderId="30" xfId="0" applyFont="1" applyBorder="1" applyAlignment="1">
      <alignment horizontal="left" vertical="center"/>
    </xf>
    <xf numFmtId="0" fontId="37" fillId="14" borderId="44" xfId="0" applyFont="1" applyFill="1" applyBorder="1" applyAlignment="1">
      <alignment vertical="center"/>
    </xf>
    <xf numFmtId="0" fontId="38" fillId="14" borderId="44" xfId="0" applyFont="1" applyFill="1" applyBorder="1" applyAlignment="1">
      <alignment horizontal="center" vertical="center"/>
    </xf>
    <xf numFmtId="0" fontId="37" fillId="14" borderId="44" xfId="0" applyFont="1" applyFill="1" applyBorder="1" applyAlignment="1">
      <alignment horizontal="center" vertical="center"/>
    </xf>
    <xf numFmtId="3" fontId="37" fillId="14" borderId="44" xfId="0" applyNumberFormat="1" applyFont="1" applyFill="1" applyBorder="1" applyAlignment="1">
      <alignment horizontal="center" vertical="center"/>
    </xf>
    <xf numFmtId="0" fontId="39" fillId="0" borderId="30" xfId="0" applyFont="1" applyBorder="1" applyAlignment="1">
      <alignment horizontal="left" vertical="center"/>
    </xf>
    <xf numFmtId="0" fontId="37" fillId="0" borderId="30" xfId="0" applyFont="1" applyBorder="1" applyAlignment="1">
      <alignment horizontal="left" vertical="center"/>
    </xf>
    <xf numFmtId="0" fontId="0" fillId="39" borderId="0" xfId="0" applyFill="1" applyAlignment="1">
      <alignment vertical="center"/>
    </xf>
    <xf numFmtId="0" fontId="9" fillId="39" borderId="0" xfId="0" applyFont="1" applyFill="1" applyAlignment="1">
      <alignment vertical="center"/>
    </xf>
    <xf numFmtId="0" fontId="0" fillId="39" borderId="0" xfId="0" applyFill="1" applyAlignment="1">
      <alignment horizontal="center" vertical="center"/>
    </xf>
    <xf numFmtId="0" fontId="8" fillId="39" borderId="0" xfId="0" applyFont="1" applyFill="1" applyAlignment="1">
      <alignment vertical="center"/>
    </xf>
    <xf numFmtId="0" fontId="37" fillId="14" borderId="23" xfId="0" applyFont="1" applyFill="1" applyBorder="1" applyAlignment="1">
      <alignment horizontal="center" vertical="center"/>
    </xf>
    <xf numFmtId="1" fontId="37" fillId="14" borderId="44" xfId="0" applyNumberFormat="1" applyFont="1" applyFill="1" applyBorder="1" applyAlignment="1">
      <alignment horizontal="center" vertical="center"/>
    </xf>
    <xf numFmtId="0" fontId="39" fillId="0" borderId="30" xfId="0" applyFont="1" applyBorder="1" applyAlignment="1">
      <alignment horizontal="right" vertical="center"/>
    </xf>
    <xf numFmtId="0" fontId="127" fillId="14" borderId="0" xfId="0" applyFont="1" applyFill="1" applyAlignment="1">
      <alignment vertical="center"/>
    </xf>
    <xf numFmtId="0" fontId="9" fillId="14" borderId="0" xfId="0" applyFont="1" applyFill="1"/>
    <xf numFmtId="0" fontId="37" fillId="14" borderId="44" xfId="0" applyFont="1" applyFill="1" applyBorder="1"/>
    <xf numFmtId="164" fontId="42" fillId="0" borderId="23" xfId="0" applyNumberFormat="1" applyFont="1" applyBorder="1" applyAlignment="1">
      <alignment horizontal="center" vertical="center"/>
    </xf>
    <xf numFmtId="3" fontId="42" fillId="0" borderId="23" xfId="0" applyNumberFormat="1" applyFont="1" applyBorder="1" applyAlignment="1">
      <alignment horizontal="center" vertical="center"/>
    </xf>
    <xf numFmtId="3" fontId="42" fillId="0" borderId="0" xfId="0" applyNumberFormat="1" applyFont="1" applyAlignment="1">
      <alignment horizontal="center" vertical="center"/>
    </xf>
    <xf numFmtId="164" fontId="48" fillId="0" borderId="30" xfId="0" applyNumberFormat="1" applyFont="1" applyBorder="1" applyAlignment="1" applyProtection="1">
      <alignment horizontal="center" vertical="center"/>
      <protection locked="0"/>
    </xf>
    <xf numFmtId="164" fontId="49" fillId="0" borderId="30" xfId="0" applyNumberFormat="1" applyFont="1" applyBorder="1" applyAlignment="1" applyProtection="1">
      <alignment horizontal="center" vertical="center"/>
      <protection locked="0"/>
    </xf>
    <xf numFmtId="0" fontId="37" fillId="43" borderId="5" xfId="0" applyFont="1" applyFill="1" applyBorder="1" applyAlignment="1">
      <alignment vertical="center"/>
    </xf>
    <xf numFmtId="9" fontId="46" fillId="0" borderId="28" xfId="0" applyNumberFormat="1" applyFont="1" applyBorder="1" applyAlignment="1">
      <alignment horizontal="center" vertical="center"/>
    </xf>
    <xf numFmtId="0" fontId="46" fillId="14" borderId="50" xfId="0" applyFont="1" applyFill="1" applyBorder="1" applyAlignment="1">
      <alignment vertical="center"/>
    </xf>
    <xf numFmtId="164" fontId="48" fillId="44" borderId="30" xfId="0" applyNumberFormat="1" applyFont="1" applyFill="1" applyBorder="1" applyAlignment="1" applyProtection="1">
      <alignment horizontal="center" vertical="center"/>
      <protection locked="0"/>
    </xf>
    <xf numFmtId="0" fontId="58" fillId="0" borderId="34" xfId="0" applyFont="1" applyBorder="1" applyAlignment="1">
      <alignment horizontal="right" vertical="center"/>
    </xf>
    <xf numFmtId="2" fontId="48" fillId="19" borderId="34" xfId="0" applyNumberFormat="1" applyFont="1" applyFill="1" applyBorder="1" applyAlignment="1">
      <alignment horizontal="center" vertical="center"/>
    </xf>
    <xf numFmtId="0" fontId="48" fillId="14" borderId="28" xfId="0" applyFont="1" applyFill="1" applyBorder="1" applyAlignment="1">
      <alignment horizontal="right" vertical="center"/>
    </xf>
    <xf numFmtId="164" fontId="48" fillId="3" borderId="30" xfId="0" applyNumberFormat="1" applyFont="1" applyFill="1" applyBorder="1" applyAlignment="1">
      <alignment horizontal="center" vertical="center"/>
    </xf>
    <xf numFmtId="4" fontId="48" fillId="4" borderId="30" xfId="0" applyNumberFormat="1" applyFont="1" applyFill="1" applyBorder="1" applyAlignment="1">
      <alignment horizontal="center" vertical="center"/>
    </xf>
    <xf numFmtId="2" fontId="48" fillId="13" borderId="30" xfId="0" applyNumberFormat="1" applyFont="1" applyFill="1" applyBorder="1" applyAlignment="1">
      <alignment horizontal="center" vertical="center"/>
    </xf>
    <xf numFmtId="3" fontId="49" fillId="38" borderId="30" xfId="0" applyNumberFormat="1" applyFont="1" applyFill="1" applyBorder="1" applyAlignment="1" applyProtection="1">
      <alignment horizontal="center" vertical="center"/>
      <protection locked="0"/>
    </xf>
    <xf numFmtId="4" fontId="48" fillId="13" borderId="23" xfId="0" applyNumberFormat="1" applyFont="1" applyFill="1" applyBorder="1" applyAlignment="1">
      <alignment horizontal="center" vertical="center"/>
    </xf>
    <xf numFmtId="0" fontId="46" fillId="0" borderId="53" xfId="0" applyFont="1" applyBorder="1" applyAlignment="1">
      <alignment vertical="center"/>
    </xf>
    <xf numFmtId="0" fontId="151" fillId="14" borderId="0" xfId="0" applyFont="1" applyFill="1" applyAlignment="1">
      <alignment vertical="center"/>
    </xf>
    <xf numFmtId="164" fontId="48" fillId="45" borderId="30" xfId="0" applyNumberFormat="1" applyFont="1" applyFill="1" applyBorder="1" applyAlignment="1" applyProtection="1">
      <alignment horizontal="center" vertical="center"/>
      <protection locked="0"/>
    </xf>
    <xf numFmtId="0" fontId="46" fillId="0" borderId="34" xfId="0" applyFont="1" applyBorder="1" applyAlignment="1">
      <alignment vertical="center"/>
    </xf>
    <xf numFmtId="4" fontId="46" fillId="0" borderId="31" xfId="0" applyNumberFormat="1" applyFont="1" applyBorder="1" applyAlignment="1">
      <alignment horizontal="center" vertical="center"/>
    </xf>
    <xf numFmtId="0" fontId="47" fillId="16" borderId="54" xfId="0" applyFont="1" applyFill="1" applyBorder="1" applyAlignment="1">
      <alignment horizontal="center" vertical="center"/>
    </xf>
    <xf numFmtId="0" fontId="46" fillId="0" borderId="55" xfId="0" applyFont="1" applyBorder="1" applyAlignment="1">
      <alignment vertical="center"/>
    </xf>
    <xf numFmtId="4" fontId="49" fillId="16" borderId="30" xfId="0" applyNumberFormat="1" applyFont="1" applyFill="1" applyBorder="1" applyAlignment="1">
      <alignment horizontal="center" vertical="center"/>
    </xf>
    <xf numFmtId="0" fontId="65" fillId="14" borderId="0" xfId="0" applyFont="1" applyFill="1" applyAlignment="1">
      <alignment vertical="top"/>
    </xf>
    <xf numFmtId="165" fontId="48" fillId="14" borderId="30" xfId="0" applyNumberFormat="1" applyFont="1" applyFill="1" applyBorder="1" applyAlignment="1" applyProtection="1">
      <alignment horizontal="center" vertical="center"/>
      <protection locked="0"/>
    </xf>
    <xf numFmtId="0" fontId="66" fillId="14" borderId="0" xfId="0" applyFont="1" applyFill="1" applyAlignment="1">
      <alignment horizontal="left"/>
    </xf>
    <xf numFmtId="0" fontId="64" fillId="14" borderId="0" xfId="0" applyFont="1" applyFill="1" applyAlignment="1">
      <alignment horizontal="left"/>
    </xf>
    <xf numFmtId="0" fontId="65" fillId="14" borderId="0" xfId="0" applyFont="1" applyFill="1"/>
    <xf numFmtId="4" fontId="48" fillId="3" borderId="29" xfId="0" applyNumberFormat="1" applyFont="1" applyFill="1" applyBorder="1" applyAlignment="1">
      <alignment horizontal="center" vertical="center"/>
    </xf>
    <xf numFmtId="4" fontId="48" fillId="19" borderId="34" xfId="0" applyNumberFormat="1" applyFont="1" applyFill="1" applyBorder="1" applyAlignment="1">
      <alignment horizontal="center" vertical="center"/>
    </xf>
    <xf numFmtId="0" fontId="58" fillId="14" borderId="49" xfId="0" applyFont="1" applyFill="1" applyBorder="1" applyAlignment="1">
      <alignment horizontal="right" vertical="center"/>
    </xf>
    <xf numFmtId="0" fontId="31" fillId="0" borderId="23" xfId="0" applyFont="1" applyBorder="1" applyAlignment="1">
      <alignment horizontal="right" vertical="center"/>
    </xf>
    <xf numFmtId="0" fontId="31" fillId="0" borderId="23" xfId="0" applyFont="1" applyBorder="1" applyAlignment="1">
      <alignment vertical="center"/>
    </xf>
    <xf numFmtId="0" fontId="36" fillId="0" borderId="23" xfId="0" applyFont="1" applyBorder="1" applyAlignment="1">
      <alignment horizontal="center" vertical="center"/>
    </xf>
    <xf numFmtId="0" fontId="36" fillId="0" borderId="23" xfId="0" applyFont="1" applyBorder="1" applyAlignment="1">
      <alignment horizontal="right" vertical="center"/>
    </xf>
    <xf numFmtId="1" fontId="31" fillId="0" borderId="23" xfId="0" applyNumberFormat="1" applyFont="1" applyBorder="1" applyAlignment="1">
      <alignment horizontal="center" vertical="center"/>
    </xf>
    <xf numFmtId="169" fontId="31" fillId="0" borderId="23" xfId="0" applyNumberFormat="1" applyFont="1" applyBorder="1" applyAlignment="1">
      <alignment horizontal="center" vertical="center"/>
    </xf>
    <xf numFmtId="3" fontId="31" fillId="0" borderId="23" xfId="0" applyNumberFormat="1" applyFont="1" applyBorder="1" applyAlignment="1">
      <alignment horizontal="center" vertical="center"/>
    </xf>
    <xf numFmtId="0" fontId="153" fillId="0" borderId="23" xfId="0" applyFont="1" applyBorder="1" applyAlignment="1">
      <alignment horizontal="right"/>
    </xf>
    <xf numFmtId="0" fontId="153" fillId="0" borderId="23" xfId="0" applyFont="1" applyBorder="1" applyAlignment="1">
      <alignment horizontal="center"/>
    </xf>
    <xf numFmtId="0" fontId="152" fillId="0" borderId="23" xfId="0" applyFont="1" applyBorder="1" applyAlignment="1">
      <alignment horizontal="right"/>
    </xf>
    <xf numFmtId="0" fontId="152" fillId="0" borderId="23" xfId="0" applyFont="1" applyBorder="1" applyAlignment="1">
      <alignment horizontal="center"/>
    </xf>
    <xf numFmtId="0" fontId="36" fillId="0" borderId="23" xfId="0" applyFont="1" applyBorder="1" applyAlignment="1">
      <alignment vertical="center"/>
    </xf>
    <xf numFmtId="0" fontId="154" fillId="0" borderId="23" xfId="0" applyFont="1" applyBorder="1" applyAlignment="1">
      <alignment horizontal="right" vertical="center"/>
    </xf>
    <xf numFmtId="0" fontId="154" fillId="0" borderId="23" xfId="0" applyFont="1" applyBorder="1" applyAlignment="1">
      <alignment vertical="center"/>
    </xf>
    <xf numFmtId="0" fontId="36" fillId="0" borderId="23" xfId="0" applyFont="1" applyBorder="1" applyAlignment="1">
      <alignment horizontal="right"/>
    </xf>
    <xf numFmtId="0" fontId="36" fillId="0" borderId="23" xfId="0" applyFont="1" applyBorder="1"/>
    <xf numFmtId="0" fontId="155" fillId="0" borderId="23" xfId="0" applyFont="1" applyBorder="1" applyAlignment="1">
      <alignment horizontal="right" vertical="center"/>
    </xf>
    <xf numFmtId="0" fontId="155" fillId="0" borderId="23" xfId="0" applyFont="1" applyBorder="1" applyAlignment="1">
      <alignment vertical="center"/>
    </xf>
    <xf numFmtId="0" fontId="156" fillId="0" borderId="23" xfId="0" applyFont="1" applyBorder="1" applyAlignment="1">
      <alignment horizontal="right" vertical="center"/>
    </xf>
    <xf numFmtId="0" fontId="156" fillId="0" borderId="23" xfId="0" applyFont="1" applyBorder="1"/>
    <xf numFmtId="0" fontId="31" fillId="0" borderId="23" xfId="0" applyFont="1" applyBorder="1"/>
    <xf numFmtId="3" fontId="71" fillId="0" borderId="48" xfId="0" applyNumberFormat="1" applyFont="1" applyBorder="1" applyAlignment="1">
      <alignment horizontal="center" vertical="center"/>
    </xf>
    <xf numFmtId="164" fontId="71" fillId="0" borderId="30" xfId="0" applyNumberFormat="1" applyFont="1" applyBorder="1" applyAlignment="1">
      <alignment horizontal="center" vertical="center"/>
    </xf>
    <xf numFmtId="3" fontId="71" fillId="0" borderId="30" xfId="0" applyNumberFormat="1" applyFont="1" applyBorder="1" applyAlignment="1">
      <alignment horizontal="center" vertical="center"/>
    </xf>
    <xf numFmtId="3" fontId="71" fillId="18" borderId="30" xfId="0" applyNumberFormat="1" applyFont="1" applyFill="1" applyBorder="1" applyAlignment="1">
      <alignment horizontal="center" vertical="center"/>
    </xf>
    <xf numFmtId="0" fontId="70" fillId="0" borderId="0" xfId="0" applyFont="1" applyAlignment="1">
      <alignment vertical="center"/>
    </xf>
    <xf numFmtId="0" fontId="71" fillId="0" borderId="0" xfId="0" applyFont="1"/>
    <xf numFmtId="3" fontId="116" fillId="29" borderId="30" xfId="0" applyNumberFormat="1" applyFont="1" applyFill="1" applyBorder="1" applyAlignment="1">
      <alignment horizontal="center" vertical="center"/>
    </xf>
    <xf numFmtId="3" fontId="62" fillId="29" borderId="30" xfId="0" applyNumberFormat="1" applyFont="1" applyFill="1" applyBorder="1" applyAlignment="1">
      <alignment horizontal="center" vertical="center"/>
    </xf>
    <xf numFmtId="0" fontId="130" fillId="0" borderId="49" xfId="0" applyFont="1" applyBorder="1" applyAlignment="1">
      <alignment horizontal="center" vertical="center"/>
    </xf>
    <xf numFmtId="0" fontId="158" fillId="14" borderId="23" xfId="0" applyFont="1" applyFill="1" applyBorder="1" applyAlignment="1">
      <alignment vertical="center"/>
    </xf>
    <xf numFmtId="165" fontId="42" fillId="47" borderId="30" xfId="0" applyNumberFormat="1" applyFont="1" applyFill="1" applyBorder="1" applyAlignment="1">
      <alignment horizontal="center" vertical="center"/>
    </xf>
    <xf numFmtId="0" fontId="17" fillId="48" borderId="30" xfId="0" applyFont="1" applyFill="1" applyBorder="1" applyAlignment="1">
      <alignment horizontal="left" vertical="center"/>
    </xf>
    <xf numFmtId="0" fontId="147" fillId="49" borderId="13" xfId="0" applyFont="1" applyFill="1" applyBorder="1" applyAlignment="1">
      <alignment horizontal="center" vertical="center"/>
    </xf>
    <xf numFmtId="165" fontId="38" fillId="50" borderId="4" xfId="0" applyNumberFormat="1" applyFont="1" applyFill="1" applyBorder="1" applyAlignment="1">
      <alignment horizontal="center" vertical="center"/>
    </xf>
    <xf numFmtId="164" fontId="37" fillId="50" borderId="4" xfId="0" applyNumberFormat="1" applyFont="1" applyFill="1" applyBorder="1" applyAlignment="1">
      <alignment horizontal="center" vertical="center"/>
    </xf>
    <xf numFmtId="0" fontId="159" fillId="49" borderId="11" xfId="0" applyFont="1" applyFill="1" applyBorder="1" applyAlignment="1">
      <alignment horizontal="center" vertical="center"/>
    </xf>
    <xf numFmtId="0" fontId="46" fillId="14" borderId="0" xfId="0" applyFont="1" applyFill="1" applyAlignment="1" applyProtection="1">
      <alignment horizontal="center" vertical="center"/>
      <protection locked="0"/>
    </xf>
    <xf numFmtId="0" fontId="71" fillId="14" borderId="0" xfId="0" applyFont="1" applyFill="1" applyAlignment="1">
      <alignment vertical="center"/>
    </xf>
    <xf numFmtId="178" fontId="71" fillId="0" borderId="48" xfId="0" applyNumberFormat="1" applyFont="1" applyBorder="1" applyAlignment="1">
      <alignment horizontal="center" vertical="center"/>
    </xf>
    <xf numFmtId="178" fontId="71" fillId="0" borderId="30" xfId="0" applyNumberFormat="1" applyFont="1" applyBorder="1" applyAlignment="1">
      <alignment horizontal="center" vertical="center"/>
    </xf>
    <xf numFmtId="178" fontId="71" fillId="18" borderId="30" xfId="0" applyNumberFormat="1" applyFont="1" applyFill="1" applyBorder="1" applyAlignment="1">
      <alignment horizontal="center" vertical="center"/>
    </xf>
    <xf numFmtId="0" fontId="71" fillId="0" borderId="0" xfId="0" applyFont="1" applyAlignment="1">
      <alignment vertical="center"/>
    </xf>
    <xf numFmtId="168" fontId="71" fillId="0" borderId="0" xfId="0" applyNumberFormat="1" applyFont="1" applyAlignment="1">
      <alignment horizontal="center" vertical="center"/>
    </xf>
    <xf numFmtId="0" fontId="146" fillId="14" borderId="0" xfId="0" applyFont="1" applyFill="1" applyAlignment="1">
      <alignment vertical="center"/>
    </xf>
    <xf numFmtId="0" fontId="146" fillId="14" borderId="44" xfId="0" applyFont="1" applyFill="1" applyBorder="1" applyAlignment="1">
      <alignment vertical="center"/>
    </xf>
    <xf numFmtId="178" fontId="146" fillId="18" borderId="30" xfId="0" applyNumberFormat="1" applyFont="1" applyFill="1" applyBorder="1" applyAlignment="1">
      <alignment horizontal="center" vertical="center"/>
    </xf>
    <xf numFmtId="168" fontId="146" fillId="0" borderId="0" xfId="0" applyNumberFormat="1" applyFont="1" applyAlignment="1">
      <alignment horizontal="center" vertical="center"/>
    </xf>
    <xf numFmtId="0" fontId="146" fillId="0" borderId="0" xfId="0" applyFont="1" applyAlignment="1">
      <alignment vertical="center"/>
    </xf>
    <xf numFmtId="0" fontId="146" fillId="0" borderId="0" xfId="0" applyFont="1"/>
    <xf numFmtId="0" fontId="51" fillId="0" borderId="0" xfId="0" applyFont="1"/>
    <xf numFmtId="0" fontId="51" fillId="14" borderId="0" xfId="0" applyFont="1" applyFill="1" applyAlignment="1">
      <alignment vertical="center"/>
    </xf>
    <xf numFmtId="0" fontId="51" fillId="0" borderId="0" xfId="0" applyFont="1" applyAlignment="1">
      <alignment vertical="center"/>
    </xf>
    <xf numFmtId="164" fontId="70" fillId="0" borderId="30" xfId="0" applyNumberFormat="1" applyFont="1" applyBorder="1" applyAlignment="1">
      <alignment horizontal="center" vertical="center"/>
    </xf>
    <xf numFmtId="0" fontId="76" fillId="38" borderId="5" xfId="0" applyFont="1" applyFill="1" applyBorder="1" applyAlignment="1">
      <alignment vertical="center"/>
    </xf>
    <xf numFmtId="3" fontId="76" fillId="0" borderId="30" xfId="0" applyNumberFormat="1" applyFont="1" applyBorder="1" applyAlignment="1">
      <alignment horizontal="center" vertical="center"/>
    </xf>
    <xf numFmtId="0" fontId="76" fillId="0" borderId="0" xfId="0" applyFont="1" applyAlignment="1">
      <alignment vertical="center"/>
    </xf>
    <xf numFmtId="0" fontId="76" fillId="14" borderId="0" xfId="0" applyFont="1" applyFill="1" applyAlignment="1">
      <alignment vertical="center"/>
    </xf>
    <xf numFmtId="0" fontId="71" fillId="0" borderId="23" xfId="0" applyFont="1" applyBorder="1"/>
    <xf numFmtId="0" fontId="70" fillId="16" borderId="30" xfId="0" applyFont="1" applyFill="1" applyBorder="1" applyAlignment="1">
      <alignment horizontal="right" vertical="center"/>
    </xf>
    <xf numFmtId="0" fontId="172" fillId="16" borderId="0" xfId="0" applyFont="1" applyFill="1" applyAlignment="1">
      <alignment horizontal="center" vertical="center"/>
    </xf>
    <xf numFmtId="0" fontId="173" fillId="14" borderId="0" xfId="0" applyFont="1" applyFill="1" applyAlignment="1">
      <alignment vertical="center"/>
    </xf>
    <xf numFmtId="2" fontId="76" fillId="0" borderId="49" xfId="0" applyNumberFormat="1" applyFont="1" applyBorder="1" applyAlignment="1">
      <alignment horizontal="center" vertical="center"/>
    </xf>
    <xf numFmtId="0" fontId="71" fillId="14" borderId="23" xfId="0" applyFont="1" applyFill="1" applyBorder="1"/>
    <xf numFmtId="0" fontId="70" fillId="14" borderId="23" xfId="0" applyFont="1" applyFill="1" applyBorder="1" applyAlignment="1">
      <alignment vertical="center"/>
    </xf>
    <xf numFmtId="0" fontId="76" fillId="36" borderId="30" xfId="0" applyFont="1" applyFill="1" applyBorder="1" applyAlignment="1">
      <alignment horizontal="left" vertical="center"/>
    </xf>
    <xf numFmtId="0" fontId="175" fillId="14" borderId="23" xfId="0" applyFont="1" applyFill="1" applyBorder="1" applyAlignment="1">
      <alignment horizontal="center" vertical="center"/>
    </xf>
    <xf numFmtId="3" fontId="71" fillId="8" borderId="48" xfId="0" applyNumberFormat="1" applyFont="1" applyFill="1" applyBorder="1" applyAlignment="1">
      <alignment horizontal="center" vertical="center"/>
    </xf>
    <xf numFmtId="3" fontId="71" fillId="8" borderId="30" xfId="0" applyNumberFormat="1" applyFont="1" applyFill="1" applyBorder="1" applyAlignment="1">
      <alignment horizontal="center" vertical="center"/>
    </xf>
    <xf numFmtId="3" fontId="71" fillId="33" borderId="30" xfId="0" applyNumberFormat="1" applyFont="1" applyFill="1" applyBorder="1" applyAlignment="1">
      <alignment horizontal="center" vertical="center"/>
    </xf>
    <xf numFmtId="164" fontId="71" fillId="0" borderId="48" xfId="0" applyNumberFormat="1" applyFont="1" applyBorder="1" applyAlignment="1">
      <alignment horizontal="center" vertical="center"/>
    </xf>
    <xf numFmtId="164" fontId="71" fillId="18" borderId="30" xfId="0" applyNumberFormat="1" applyFont="1" applyFill="1" applyBorder="1" applyAlignment="1">
      <alignment horizontal="center" vertical="center"/>
    </xf>
    <xf numFmtId="0" fontId="42" fillId="0" borderId="34" xfId="0" applyFont="1" applyBorder="1" applyAlignment="1">
      <alignment horizontal="center" vertical="center"/>
    </xf>
    <xf numFmtId="3" fontId="42" fillId="0" borderId="34" xfId="0" applyNumberFormat="1" applyFont="1" applyBorder="1" applyAlignment="1">
      <alignment horizontal="center" vertical="center"/>
    </xf>
    <xf numFmtId="0" fontId="181" fillId="14" borderId="0" xfId="0" applyFont="1" applyFill="1" applyAlignment="1">
      <alignment vertical="center"/>
    </xf>
    <xf numFmtId="168" fontId="181" fillId="0" borderId="0" xfId="0" applyNumberFormat="1" applyFont="1" applyAlignment="1">
      <alignment horizontal="center" vertical="center"/>
    </xf>
    <xf numFmtId="0" fontId="181" fillId="0" borderId="0" xfId="0" applyFont="1" applyAlignment="1">
      <alignment vertical="center"/>
    </xf>
    <xf numFmtId="0" fontId="175" fillId="0" borderId="0" xfId="0" applyFont="1"/>
    <xf numFmtId="0" fontId="175" fillId="14" borderId="0" xfId="0" applyFont="1" applyFill="1" applyAlignment="1">
      <alignment vertical="center"/>
    </xf>
    <xf numFmtId="3" fontId="175" fillId="0" borderId="0" xfId="0" applyNumberFormat="1" applyFont="1" applyAlignment="1">
      <alignment horizontal="center" vertical="center"/>
    </xf>
    <xf numFmtId="0" fontId="175" fillId="0" borderId="0" xfId="0" applyFont="1" applyAlignment="1">
      <alignment vertical="center"/>
    </xf>
    <xf numFmtId="178" fontId="146" fillId="0" borderId="30" xfId="0" applyNumberFormat="1" applyFont="1" applyBorder="1" applyAlignment="1">
      <alignment horizontal="center" vertical="center"/>
    </xf>
    <xf numFmtId="3" fontId="146" fillId="0" borderId="30" xfId="0" applyNumberFormat="1" applyFont="1" applyBorder="1" applyAlignment="1">
      <alignment horizontal="center" vertical="center"/>
    </xf>
    <xf numFmtId="164" fontId="146" fillId="18" borderId="30" xfId="0" applyNumberFormat="1" applyFont="1" applyFill="1" applyBorder="1" applyAlignment="1">
      <alignment horizontal="center" vertical="center"/>
    </xf>
    <xf numFmtId="1" fontId="181" fillId="0" borderId="0" xfId="0" applyNumberFormat="1" applyFont="1" applyAlignment="1">
      <alignment vertical="center"/>
    </xf>
    <xf numFmtId="3" fontId="70" fillId="0" borderId="30" xfId="0" applyNumberFormat="1" applyFont="1" applyBorder="1" applyAlignment="1">
      <alignment horizontal="center" vertical="center"/>
    </xf>
    <xf numFmtId="3" fontId="70" fillId="18" borderId="30" xfId="0" applyNumberFormat="1" applyFont="1" applyFill="1" applyBorder="1" applyAlignment="1">
      <alignment horizontal="center" vertical="center"/>
    </xf>
    <xf numFmtId="1" fontId="7" fillId="0" borderId="0" xfId="0" applyNumberFormat="1" applyFont="1" applyAlignment="1">
      <alignment vertical="center"/>
    </xf>
    <xf numFmtId="1" fontId="70" fillId="0" borderId="30" xfId="0" applyNumberFormat="1" applyFont="1" applyBorder="1" applyAlignment="1">
      <alignment horizontal="center" vertical="center"/>
    </xf>
    <xf numFmtId="1" fontId="70" fillId="18" borderId="30" xfId="0" applyNumberFormat="1" applyFont="1" applyFill="1" applyBorder="1" applyAlignment="1">
      <alignment horizontal="center" vertical="center"/>
    </xf>
    <xf numFmtId="178" fontId="70" fillId="0" borderId="30" xfId="0" applyNumberFormat="1" applyFont="1" applyBorder="1" applyAlignment="1">
      <alignment horizontal="center" vertical="center"/>
    </xf>
    <xf numFmtId="178" fontId="70" fillId="18" borderId="30" xfId="0" applyNumberFormat="1" applyFont="1" applyFill="1" applyBorder="1" applyAlignment="1">
      <alignment horizontal="center" vertical="center"/>
    </xf>
    <xf numFmtId="0" fontId="7" fillId="0" borderId="0" xfId="0" applyFont="1"/>
    <xf numFmtId="0" fontId="146" fillId="0" borderId="34" xfId="0" applyFont="1" applyBorder="1" applyAlignment="1">
      <alignment vertical="center"/>
    </xf>
    <xf numFmtId="3" fontId="182" fillId="0" borderId="49" xfId="0" applyNumberFormat="1" applyFont="1" applyBorder="1" applyAlignment="1">
      <alignment horizontal="center" vertical="center"/>
    </xf>
    <xf numFmtId="0" fontId="183" fillId="36" borderId="49" xfId="0" applyFont="1" applyFill="1" applyBorder="1" applyAlignment="1">
      <alignment horizontal="left" vertical="center"/>
    </xf>
    <xf numFmtId="0" fontId="51" fillId="14" borderId="23" xfId="0" applyFont="1" applyFill="1" applyBorder="1" applyAlignment="1">
      <alignment vertical="center"/>
    </xf>
    <xf numFmtId="0" fontId="71" fillId="14" borderId="23" xfId="0" applyFont="1" applyFill="1" applyBorder="1" applyAlignment="1">
      <alignment vertical="center"/>
    </xf>
    <xf numFmtId="0" fontId="128" fillId="14" borderId="23" xfId="0" applyFont="1" applyFill="1" applyBorder="1" applyAlignment="1">
      <alignment vertical="center"/>
    </xf>
    <xf numFmtId="0" fontId="146" fillId="14" borderId="23" xfId="0" applyFont="1" applyFill="1" applyBorder="1" applyAlignment="1">
      <alignment vertical="center"/>
    </xf>
    <xf numFmtId="0" fontId="49" fillId="14" borderId="23" xfId="0" applyFont="1" applyFill="1" applyBorder="1" applyAlignment="1">
      <alignment vertical="center"/>
    </xf>
    <xf numFmtId="0" fontId="128" fillId="0" borderId="23" xfId="0" applyFont="1" applyBorder="1" applyAlignment="1">
      <alignment vertical="center"/>
    </xf>
    <xf numFmtId="168" fontId="71" fillId="0" borderId="23" xfId="0" applyNumberFormat="1" applyFont="1" applyBorder="1" applyAlignment="1">
      <alignment horizontal="center" vertical="center"/>
    </xf>
    <xf numFmtId="168" fontId="146" fillId="0" borderId="23" xfId="0" applyNumberFormat="1" applyFont="1" applyBorder="1" applyAlignment="1">
      <alignment horizontal="center" vertical="center"/>
    </xf>
    <xf numFmtId="0" fontId="49" fillId="0" borderId="41" xfId="0" applyFont="1" applyBorder="1" applyAlignment="1">
      <alignment vertical="center"/>
    </xf>
    <xf numFmtId="0" fontId="49" fillId="0" borderId="44" xfId="0" applyFont="1" applyBorder="1" applyAlignment="1">
      <alignment vertical="center"/>
    </xf>
    <xf numFmtId="0" fontId="129" fillId="0" borderId="44" xfId="0" applyFont="1" applyBorder="1" applyAlignment="1">
      <alignment vertical="center"/>
    </xf>
    <xf numFmtId="0" fontId="42" fillId="0" borderId="34" xfId="0" applyFont="1" applyBorder="1" applyAlignment="1">
      <alignment horizontal="left" vertical="center"/>
    </xf>
    <xf numFmtId="0" fontId="157" fillId="0" borderId="57" xfId="0" applyFont="1" applyBorder="1" applyAlignment="1">
      <alignment horizontal="left" vertical="center"/>
    </xf>
    <xf numFmtId="0" fontId="171" fillId="16" borderId="58" xfId="0" applyFont="1" applyFill="1" applyBorder="1" applyAlignment="1">
      <alignment horizontal="right" vertical="center"/>
    </xf>
    <xf numFmtId="0" fontId="48" fillId="0" borderId="59" xfId="0" applyFont="1" applyBorder="1" applyAlignment="1">
      <alignment vertical="center"/>
    </xf>
    <xf numFmtId="1" fontId="71" fillId="0" borderId="59" xfId="0" applyNumberFormat="1" applyFont="1" applyBorder="1" applyAlignment="1">
      <alignment horizontal="center" vertical="center"/>
    </xf>
    <xf numFmtId="166" fontId="71" fillId="0" borderId="60" xfId="0" applyNumberFormat="1" applyFont="1" applyBorder="1" applyAlignment="1">
      <alignment horizontal="center" vertical="center"/>
    </xf>
    <xf numFmtId="3" fontId="71" fillId="0" borderId="59" xfId="0" applyNumberFormat="1" applyFont="1" applyBorder="1" applyAlignment="1">
      <alignment horizontal="center" vertical="center"/>
    </xf>
    <xf numFmtId="9" fontId="71" fillId="0" borderId="60" xfId="0" applyNumberFormat="1" applyFont="1" applyBorder="1" applyAlignment="1">
      <alignment horizontal="center" vertical="center"/>
    </xf>
    <xf numFmtId="177" fontId="71" fillId="0" borderId="59" xfId="0" applyNumberFormat="1" applyFont="1" applyBorder="1" applyAlignment="1">
      <alignment horizontal="center" vertical="center"/>
    </xf>
    <xf numFmtId="3" fontId="71" fillId="0" borderId="60" xfId="0" applyNumberFormat="1" applyFont="1" applyBorder="1" applyAlignment="1">
      <alignment horizontal="center" vertical="center"/>
    </xf>
    <xf numFmtId="178" fontId="146" fillId="18" borderId="62" xfId="0" applyNumberFormat="1" applyFont="1" applyFill="1" applyBorder="1" applyAlignment="1">
      <alignment horizontal="center" vertical="center"/>
    </xf>
    <xf numFmtId="0" fontId="146" fillId="0" borderId="63" xfId="0" applyFont="1" applyBorder="1" applyAlignment="1">
      <alignment horizontal="center" vertical="center"/>
    </xf>
    <xf numFmtId="0" fontId="128" fillId="0" borderId="60" xfId="0" applyFont="1" applyBorder="1" applyAlignment="1">
      <alignment vertical="center"/>
    </xf>
    <xf numFmtId="0" fontId="129" fillId="14" borderId="23" xfId="0" applyFont="1" applyFill="1" applyBorder="1" applyAlignment="1">
      <alignment vertical="center"/>
    </xf>
    <xf numFmtId="164" fontId="71" fillId="14" borderId="23" xfId="0" applyNumberFormat="1" applyFont="1" applyFill="1" applyBorder="1" applyAlignment="1">
      <alignment horizontal="center" vertical="center"/>
    </xf>
    <xf numFmtId="1" fontId="48" fillId="14" borderId="23" xfId="0" applyNumberFormat="1" applyFont="1" applyFill="1" applyBorder="1" applyAlignment="1">
      <alignment horizontal="center" vertical="center"/>
    </xf>
    <xf numFmtId="0" fontId="71" fillId="14" borderId="23" xfId="0" applyFont="1" applyFill="1" applyBorder="1" applyAlignment="1">
      <alignment horizontal="center" vertical="center"/>
    </xf>
    <xf numFmtId="164" fontId="48" fillId="14" borderId="23" xfId="0" applyNumberFormat="1" applyFont="1" applyFill="1" applyBorder="1" applyAlignment="1">
      <alignment horizontal="center" vertical="center"/>
    </xf>
    <xf numFmtId="0" fontId="70" fillId="0" borderId="23" xfId="0" applyFont="1" applyBorder="1" applyAlignment="1">
      <alignment vertical="center"/>
    </xf>
    <xf numFmtId="0" fontId="71" fillId="0" borderId="23" xfId="0" applyFont="1" applyBorder="1" applyAlignment="1">
      <alignment vertical="center"/>
    </xf>
    <xf numFmtId="0" fontId="129" fillId="0" borderId="23" xfId="0" applyFont="1" applyBorder="1" applyAlignment="1">
      <alignment vertical="center"/>
    </xf>
    <xf numFmtId="0" fontId="146" fillId="0" borderId="23" xfId="0" applyFont="1" applyBorder="1" applyAlignment="1">
      <alignment vertical="center"/>
    </xf>
    <xf numFmtId="0" fontId="129" fillId="0" borderId="36" xfId="0" applyFont="1" applyBorder="1" applyAlignment="1">
      <alignment vertical="center"/>
    </xf>
    <xf numFmtId="0" fontId="128" fillId="0" borderId="39" xfId="0" applyFont="1" applyBorder="1" applyAlignment="1">
      <alignment vertical="center"/>
    </xf>
    <xf numFmtId="0" fontId="8" fillId="0" borderId="23" xfId="0" applyFont="1" applyBorder="1" applyAlignment="1">
      <alignment vertical="center"/>
    </xf>
    <xf numFmtId="0" fontId="157" fillId="0" borderId="64" xfId="0" applyFont="1" applyBorder="1" applyAlignment="1">
      <alignment vertical="center"/>
    </xf>
    <xf numFmtId="0" fontId="48" fillId="0" borderId="64" xfId="0" applyFont="1" applyBorder="1" applyAlignment="1">
      <alignment vertical="center"/>
    </xf>
    <xf numFmtId="0" fontId="146" fillId="31" borderId="64" xfId="0" applyFont="1" applyFill="1" applyBorder="1" applyAlignment="1">
      <alignment horizontal="right" vertical="center"/>
    </xf>
    <xf numFmtId="0" fontId="70" fillId="31" borderId="64" xfId="0" applyFont="1" applyFill="1" applyBorder="1" applyAlignment="1">
      <alignment horizontal="left" vertical="center"/>
    </xf>
    <xf numFmtId="0" fontId="70" fillId="31" borderId="65" xfId="0" applyFont="1" applyFill="1" applyBorder="1" applyAlignment="1">
      <alignment horizontal="left" vertical="center"/>
    </xf>
    <xf numFmtId="0" fontId="48" fillId="0" borderId="66" xfId="0" applyFont="1" applyBorder="1" applyAlignment="1">
      <alignment vertical="center"/>
    </xf>
    <xf numFmtId="0" fontId="71" fillId="0" borderId="68" xfId="0" applyFont="1" applyBorder="1" applyAlignment="1">
      <alignment vertical="center"/>
    </xf>
    <xf numFmtId="164" fontId="71" fillId="0" borderId="69" xfId="0" applyNumberFormat="1" applyFont="1" applyBorder="1" applyAlignment="1">
      <alignment horizontal="center" vertical="center"/>
    </xf>
    <xf numFmtId="167" fontId="48" fillId="0" borderId="66" xfId="0" applyNumberFormat="1" applyFont="1" applyBorder="1" applyAlignment="1">
      <alignment horizontal="center" vertical="center"/>
    </xf>
    <xf numFmtId="167" fontId="48" fillId="0" borderId="67" xfId="0" applyNumberFormat="1" applyFont="1" applyBorder="1" applyAlignment="1">
      <alignment horizontal="center" vertical="center"/>
    </xf>
    <xf numFmtId="1" fontId="48" fillId="0" borderId="67" xfId="0" applyNumberFormat="1" applyFont="1" applyBorder="1" applyAlignment="1">
      <alignment horizontal="center" vertical="center"/>
    </xf>
    <xf numFmtId="0" fontId="48" fillId="0" borderId="67" xfId="0" applyFont="1" applyBorder="1" applyAlignment="1">
      <alignment horizontal="center" vertical="center"/>
    </xf>
    <xf numFmtId="0" fontId="48" fillId="0" borderId="66" xfId="0" applyFont="1" applyBorder="1" applyAlignment="1">
      <alignment horizontal="center" vertical="center"/>
    </xf>
    <xf numFmtId="9" fontId="71" fillId="0" borderId="68" xfId="0" applyNumberFormat="1" applyFont="1" applyBorder="1" applyAlignment="1">
      <alignment horizontal="center" vertical="center"/>
    </xf>
    <xf numFmtId="0" fontId="51" fillId="0" borderId="68" xfId="0" applyFont="1" applyBorder="1" applyAlignment="1">
      <alignment vertical="center"/>
    </xf>
    <xf numFmtId="0" fontId="71" fillId="0" borderId="69" xfId="0" applyFont="1" applyBorder="1" applyAlignment="1">
      <alignment vertical="center"/>
    </xf>
    <xf numFmtId="0" fontId="71" fillId="0" borderId="70" xfId="0" applyFont="1" applyBorder="1" applyAlignment="1">
      <alignment vertical="center"/>
    </xf>
    <xf numFmtId="177" fontId="71" fillId="0" borderId="71" xfId="0" applyNumberFormat="1" applyFont="1" applyBorder="1" applyAlignment="1">
      <alignment horizontal="center" vertical="center"/>
    </xf>
    <xf numFmtId="0" fontId="71" fillId="0" borderId="72" xfId="0" applyFont="1" applyBorder="1" applyAlignment="1">
      <alignment vertical="center"/>
    </xf>
    <xf numFmtId="164" fontId="71" fillId="0" borderId="66" xfId="0" applyNumberFormat="1" applyFont="1" applyBorder="1" applyAlignment="1">
      <alignment horizontal="center" vertical="center"/>
    </xf>
    <xf numFmtId="164" fontId="71" fillId="0" borderId="67" xfId="0" applyNumberFormat="1" applyFont="1" applyBorder="1" applyAlignment="1">
      <alignment horizontal="center" vertical="center"/>
    </xf>
    <xf numFmtId="1" fontId="48" fillId="0" borderId="66" xfId="0" applyNumberFormat="1" applyFont="1" applyBorder="1" applyAlignment="1">
      <alignment horizontal="center" vertical="center"/>
    </xf>
    <xf numFmtId="9" fontId="71" fillId="0" borderId="66" xfId="0" applyNumberFormat="1" applyFont="1" applyBorder="1" applyAlignment="1">
      <alignment horizontal="center" vertical="center"/>
    </xf>
    <xf numFmtId="0" fontId="51" fillId="0" borderId="66" xfId="0" applyFont="1" applyBorder="1" applyAlignment="1">
      <alignment vertical="center"/>
    </xf>
    <xf numFmtId="0" fontId="71" fillId="0" borderId="66" xfId="0" applyFont="1" applyBorder="1" applyAlignment="1">
      <alignment vertical="center"/>
    </xf>
    <xf numFmtId="0" fontId="71" fillId="0" borderId="67" xfId="0" applyFont="1" applyBorder="1" applyAlignment="1">
      <alignment vertical="center"/>
    </xf>
    <xf numFmtId="0" fontId="71" fillId="0" borderId="73" xfId="0" applyFont="1" applyBorder="1" applyAlignment="1">
      <alignment vertical="center"/>
    </xf>
    <xf numFmtId="177" fontId="71" fillId="0" borderId="74" xfId="0" applyNumberFormat="1" applyFont="1" applyBorder="1" applyAlignment="1">
      <alignment horizontal="center" vertical="center"/>
    </xf>
    <xf numFmtId="0" fontId="71" fillId="0" borderId="75" xfId="0" applyFont="1" applyBorder="1" applyAlignment="1">
      <alignment vertical="center"/>
    </xf>
    <xf numFmtId="0" fontId="128" fillId="0" borderId="67" xfId="0" applyFont="1" applyBorder="1" applyAlignment="1">
      <alignment vertical="center"/>
    </xf>
    <xf numFmtId="0" fontId="128" fillId="0" borderId="67" xfId="0" applyFont="1" applyBorder="1" applyAlignment="1">
      <alignment horizontal="center" vertical="center"/>
    </xf>
    <xf numFmtId="177" fontId="71" fillId="18" borderId="74" xfId="0" applyNumberFormat="1" applyFont="1" applyFill="1" applyBorder="1" applyAlignment="1">
      <alignment horizontal="center" vertical="center"/>
    </xf>
    <xf numFmtId="0" fontId="49" fillId="0" borderId="76" xfId="0" applyFont="1" applyBorder="1" applyAlignment="1">
      <alignment vertical="center"/>
    </xf>
    <xf numFmtId="0" fontId="58" fillId="0" borderId="77" xfId="0" applyFont="1" applyBorder="1" applyAlignment="1">
      <alignment vertical="center"/>
    </xf>
    <xf numFmtId="0" fontId="48" fillId="0" borderId="78" xfId="0" applyFont="1" applyBorder="1" applyAlignment="1">
      <alignment vertical="center"/>
    </xf>
    <xf numFmtId="0" fontId="48" fillId="0" borderId="79" xfId="0" applyFont="1" applyBorder="1" applyAlignment="1">
      <alignment vertical="center"/>
    </xf>
    <xf numFmtId="0" fontId="128" fillId="0" borderId="79" xfId="0" applyFont="1" applyBorder="1" applyAlignment="1">
      <alignment vertical="center"/>
    </xf>
    <xf numFmtId="0" fontId="48" fillId="0" borderId="80" xfId="0" applyFont="1" applyBorder="1" applyAlignment="1">
      <alignment vertical="center"/>
    </xf>
    <xf numFmtId="0" fontId="48" fillId="0" borderId="81" xfId="0" applyFont="1" applyBorder="1" applyAlignment="1">
      <alignment vertical="center"/>
    </xf>
    <xf numFmtId="0" fontId="128" fillId="0" borderId="81" xfId="0" applyFont="1" applyBorder="1" applyAlignment="1">
      <alignment vertical="center"/>
    </xf>
    <xf numFmtId="0" fontId="171" fillId="31" borderId="82" xfId="0" applyFont="1" applyFill="1" applyBorder="1" applyAlignment="1">
      <alignment horizontal="center" vertical="center"/>
    </xf>
    <xf numFmtId="0" fontId="171" fillId="31" borderId="83" xfId="0" applyFont="1" applyFill="1" applyBorder="1" applyAlignment="1">
      <alignment horizontal="center" vertical="center"/>
    </xf>
    <xf numFmtId="0" fontId="70" fillId="35" borderId="84" xfId="0" applyFont="1" applyFill="1" applyBorder="1" applyAlignment="1">
      <alignment horizontal="center" vertical="center"/>
    </xf>
    <xf numFmtId="0" fontId="70" fillId="35" borderId="85" xfId="0" applyFont="1" applyFill="1" applyBorder="1" applyAlignment="1">
      <alignment horizontal="center" vertical="center"/>
    </xf>
    <xf numFmtId="0" fontId="70" fillId="35" borderId="86" xfId="0" applyFont="1" applyFill="1" applyBorder="1" applyAlignment="1">
      <alignment horizontal="center" vertical="center"/>
    </xf>
    <xf numFmtId="0" fontId="70" fillId="35" borderId="87" xfId="0" applyFont="1" applyFill="1" applyBorder="1" applyAlignment="1">
      <alignment horizontal="center" vertical="center"/>
    </xf>
    <xf numFmtId="0" fontId="70" fillId="35" borderId="88" xfId="0" applyFont="1" applyFill="1" applyBorder="1" applyAlignment="1">
      <alignment horizontal="center" vertical="center"/>
    </xf>
    <xf numFmtId="0" fontId="70" fillId="35" borderId="89" xfId="0" applyFont="1" applyFill="1" applyBorder="1" applyAlignment="1">
      <alignment horizontal="center" vertical="center"/>
    </xf>
    <xf numFmtId="0" fontId="70" fillId="35" borderId="90" xfId="0" applyFont="1" applyFill="1" applyBorder="1" applyAlignment="1">
      <alignment horizontal="center" vertical="center"/>
    </xf>
    <xf numFmtId="0" fontId="70" fillId="35" borderId="91" xfId="0" applyFont="1" applyFill="1" applyBorder="1" applyAlignment="1">
      <alignment horizontal="center" vertical="center"/>
    </xf>
    <xf numFmtId="0" fontId="70" fillId="35" borderId="92" xfId="0" applyFont="1" applyFill="1" applyBorder="1" applyAlignment="1">
      <alignment horizontal="center" vertical="center"/>
    </xf>
    <xf numFmtId="0" fontId="0" fillId="14" borderId="23" xfId="0" applyFill="1" applyBorder="1" applyAlignment="1">
      <alignment vertical="center"/>
    </xf>
    <xf numFmtId="0" fontId="7" fillId="14" borderId="23" xfId="0" applyFont="1" applyFill="1" applyBorder="1" applyAlignment="1">
      <alignment vertical="center"/>
    </xf>
    <xf numFmtId="0" fontId="181" fillId="14" borderId="23" xfId="0" applyFont="1" applyFill="1" applyBorder="1" applyAlignment="1">
      <alignment vertical="center"/>
    </xf>
    <xf numFmtId="0" fontId="175" fillId="14" borderId="23" xfId="0" applyFont="1" applyFill="1" applyBorder="1" applyAlignment="1">
      <alignment vertical="center"/>
    </xf>
    <xf numFmtId="0" fontId="8" fillId="14" borderId="23" xfId="0" applyFont="1" applyFill="1" applyBorder="1" applyAlignment="1">
      <alignment vertical="center"/>
    </xf>
    <xf numFmtId="0" fontId="70" fillId="14" borderId="23" xfId="0" applyFont="1" applyFill="1" applyBorder="1" applyAlignment="1">
      <alignment horizontal="center" vertical="center"/>
    </xf>
    <xf numFmtId="168" fontId="7" fillId="0" borderId="23" xfId="0" applyNumberFormat="1" applyFont="1" applyBorder="1" applyAlignment="1">
      <alignment horizontal="center" vertical="center"/>
    </xf>
    <xf numFmtId="168" fontId="181" fillId="0" borderId="23" xfId="0" applyNumberFormat="1" applyFont="1" applyBorder="1" applyAlignment="1">
      <alignment horizontal="center" vertical="center"/>
    </xf>
    <xf numFmtId="0" fontId="128" fillId="14" borderId="23" xfId="0" applyFont="1" applyFill="1" applyBorder="1" applyAlignment="1">
      <alignment horizontal="center" vertical="center"/>
    </xf>
    <xf numFmtId="0" fontId="129" fillId="14" borderId="23" xfId="0" applyFont="1" applyFill="1" applyBorder="1" applyAlignment="1">
      <alignment horizontal="center" vertical="center"/>
    </xf>
    <xf numFmtId="1" fontId="128" fillId="14" borderId="23" xfId="0" applyNumberFormat="1" applyFont="1" applyFill="1" applyBorder="1" applyAlignment="1">
      <alignment horizontal="center" vertical="center"/>
    </xf>
    <xf numFmtId="164" fontId="128" fillId="14" borderId="23" xfId="0" applyNumberFormat="1" applyFont="1" applyFill="1" applyBorder="1" applyAlignment="1">
      <alignment horizontal="center" vertical="center"/>
    </xf>
    <xf numFmtId="164" fontId="70" fillId="14" borderId="23" xfId="0" applyNumberFormat="1" applyFont="1" applyFill="1" applyBorder="1" applyAlignment="1">
      <alignment horizontal="center" vertical="center"/>
    </xf>
    <xf numFmtId="166" fontId="128" fillId="14" borderId="23" xfId="0" applyNumberFormat="1" applyFont="1" applyFill="1" applyBorder="1" applyAlignment="1">
      <alignment horizontal="center" vertical="center"/>
    </xf>
    <xf numFmtId="164" fontId="146" fillId="14" borderId="23" xfId="0" applyNumberFormat="1" applyFont="1" applyFill="1" applyBorder="1" applyAlignment="1">
      <alignment horizontal="center" vertical="center"/>
    </xf>
    <xf numFmtId="3" fontId="175" fillId="0" borderId="23" xfId="0" applyNumberFormat="1" applyFont="1" applyBorder="1" applyAlignment="1">
      <alignment horizontal="center" vertical="center"/>
    </xf>
    <xf numFmtId="1" fontId="8" fillId="0" borderId="23" xfId="0" applyNumberFormat="1" applyFont="1" applyBorder="1" applyAlignment="1">
      <alignment vertical="center"/>
    </xf>
    <xf numFmtId="0" fontId="181" fillId="0" borderId="23" xfId="0" applyFont="1" applyBorder="1" applyAlignment="1">
      <alignment vertical="center"/>
    </xf>
    <xf numFmtId="0" fontId="128" fillId="0" borderId="34" xfId="0" applyFont="1" applyBorder="1" applyAlignment="1">
      <alignment horizontal="left" vertical="center"/>
    </xf>
    <xf numFmtId="0" fontId="128" fillId="0" borderId="34" xfId="0" applyFont="1" applyBorder="1" applyAlignment="1">
      <alignment horizontal="center" vertical="center"/>
    </xf>
    <xf numFmtId="3" fontId="128" fillId="0" borderId="34" xfId="0" applyNumberFormat="1" applyFont="1" applyBorder="1" applyAlignment="1">
      <alignment horizontal="center" vertical="center"/>
    </xf>
    <xf numFmtId="0" fontId="129" fillId="0" borderId="57" xfId="0" applyFont="1" applyBorder="1" applyAlignment="1">
      <alignment vertical="center"/>
    </xf>
    <xf numFmtId="0" fontId="106" fillId="0" borderId="57" xfId="0" applyFont="1" applyBorder="1" applyAlignment="1">
      <alignment horizontal="left" vertical="center"/>
    </xf>
    <xf numFmtId="0" fontId="128" fillId="0" borderId="57" xfId="0" applyFont="1" applyBorder="1" applyAlignment="1">
      <alignment horizontal="left" vertical="center"/>
    </xf>
    <xf numFmtId="0" fontId="146" fillId="31" borderId="57" xfId="0" applyFont="1" applyFill="1" applyBorder="1" applyAlignment="1">
      <alignment horizontal="right" vertical="center"/>
    </xf>
    <xf numFmtId="0" fontId="70" fillId="31" borderId="57" xfId="0" applyFont="1" applyFill="1" applyBorder="1" applyAlignment="1">
      <alignment horizontal="left" vertical="center"/>
    </xf>
    <xf numFmtId="0" fontId="70" fillId="31" borderId="58" xfId="0" applyFont="1" applyFill="1" applyBorder="1" applyAlignment="1">
      <alignment horizontal="left" vertical="center"/>
    </xf>
    <xf numFmtId="0" fontId="128" fillId="0" borderId="59" xfId="0" applyFont="1" applyBorder="1" applyAlignment="1">
      <alignment vertical="center"/>
    </xf>
    <xf numFmtId="166" fontId="128" fillId="0" borderId="60" xfId="0" applyNumberFormat="1" applyFont="1" applyBorder="1" applyAlignment="1">
      <alignment horizontal="center" vertical="center"/>
    </xf>
    <xf numFmtId="0" fontId="71" fillId="0" borderId="59" xfId="0" applyFont="1" applyBorder="1" applyAlignment="1">
      <alignment vertical="center"/>
    </xf>
    <xf numFmtId="9" fontId="128" fillId="0" borderId="59" xfId="0" applyNumberFormat="1" applyFont="1" applyBorder="1" applyAlignment="1">
      <alignment vertical="center"/>
    </xf>
    <xf numFmtId="9" fontId="128" fillId="0" borderId="60" xfId="0" applyNumberFormat="1" applyFont="1" applyBorder="1" applyAlignment="1">
      <alignment horizontal="center" vertical="center"/>
    </xf>
    <xf numFmtId="0" fontId="70" fillId="0" borderId="59" xfId="0" applyFont="1" applyBorder="1" applyAlignment="1">
      <alignment vertical="center"/>
    </xf>
    <xf numFmtId="164" fontId="70" fillId="0" borderId="60" xfId="0" applyNumberFormat="1" applyFont="1" applyBorder="1" applyAlignment="1">
      <alignment horizontal="center" vertical="center"/>
    </xf>
    <xf numFmtId="164" fontId="128" fillId="0" borderId="60" xfId="0" applyNumberFormat="1" applyFont="1" applyBorder="1" applyAlignment="1">
      <alignment horizontal="center" vertical="center"/>
    </xf>
    <xf numFmtId="0" fontId="128" fillId="0" borderId="60" xfId="0" applyFont="1" applyBorder="1" applyAlignment="1">
      <alignment horizontal="center" vertical="center"/>
    </xf>
    <xf numFmtId="164" fontId="146" fillId="0" borderId="60" xfId="0" applyNumberFormat="1" applyFont="1" applyBorder="1" applyAlignment="1">
      <alignment horizontal="center" vertical="center"/>
    </xf>
    <xf numFmtId="0" fontId="146" fillId="0" borderId="59" xfId="0" applyFont="1" applyBorder="1" applyAlignment="1">
      <alignment vertical="center"/>
    </xf>
    <xf numFmtId="0" fontId="146" fillId="0" borderId="60" xfId="0" applyFont="1" applyBorder="1" applyAlignment="1">
      <alignment vertical="center"/>
    </xf>
    <xf numFmtId="0" fontId="70" fillId="0" borderId="60" xfId="0" applyFont="1" applyBorder="1" applyAlignment="1">
      <alignment vertical="center"/>
    </xf>
    <xf numFmtId="0" fontId="70" fillId="0" borderId="61" xfId="0" applyFont="1" applyBorder="1" applyAlignment="1">
      <alignment vertical="center"/>
    </xf>
    <xf numFmtId="177" fontId="70" fillId="0" borderId="62" xfId="0" applyNumberFormat="1" applyFont="1" applyBorder="1" applyAlignment="1">
      <alignment horizontal="center" vertical="center"/>
    </xf>
    <xf numFmtId="0" fontId="70" fillId="0" borderId="63" xfId="0" applyFont="1" applyBorder="1" applyAlignment="1">
      <alignment vertical="center"/>
    </xf>
    <xf numFmtId="0" fontId="129" fillId="0" borderId="59" xfId="0" applyFont="1" applyBorder="1" applyAlignment="1">
      <alignment horizontal="center" vertical="center"/>
    </xf>
    <xf numFmtId="0" fontId="70" fillId="0" borderId="59" xfId="0" applyFont="1" applyBorder="1" applyAlignment="1">
      <alignment horizontal="center" vertical="center"/>
    </xf>
    <xf numFmtId="0" fontId="70" fillId="0" borderId="60" xfId="0" applyFont="1" applyBorder="1" applyAlignment="1">
      <alignment horizontal="center" vertical="center"/>
    </xf>
    <xf numFmtId="0" fontId="129" fillId="0" borderId="60" xfId="0" applyFont="1" applyBorder="1" applyAlignment="1">
      <alignment horizontal="center" vertical="center"/>
    </xf>
    <xf numFmtId="1" fontId="128" fillId="0" borderId="60" xfId="0" applyNumberFormat="1" applyFont="1" applyBorder="1" applyAlignment="1">
      <alignment horizontal="center" vertical="center"/>
    </xf>
    <xf numFmtId="0" fontId="128" fillId="0" borderId="59" xfId="0" applyFont="1" applyBorder="1" applyAlignment="1">
      <alignment horizontal="center" vertical="center"/>
    </xf>
    <xf numFmtId="1" fontId="128" fillId="0" borderId="59" xfId="0" applyNumberFormat="1" applyFont="1" applyBorder="1" applyAlignment="1">
      <alignment horizontal="center" vertical="center"/>
    </xf>
    <xf numFmtId="0" fontId="129" fillId="0" borderId="60" xfId="0" applyFont="1" applyBorder="1" applyAlignment="1">
      <alignment vertical="center"/>
    </xf>
    <xf numFmtId="0" fontId="71" fillId="0" borderId="60" xfId="0" applyFont="1" applyBorder="1" applyAlignment="1">
      <alignment vertical="center"/>
    </xf>
    <xf numFmtId="0" fontId="51" fillId="0" borderId="60" xfId="0" applyFont="1" applyBorder="1" applyAlignment="1">
      <alignment vertical="center"/>
    </xf>
    <xf numFmtId="177" fontId="70" fillId="18" borderId="62" xfId="0" applyNumberFormat="1" applyFont="1" applyFill="1" applyBorder="1" applyAlignment="1">
      <alignment horizontal="center" vertical="center"/>
    </xf>
    <xf numFmtId="3" fontId="146" fillId="0" borderId="48" xfId="0" applyNumberFormat="1" applyFont="1" applyBorder="1" applyAlignment="1">
      <alignment horizontal="center" vertical="center"/>
    </xf>
    <xf numFmtId="164" fontId="146" fillId="0" borderId="69" xfId="0" applyNumberFormat="1" applyFont="1" applyBorder="1" applyAlignment="1">
      <alignment horizontal="center" vertical="center"/>
    </xf>
    <xf numFmtId="164" fontId="146" fillId="0" borderId="67" xfId="0" applyNumberFormat="1" applyFont="1" applyBorder="1" applyAlignment="1">
      <alignment horizontal="center" vertical="center"/>
    </xf>
    <xf numFmtId="3" fontId="146" fillId="18" borderId="30" xfId="0" applyNumberFormat="1" applyFont="1" applyFill="1" applyBorder="1" applyAlignment="1">
      <alignment horizontal="center" vertical="center"/>
    </xf>
    <xf numFmtId="0" fontId="146" fillId="0" borderId="67" xfId="0" applyFont="1" applyBorder="1" applyAlignment="1">
      <alignment vertical="center"/>
    </xf>
    <xf numFmtId="178" fontId="146" fillId="0" borderId="48" xfId="0" applyNumberFormat="1" applyFont="1" applyBorder="1" applyAlignment="1">
      <alignment horizontal="center" vertical="center"/>
    </xf>
    <xf numFmtId="0" fontId="146" fillId="0" borderId="69" xfId="0" applyFont="1" applyBorder="1" applyAlignment="1">
      <alignment vertical="center"/>
    </xf>
    <xf numFmtId="0" fontId="146" fillId="0" borderId="66" xfId="0" applyFont="1" applyBorder="1" applyAlignment="1">
      <alignment vertical="center"/>
    </xf>
    <xf numFmtId="166" fontId="71" fillId="0" borderId="61" xfId="0" applyNumberFormat="1" applyFont="1" applyBorder="1" applyAlignment="1">
      <alignment horizontal="center" vertical="center"/>
    </xf>
    <xf numFmtId="0" fontId="51" fillId="0" borderId="63" xfId="0" applyFont="1" applyBorder="1" applyAlignment="1">
      <alignment horizontal="center" vertical="center"/>
    </xf>
    <xf numFmtId="9" fontId="71" fillId="0" borderId="61" xfId="0" applyNumberFormat="1" applyFont="1" applyBorder="1" applyAlignment="1">
      <alignment horizontal="center" vertical="center"/>
    </xf>
    <xf numFmtId="0" fontId="146" fillId="0" borderId="23" xfId="0" applyFont="1" applyBorder="1" applyAlignment="1">
      <alignment horizontal="center" vertical="center"/>
    </xf>
    <xf numFmtId="0" fontId="146" fillId="0" borderId="0" xfId="0" applyFont="1" applyAlignment="1">
      <alignment horizontal="center" vertical="center"/>
    </xf>
    <xf numFmtId="0" fontId="25" fillId="35" borderId="87" xfId="0" applyFont="1" applyFill="1" applyBorder="1" applyAlignment="1">
      <alignment horizontal="center" vertical="center"/>
    </xf>
    <xf numFmtId="0" fontId="25" fillId="35" borderId="88" xfId="0" applyFont="1" applyFill="1" applyBorder="1" applyAlignment="1">
      <alignment horizontal="center" vertical="center"/>
    </xf>
    <xf numFmtId="0" fontId="25" fillId="35" borderId="89" xfId="0" applyFont="1" applyFill="1" applyBorder="1" applyAlignment="1">
      <alignment horizontal="center" vertical="center"/>
    </xf>
    <xf numFmtId="0" fontId="25" fillId="35" borderId="90" xfId="0" applyFont="1" applyFill="1" applyBorder="1" applyAlignment="1">
      <alignment horizontal="center" vertical="center"/>
    </xf>
    <xf numFmtId="0" fontId="25" fillId="35" borderId="91" xfId="0" applyFont="1" applyFill="1" applyBorder="1" applyAlignment="1">
      <alignment horizontal="center" vertical="center"/>
    </xf>
    <xf numFmtId="0" fontId="25" fillId="35" borderId="92" xfId="0" applyFont="1" applyFill="1" applyBorder="1" applyAlignment="1">
      <alignment horizontal="center" vertical="center"/>
    </xf>
    <xf numFmtId="0" fontId="48" fillId="0" borderId="23" xfId="0" applyFont="1" applyBorder="1" applyAlignment="1">
      <alignment vertical="center"/>
    </xf>
    <xf numFmtId="0" fontId="49" fillId="0" borderId="78" xfId="0" applyFont="1" applyBorder="1" applyAlignment="1">
      <alignment vertical="center"/>
    </xf>
    <xf numFmtId="0" fontId="129" fillId="0" borderId="79" xfId="0" applyFont="1" applyBorder="1" applyAlignment="1">
      <alignment vertical="center"/>
    </xf>
    <xf numFmtId="0" fontId="174" fillId="34" borderId="61" xfId="0" applyFont="1" applyFill="1" applyBorder="1" applyAlignment="1">
      <alignment horizontal="center" vertical="center"/>
    </xf>
    <xf numFmtId="0" fontId="76" fillId="34" borderId="62" xfId="0" applyFont="1" applyFill="1" applyBorder="1" applyAlignment="1">
      <alignment horizontal="center" vertical="center"/>
    </xf>
    <xf numFmtId="0" fontId="174" fillId="34" borderId="62" xfId="0" applyFont="1" applyFill="1" applyBorder="1" applyAlignment="1">
      <alignment horizontal="center" vertical="center"/>
    </xf>
    <xf numFmtId="0" fontId="146" fillId="14" borderId="97" xfId="0" applyFont="1" applyFill="1" applyBorder="1" applyAlignment="1">
      <alignment vertical="center"/>
    </xf>
    <xf numFmtId="0" fontId="174" fillId="34" borderId="63" xfId="0" applyFont="1" applyFill="1" applyBorder="1" applyAlignment="1">
      <alignment horizontal="center" vertical="center"/>
    </xf>
    <xf numFmtId="0" fontId="175" fillId="0" borderId="23" xfId="0" applyFont="1" applyBorder="1" applyAlignment="1">
      <alignment vertical="center"/>
    </xf>
    <xf numFmtId="0" fontId="129" fillId="0" borderId="41" xfId="0" applyFont="1" applyBorder="1" applyAlignment="1">
      <alignment vertical="center"/>
    </xf>
    <xf numFmtId="0" fontId="128" fillId="0" borderId="44" xfId="0" applyFont="1" applyBorder="1" applyAlignment="1">
      <alignment vertical="center"/>
    </xf>
    <xf numFmtId="0" fontId="146" fillId="0" borderId="78" xfId="0" applyFont="1" applyBorder="1" applyAlignment="1">
      <alignment vertical="center"/>
    </xf>
    <xf numFmtId="0" fontId="146" fillId="0" borderId="79" xfId="0" applyFont="1" applyBorder="1" applyAlignment="1">
      <alignment vertical="center"/>
    </xf>
    <xf numFmtId="9" fontId="71" fillId="0" borderId="59" xfId="0" applyNumberFormat="1" applyFont="1" applyBorder="1" applyAlignment="1">
      <alignment horizontal="center" vertical="center"/>
    </xf>
    <xf numFmtId="165" fontId="71" fillId="0" borderId="59" xfId="0" applyNumberFormat="1" applyFont="1" applyBorder="1" applyAlignment="1">
      <alignment horizontal="center" vertical="center"/>
    </xf>
    <xf numFmtId="167" fontId="71" fillId="0" borderId="59" xfId="0" applyNumberFormat="1" applyFont="1" applyBorder="1" applyAlignment="1">
      <alignment horizontal="center" vertical="center"/>
    </xf>
    <xf numFmtId="0" fontId="71" fillId="0" borderId="59" xfId="0" applyFont="1" applyBorder="1" applyAlignment="1">
      <alignment horizontal="center" vertical="center"/>
    </xf>
    <xf numFmtId="9" fontId="48" fillId="0" borderId="59" xfId="0" applyNumberFormat="1" applyFont="1" applyBorder="1" applyAlignment="1">
      <alignment horizontal="center" vertical="center"/>
    </xf>
    <xf numFmtId="164" fontId="48" fillId="0" borderId="59" xfId="0" applyNumberFormat="1" applyFont="1" applyBorder="1" applyAlignment="1">
      <alignment horizontal="center" vertical="center"/>
    </xf>
    <xf numFmtId="164" fontId="71" fillId="0" borderId="59" xfId="0" applyNumberFormat="1" applyFont="1" applyBorder="1" applyAlignment="1">
      <alignment horizontal="center" vertical="center"/>
    </xf>
    <xf numFmtId="166" fontId="48" fillId="0" borderId="59" xfId="0" applyNumberFormat="1" applyFont="1" applyBorder="1" applyAlignment="1">
      <alignment horizontal="center" vertical="center"/>
    </xf>
    <xf numFmtId="0" fontId="48" fillId="0" borderId="59" xfId="0" applyFont="1" applyBorder="1" applyAlignment="1">
      <alignment horizontal="center" vertical="center"/>
    </xf>
    <xf numFmtId="0" fontId="51" fillId="0" borderId="59" xfId="0" applyFont="1" applyBorder="1" applyAlignment="1">
      <alignment vertical="center"/>
    </xf>
    <xf numFmtId="0" fontId="128" fillId="0" borderId="76" xfId="0" applyFont="1" applyBorder="1" applyAlignment="1">
      <alignment horizontal="right" vertical="center"/>
    </xf>
    <xf numFmtId="0" fontId="146" fillId="31" borderId="98" xfId="0" applyFont="1" applyFill="1" applyBorder="1" applyAlignment="1">
      <alignment horizontal="center" vertical="center"/>
    </xf>
    <xf numFmtId="0" fontId="181" fillId="14" borderId="23" xfId="0" applyFont="1" applyFill="1" applyBorder="1" applyAlignment="1">
      <alignment horizontal="center" vertical="center"/>
    </xf>
    <xf numFmtId="0" fontId="146" fillId="30" borderId="93" xfId="0" applyFont="1" applyFill="1" applyBorder="1" applyAlignment="1">
      <alignment horizontal="center" vertical="center"/>
    </xf>
    <xf numFmtId="0" fontId="174" fillId="14" borderId="0" xfId="0" applyFont="1" applyFill="1" applyAlignment="1">
      <alignment vertical="center"/>
    </xf>
    <xf numFmtId="0" fontId="146" fillId="18" borderId="93" xfId="0" applyFont="1" applyFill="1" applyBorder="1" applyAlignment="1">
      <alignment horizontal="center" vertical="center"/>
    </xf>
    <xf numFmtId="0" fontId="146" fillId="42" borderId="0" xfId="0" applyFont="1" applyFill="1" applyAlignment="1">
      <alignment horizontal="center" vertical="center"/>
    </xf>
    <xf numFmtId="0" fontId="146" fillId="18" borderId="0" xfId="0" applyFont="1" applyFill="1" applyAlignment="1">
      <alignment horizontal="center" vertical="center"/>
    </xf>
    <xf numFmtId="0" fontId="181" fillId="0" borderId="0" xfId="0" applyFont="1"/>
    <xf numFmtId="0" fontId="71" fillId="0" borderId="102" xfId="0" applyFont="1" applyBorder="1"/>
    <xf numFmtId="0" fontId="71" fillId="0" borderId="103" xfId="0" applyFont="1" applyBorder="1"/>
    <xf numFmtId="0" fontId="71" fillId="0" borderId="104" xfId="0" applyFont="1" applyBorder="1"/>
    <xf numFmtId="0" fontId="71" fillId="0" borderId="105" xfId="0" applyFont="1" applyBorder="1"/>
    <xf numFmtId="0" fontId="76" fillId="36" borderId="106" xfId="0" applyFont="1" applyFill="1" applyBorder="1" applyAlignment="1">
      <alignment horizontal="left" vertical="center"/>
    </xf>
    <xf numFmtId="0" fontId="146" fillId="30" borderId="107" xfId="0" applyFont="1" applyFill="1" applyBorder="1" applyAlignment="1">
      <alignment horizontal="center" vertical="center"/>
    </xf>
    <xf numFmtId="0" fontId="181" fillId="0" borderId="0" xfId="0" applyFont="1" applyAlignment="1">
      <alignment horizontal="center" vertical="center"/>
    </xf>
    <xf numFmtId="0" fontId="171" fillId="14" borderId="0" xfId="0" applyFont="1" applyFill="1" applyAlignment="1">
      <alignment horizontal="center" vertical="center"/>
    </xf>
    <xf numFmtId="0" fontId="171" fillId="0" borderId="0" xfId="0" applyFont="1" applyAlignment="1">
      <alignment horizontal="center" vertical="center"/>
    </xf>
    <xf numFmtId="0" fontId="179" fillId="0" borderId="0" xfId="0" applyFont="1" applyAlignment="1">
      <alignment horizontal="center"/>
    </xf>
    <xf numFmtId="9" fontId="51" fillId="0" borderId="63" xfId="1" applyFont="1" applyBorder="1" applyAlignment="1">
      <alignment horizontal="center" vertical="center"/>
    </xf>
    <xf numFmtId="0" fontId="183" fillId="36" borderId="52" xfId="0" applyFont="1" applyFill="1" applyBorder="1" applyAlignment="1">
      <alignment horizontal="left" vertical="center"/>
    </xf>
    <xf numFmtId="3" fontId="183" fillId="0" borderId="49" xfId="0" applyNumberFormat="1" applyFont="1" applyBorder="1" applyAlignment="1">
      <alignment horizontal="center" vertical="center"/>
    </xf>
    <xf numFmtId="0" fontId="70" fillId="16" borderId="49" xfId="0" applyFont="1" applyFill="1" applyBorder="1" applyAlignment="1">
      <alignment horizontal="right" vertical="center"/>
    </xf>
    <xf numFmtId="0" fontId="181" fillId="39" borderId="0" xfId="0" applyFont="1" applyFill="1" applyAlignment="1">
      <alignment vertical="center"/>
    </xf>
    <xf numFmtId="0" fontId="26" fillId="39" borderId="0" xfId="0" applyFont="1" applyFill="1" applyAlignment="1">
      <alignment vertical="center"/>
    </xf>
    <xf numFmtId="0" fontId="175" fillId="39" borderId="0" xfId="0" applyFont="1" applyFill="1" applyAlignment="1">
      <alignment vertical="center"/>
    </xf>
    <xf numFmtId="2" fontId="130" fillId="0" borderId="49" xfId="0" applyNumberFormat="1" applyFont="1" applyBorder="1" applyAlignment="1">
      <alignment horizontal="center" vertical="center"/>
    </xf>
    <xf numFmtId="167" fontId="181" fillId="0" borderId="0" xfId="0" applyNumberFormat="1" applyFont="1" applyAlignment="1">
      <alignment horizontal="center" vertical="center"/>
    </xf>
    <xf numFmtId="0" fontId="175" fillId="0" borderId="0" xfId="0" applyFont="1" applyAlignment="1">
      <alignment horizontal="center" vertical="center"/>
    </xf>
    <xf numFmtId="9" fontId="175" fillId="0" borderId="0" xfId="0" applyNumberFormat="1" applyFont="1" applyAlignment="1">
      <alignment horizontal="center" vertical="center"/>
    </xf>
    <xf numFmtId="0" fontId="37" fillId="6" borderId="23" xfId="0" applyFont="1" applyFill="1" applyBorder="1" applyAlignment="1">
      <alignment horizontal="center" vertical="center"/>
    </xf>
    <xf numFmtId="165" fontId="37" fillId="6" borderId="23" xfId="0" applyNumberFormat="1" applyFont="1" applyFill="1" applyBorder="1" applyAlignment="1">
      <alignment horizontal="center" vertical="center"/>
    </xf>
    <xf numFmtId="0" fontId="185" fillId="0" borderId="0" xfId="0" applyFont="1"/>
    <xf numFmtId="0" fontId="185" fillId="0" borderId="0" xfId="0" applyFont="1" applyAlignment="1">
      <alignment vertical="center"/>
    </xf>
    <xf numFmtId="3" fontId="186" fillId="18" borderId="30" xfId="0" applyNumberFormat="1" applyFont="1" applyFill="1" applyBorder="1" applyAlignment="1">
      <alignment horizontal="center" vertical="center"/>
    </xf>
    <xf numFmtId="0" fontId="186" fillId="0" borderId="0" xfId="0" applyFont="1" applyAlignment="1">
      <alignment horizontal="center" vertical="center"/>
    </xf>
    <xf numFmtId="0" fontId="186" fillId="0" borderId="0" xfId="0" applyFont="1" applyAlignment="1">
      <alignment vertical="center"/>
    </xf>
    <xf numFmtId="0" fontId="188" fillId="0" borderId="0" xfId="0" applyFont="1"/>
    <xf numFmtId="178" fontId="186" fillId="18" borderId="30" xfId="0" applyNumberFormat="1" applyFont="1" applyFill="1" applyBorder="1" applyAlignment="1">
      <alignment horizontal="center" vertical="center"/>
    </xf>
    <xf numFmtId="0" fontId="188" fillId="14" borderId="0" xfId="0" applyFont="1" applyFill="1" applyAlignment="1">
      <alignment vertical="center"/>
    </xf>
    <xf numFmtId="9" fontId="188" fillId="0" borderId="0" xfId="0" applyNumberFormat="1" applyFont="1" applyAlignment="1">
      <alignment horizontal="center" vertical="center"/>
    </xf>
    <xf numFmtId="0" fontId="188" fillId="0" borderId="0" xfId="0" applyFont="1" applyAlignment="1">
      <alignment vertical="center"/>
    </xf>
    <xf numFmtId="0" fontId="188" fillId="9" borderId="5" xfId="0" applyFont="1" applyFill="1" applyBorder="1" applyAlignment="1">
      <alignment horizontal="left" vertical="center"/>
    </xf>
    <xf numFmtId="0" fontId="188" fillId="9" borderId="5" xfId="0" applyFont="1" applyFill="1" applyBorder="1" applyAlignment="1">
      <alignment horizontal="center" vertical="center"/>
    </xf>
    <xf numFmtId="0" fontId="185" fillId="0" borderId="0" xfId="0" applyFont="1" applyAlignment="1">
      <alignment horizontal="center" vertical="center"/>
    </xf>
    <xf numFmtId="0" fontId="188" fillId="0" borderId="0" xfId="0" applyFont="1" applyAlignment="1">
      <alignment horizontal="center" vertical="center"/>
    </xf>
    <xf numFmtId="3" fontId="181" fillId="9" borderId="5" xfId="0" applyNumberFormat="1" applyFont="1" applyFill="1" applyBorder="1" applyAlignment="1">
      <alignment horizontal="center" vertical="center"/>
    </xf>
    <xf numFmtId="1" fontId="181" fillId="9" borderId="5" xfId="0" applyNumberFormat="1" applyFont="1" applyFill="1" applyBorder="1" applyAlignment="1">
      <alignment horizontal="center" vertical="center"/>
    </xf>
    <xf numFmtId="178" fontId="185" fillId="18" borderId="30" xfId="0" applyNumberFormat="1" applyFont="1" applyFill="1" applyBorder="1" applyAlignment="1">
      <alignment horizontal="center" vertical="center"/>
    </xf>
    <xf numFmtId="0" fontId="89" fillId="14" borderId="0" xfId="0" applyFont="1" applyFill="1" applyAlignment="1">
      <alignment vertical="center"/>
    </xf>
    <xf numFmtId="9" fontId="70" fillId="0" borderId="60" xfId="1" applyFont="1" applyBorder="1" applyAlignment="1">
      <alignment horizontal="center" vertical="center"/>
    </xf>
    <xf numFmtId="9" fontId="71" fillId="0" borderId="60" xfId="1" applyFont="1" applyBorder="1" applyAlignment="1">
      <alignment vertical="center"/>
    </xf>
    <xf numFmtId="0" fontId="38" fillId="14" borderId="23" xfId="0" applyFont="1" applyFill="1" applyBorder="1" applyAlignment="1">
      <alignment vertical="center"/>
    </xf>
    <xf numFmtId="0" fontId="186" fillId="14" borderId="23" xfId="0" applyFont="1" applyFill="1" applyBorder="1" applyAlignment="1">
      <alignment vertical="center"/>
    </xf>
    <xf numFmtId="0" fontId="185" fillId="14" borderId="23" xfId="0" applyFont="1" applyFill="1" applyBorder="1" applyAlignment="1">
      <alignment vertical="center"/>
    </xf>
    <xf numFmtId="164" fontId="38" fillId="14" borderId="23" xfId="0" applyNumberFormat="1" applyFont="1" applyFill="1" applyBorder="1" applyAlignment="1">
      <alignment horizontal="center" vertical="center"/>
    </xf>
    <xf numFmtId="164" fontId="37" fillId="14" borderId="23" xfId="0" applyNumberFormat="1" applyFont="1" applyFill="1" applyBorder="1" applyAlignment="1">
      <alignment horizontal="center" vertical="center"/>
    </xf>
    <xf numFmtId="0" fontId="38" fillId="14" borderId="23" xfId="0" applyFont="1" applyFill="1" applyBorder="1" applyAlignment="1">
      <alignment horizontal="center" vertical="center"/>
    </xf>
    <xf numFmtId="164" fontId="186" fillId="14" borderId="23" xfId="0" applyNumberFormat="1" applyFont="1" applyFill="1" applyBorder="1" applyAlignment="1">
      <alignment horizontal="center" vertical="center"/>
    </xf>
    <xf numFmtId="0" fontId="38" fillId="6" borderId="23" xfId="0" applyFont="1" applyFill="1" applyBorder="1" applyAlignment="1">
      <alignment horizontal="center" vertical="center"/>
    </xf>
    <xf numFmtId="0" fontId="38" fillId="0" borderId="23" xfId="0" applyFont="1" applyBorder="1" applyAlignment="1">
      <alignment horizontal="center" vertical="center"/>
    </xf>
    <xf numFmtId="0" fontId="186" fillId="0" borderId="23" xfId="0" applyFont="1" applyBorder="1" applyAlignment="1">
      <alignment horizontal="center" vertical="center"/>
    </xf>
    <xf numFmtId="0" fontId="185" fillId="0" borderId="23" xfId="0" applyFont="1" applyBorder="1" applyAlignment="1">
      <alignment horizontal="center" vertical="center"/>
    </xf>
    <xf numFmtId="0" fontId="39" fillId="0" borderId="57" xfId="0" applyFont="1" applyBorder="1" applyAlignment="1">
      <alignment horizontal="left" vertical="center"/>
    </xf>
    <xf numFmtId="0" fontId="37" fillId="0" borderId="57" xfId="0" applyFont="1" applyBorder="1" applyAlignment="1">
      <alignment horizontal="left" vertical="center"/>
    </xf>
    <xf numFmtId="0" fontId="187" fillId="31" borderId="57" xfId="0" applyFont="1" applyFill="1" applyBorder="1" applyAlignment="1">
      <alignment horizontal="right" vertical="center"/>
    </xf>
    <xf numFmtId="0" fontId="182" fillId="31" borderId="57" xfId="0" applyFont="1" applyFill="1" applyBorder="1" applyAlignment="1">
      <alignment horizontal="left" vertical="center"/>
    </xf>
    <xf numFmtId="0" fontId="182" fillId="31" borderId="58" xfId="0" applyFont="1" applyFill="1" applyBorder="1" applyAlignment="1">
      <alignment horizontal="left" vertical="center"/>
    </xf>
    <xf numFmtId="0" fontId="46" fillId="0" borderId="59" xfId="0" applyFont="1" applyBorder="1" applyAlignment="1">
      <alignment horizontal="center" vertical="center"/>
    </xf>
    <xf numFmtId="9" fontId="46" fillId="0" borderId="60" xfId="0" applyNumberFormat="1" applyFont="1" applyBorder="1" applyAlignment="1">
      <alignment horizontal="center" vertical="center"/>
    </xf>
    <xf numFmtId="166" fontId="46" fillId="0" borderId="59" xfId="0" applyNumberFormat="1" applyFont="1" applyBorder="1" applyAlignment="1">
      <alignment horizontal="center" vertical="center"/>
    </xf>
    <xf numFmtId="166" fontId="46" fillId="0" borderId="60" xfId="0" applyNumberFormat="1" applyFont="1" applyBorder="1" applyAlignment="1">
      <alignment horizontal="center" vertical="center"/>
    </xf>
    <xf numFmtId="3" fontId="46" fillId="0" borderId="59" xfId="0" applyNumberFormat="1" applyFont="1" applyBorder="1" applyAlignment="1">
      <alignment horizontal="center" vertical="center"/>
    </xf>
    <xf numFmtId="3" fontId="46" fillId="0" borderId="60" xfId="0" applyNumberFormat="1" applyFont="1" applyBorder="1" applyAlignment="1">
      <alignment horizontal="center" vertical="center"/>
    </xf>
    <xf numFmtId="168" fontId="46" fillId="0" borderId="60" xfId="0" applyNumberFormat="1" applyFont="1" applyBorder="1" applyAlignment="1">
      <alignment horizontal="center" vertical="center"/>
    </xf>
    <xf numFmtId="9" fontId="46" fillId="0" borderId="59" xfId="0" applyNumberFormat="1" applyFont="1" applyBorder="1" applyAlignment="1">
      <alignment horizontal="center" vertical="center"/>
    </xf>
    <xf numFmtId="0" fontId="46" fillId="0" borderId="60" xfId="0" applyFont="1" applyBorder="1" applyAlignment="1">
      <alignment horizontal="center" vertical="center"/>
    </xf>
    <xf numFmtId="165" fontId="46" fillId="0" borderId="59" xfId="0" applyNumberFormat="1" applyFont="1" applyBorder="1" applyAlignment="1">
      <alignment horizontal="center" vertical="center"/>
    </xf>
    <xf numFmtId="164" fontId="46" fillId="0" borderId="60" xfId="0" applyNumberFormat="1" applyFont="1" applyBorder="1" applyAlignment="1">
      <alignment horizontal="center" vertical="center"/>
    </xf>
    <xf numFmtId="9" fontId="46" fillId="0" borderId="60" xfId="1" applyFont="1" applyBorder="1" applyAlignment="1">
      <alignment horizontal="center" vertical="center"/>
    </xf>
    <xf numFmtId="9" fontId="26" fillId="0" borderId="60" xfId="0" applyNumberFormat="1" applyFont="1" applyBorder="1" applyAlignment="1">
      <alignment horizontal="center" vertical="center"/>
    </xf>
    <xf numFmtId="0" fontId="175" fillId="0" borderId="59" xfId="0" applyFont="1" applyBorder="1" applyAlignment="1">
      <alignment horizontal="center" vertical="center"/>
    </xf>
    <xf numFmtId="0" fontId="175" fillId="0" borderId="60" xfId="0" applyFont="1" applyBorder="1" applyAlignment="1">
      <alignment horizontal="center" vertical="center"/>
    </xf>
    <xf numFmtId="0" fontId="185" fillId="0" borderId="59" xfId="0" applyFont="1" applyBorder="1" applyAlignment="1">
      <alignment vertical="center"/>
    </xf>
    <xf numFmtId="0" fontId="185" fillId="0" borderId="60" xfId="0" applyFont="1" applyBorder="1" applyAlignment="1">
      <alignment vertical="center"/>
    </xf>
    <xf numFmtId="0" fontId="185" fillId="0" borderId="61" xfId="0" applyFont="1" applyBorder="1" applyAlignment="1">
      <alignment vertical="center"/>
    </xf>
    <xf numFmtId="177" fontId="185" fillId="18" borderId="62" xfId="0" applyNumberFormat="1" applyFont="1" applyFill="1" applyBorder="1" applyAlignment="1">
      <alignment horizontal="center" vertical="center"/>
    </xf>
    <xf numFmtId="0" fontId="185" fillId="0" borderId="63" xfId="0" applyFont="1" applyBorder="1" applyAlignment="1">
      <alignment vertical="center"/>
    </xf>
    <xf numFmtId="164" fontId="46" fillId="0" borderId="59" xfId="0" applyNumberFormat="1" applyFont="1" applyBorder="1" applyAlignment="1">
      <alignment horizontal="center" vertical="center"/>
    </xf>
    <xf numFmtId="9" fontId="46" fillId="0" borderId="59" xfId="1" applyFont="1" applyBorder="1" applyAlignment="1">
      <alignment horizontal="center" vertical="center"/>
    </xf>
    <xf numFmtId="3" fontId="181" fillId="0" borderId="30" xfId="0" applyNumberFormat="1" applyFont="1" applyBorder="1" applyAlignment="1">
      <alignment horizontal="center"/>
    </xf>
    <xf numFmtId="178" fontId="181" fillId="0" borderId="30" xfId="0" applyNumberFormat="1" applyFont="1" applyBorder="1" applyAlignment="1">
      <alignment horizontal="center" vertical="center"/>
    </xf>
    <xf numFmtId="178" fontId="26" fillId="0" borderId="30" xfId="0" applyNumberFormat="1" applyFont="1" applyBorder="1" applyAlignment="1">
      <alignment horizontal="center" vertical="center"/>
    </xf>
    <xf numFmtId="0" fontId="175" fillId="14" borderId="23" xfId="0" applyFont="1" applyFill="1" applyBorder="1"/>
    <xf numFmtId="0" fontId="8" fillId="14" borderId="23" xfId="0" applyFont="1" applyFill="1" applyBorder="1"/>
    <xf numFmtId="0" fontId="181" fillId="14" borderId="23" xfId="0" applyFont="1" applyFill="1" applyBorder="1"/>
    <xf numFmtId="0" fontId="26" fillId="14" borderId="23" xfId="0" applyFont="1" applyFill="1" applyBorder="1"/>
    <xf numFmtId="0" fontId="37" fillId="14" borderId="23" xfId="0" applyFont="1" applyFill="1" applyBorder="1"/>
    <xf numFmtId="0" fontId="38" fillId="14" borderId="23" xfId="0" applyFont="1" applyFill="1" applyBorder="1"/>
    <xf numFmtId="0" fontId="38" fillId="14" borderId="23" xfId="0" applyFont="1" applyFill="1" applyBorder="1" applyAlignment="1">
      <alignment horizontal="center"/>
    </xf>
    <xf numFmtId="164" fontId="37" fillId="14" borderId="23" xfId="0" applyNumberFormat="1" applyFont="1" applyFill="1" applyBorder="1" applyAlignment="1">
      <alignment horizontal="center"/>
    </xf>
    <xf numFmtId="0" fontId="37" fillId="14" borderId="23" xfId="0" applyFont="1" applyFill="1" applyBorder="1" applyAlignment="1">
      <alignment horizontal="center"/>
    </xf>
    <xf numFmtId="164" fontId="38" fillId="14" borderId="23" xfId="0" applyNumberFormat="1" applyFont="1" applyFill="1" applyBorder="1" applyAlignment="1">
      <alignment horizontal="center"/>
    </xf>
    <xf numFmtId="164" fontId="181" fillId="14" borderId="23" xfId="0" applyNumberFormat="1" applyFont="1" applyFill="1" applyBorder="1" applyAlignment="1">
      <alignment horizontal="center"/>
    </xf>
    <xf numFmtId="0" fontId="175" fillId="0" borderId="23" xfId="0" applyFont="1" applyBorder="1"/>
    <xf numFmtId="0" fontId="0" fillId="0" borderId="23" xfId="0" applyBorder="1"/>
    <xf numFmtId="0" fontId="8" fillId="0" borderId="23" xfId="0" applyFont="1" applyBorder="1"/>
    <xf numFmtId="0" fontId="181" fillId="0" borderId="23" xfId="0" applyFont="1" applyBorder="1"/>
    <xf numFmtId="0" fontId="26" fillId="0" borderId="23" xfId="0" applyFont="1" applyBorder="1"/>
    <xf numFmtId="0" fontId="39" fillId="0" borderId="57" xfId="0" applyFont="1" applyBorder="1" applyAlignment="1">
      <alignment horizontal="left"/>
    </xf>
    <xf numFmtId="0" fontId="146" fillId="31" borderId="57" xfId="0" applyFont="1" applyFill="1" applyBorder="1" applyAlignment="1">
      <alignment horizontal="right"/>
    </xf>
    <xf numFmtId="0" fontId="37" fillId="0" borderId="59" xfId="0" applyFont="1" applyBorder="1"/>
    <xf numFmtId="0" fontId="37" fillId="0" borderId="60" xfId="0" applyFont="1" applyBorder="1"/>
    <xf numFmtId="3" fontId="37" fillId="0" borderId="59" xfId="0" applyNumberFormat="1" applyFont="1" applyBorder="1" applyAlignment="1">
      <alignment horizontal="center"/>
    </xf>
    <xf numFmtId="3" fontId="37" fillId="0" borderId="60" xfId="0" applyNumberFormat="1" applyFont="1" applyBorder="1" applyAlignment="1">
      <alignment horizontal="center"/>
    </xf>
    <xf numFmtId="0" fontId="181" fillId="0" borderId="59" xfId="0" applyFont="1" applyBorder="1"/>
    <xf numFmtId="164" fontId="181" fillId="0" borderId="60" xfId="0" applyNumberFormat="1" applyFont="1" applyBorder="1" applyAlignment="1">
      <alignment horizontal="center"/>
    </xf>
    <xf numFmtId="9" fontId="26" fillId="0" borderId="59" xfId="0" applyNumberFormat="1" applyFont="1" applyBorder="1" applyAlignment="1">
      <alignment horizontal="center"/>
    </xf>
    <xf numFmtId="0" fontId="181" fillId="0" borderId="60" xfId="0" applyFont="1" applyBorder="1"/>
    <xf numFmtId="0" fontId="26" fillId="0" borderId="59" xfId="0" applyFont="1" applyBorder="1" applyAlignment="1">
      <alignment vertical="center"/>
    </xf>
    <xf numFmtId="0" fontId="26" fillId="0" borderId="60" xfId="0" applyFont="1" applyBorder="1" applyAlignment="1">
      <alignment vertical="center"/>
    </xf>
    <xf numFmtId="0" fontId="26" fillId="0" borderId="61" xfId="0" applyFont="1" applyBorder="1" applyAlignment="1">
      <alignment vertical="center"/>
    </xf>
    <xf numFmtId="178" fontId="26" fillId="0" borderId="62" xfId="0" applyNumberFormat="1" applyFont="1" applyBorder="1" applyAlignment="1">
      <alignment horizontal="center" vertical="center"/>
    </xf>
    <xf numFmtId="0" fontId="26" fillId="0" borderId="63" xfId="0" applyFont="1" applyBorder="1" applyAlignment="1">
      <alignment vertical="center"/>
    </xf>
    <xf numFmtId="164" fontId="181" fillId="0" borderId="59" xfId="0" applyNumberFormat="1" applyFont="1" applyBorder="1" applyAlignment="1">
      <alignment horizontal="center"/>
    </xf>
    <xf numFmtId="0" fontId="37" fillId="0" borderId="108" xfId="0" applyFont="1" applyBorder="1"/>
    <xf numFmtId="3" fontId="37" fillId="0" borderId="109" xfId="0" applyNumberFormat="1" applyFont="1" applyBorder="1" applyAlignment="1">
      <alignment horizontal="center"/>
    </xf>
    <xf numFmtId="0" fontId="181" fillId="0" borderId="109" xfId="0" applyFont="1" applyBorder="1"/>
    <xf numFmtId="0" fontId="26" fillId="0" borderId="109" xfId="0" applyFont="1" applyBorder="1"/>
    <xf numFmtId="0" fontId="26" fillId="0" borderId="63" xfId="0" applyFont="1" applyBorder="1"/>
    <xf numFmtId="0" fontId="37" fillId="0" borderId="76" xfId="0" applyFont="1" applyBorder="1" applyAlignment="1">
      <alignment horizontal="right"/>
    </xf>
    <xf numFmtId="0" fontId="37" fillId="0" borderId="78" xfId="0" applyFont="1" applyBorder="1"/>
    <xf numFmtId="0" fontId="37" fillId="0" borderId="34" xfId="0" applyFont="1" applyBorder="1"/>
    <xf numFmtId="0" fontId="37" fillId="0" borderId="79" xfId="0" applyFont="1" applyBorder="1"/>
    <xf numFmtId="0" fontId="37" fillId="0" borderId="110" xfId="0" applyFont="1" applyBorder="1"/>
    <xf numFmtId="0" fontId="161" fillId="31"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9" fontId="0" fillId="0" borderId="23" xfId="0" applyNumberFormat="1" applyBorder="1" applyAlignment="1">
      <alignment horizontal="center"/>
    </xf>
    <xf numFmtId="177" fontId="0" fillId="0" borderId="23" xfId="0" applyNumberFormat="1" applyBorder="1" applyAlignment="1">
      <alignment horizontal="center"/>
    </xf>
    <xf numFmtId="0" fontId="37" fillId="0" borderId="44" xfId="0" applyFont="1" applyBorder="1" applyAlignment="1">
      <alignment horizontal="right"/>
    </xf>
    <xf numFmtId="0" fontId="37" fillId="0" borderId="44" xfId="0" applyFont="1" applyBorder="1"/>
    <xf numFmtId="0" fontId="37" fillId="0" borderId="41" xfId="0" applyFont="1" applyBorder="1"/>
    <xf numFmtId="0" fontId="166" fillId="31" borderId="56" xfId="0" applyFont="1" applyFill="1" applyBorder="1" applyAlignment="1">
      <alignment horizontal="center" vertical="center"/>
    </xf>
    <xf numFmtId="0" fontId="38" fillId="0" borderId="57" xfId="0" applyFont="1" applyBorder="1" applyAlignment="1">
      <alignment horizontal="left" vertical="center"/>
    </xf>
    <xf numFmtId="0" fontId="120" fillId="0" borderId="57" xfId="0" applyFont="1" applyBorder="1" applyAlignment="1">
      <alignment horizontal="left" vertical="center"/>
    </xf>
    <xf numFmtId="0" fontId="171" fillId="16" borderId="57" xfId="0" applyFont="1" applyFill="1" applyBorder="1" applyAlignment="1">
      <alignment horizontal="right" vertical="center"/>
    </xf>
    <xf numFmtId="0" fontId="106" fillId="0" borderId="58" xfId="0" applyFont="1" applyBorder="1" applyAlignment="1">
      <alignment horizontal="left" vertical="center"/>
    </xf>
    <xf numFmtId="0" fontId="37" fillId="0" borderId="59" xfId="0" applyFont="1" applyBorder="1" applyAlignment="1">
      <alignment vertical="center"/>
    </xf>
    <xf numFmtId="0" fontId="37" fillId="0" borderId="60" xfId="0" applyFont="1" applyBorder="1" applyAlignment="1">
      <alignment vertical="center"/>
    </xf>
    <xf numFmtId="167" fontId="38" fillId="0" borderId="59" xfId="0" applyNumberFormat="1" applyFont="1" applyBorder="1" applyAlignment="1">
      <alignment horizontal="center" vertical="center"/>
    </xf>
    <xf numFmtId="168" fontId="38" fillId="0" borderId="60" xfId="0" applyNumberFormat="1" applyFont="1" applyBorder="1" applyAlignment="1">
      <alignment horizontal="center" vertical="center"/>
    </xf>
    <xf numFmtId="4" fontId="38" fillId="0" borderId="59" xfId="0" applyNumberFormat="1" applyFont="1" applyBorder="1" applyAlignment="1">
      <alignment horizontal="center" vertical="center"/>
    </xf>
    <xf numFmtId="4" fontId="38" fillId="0" borderId="60" xfId="0" applyNumberFormat="1" applyFont="1" applyBorder="1" applyAlignment="1">
      <alignment horizontal="center" vertical="center"/>
    </xf>
    <xf numFmtId="0" fontId="38" fillId="0" borderId="60" xfId="0" applyFont="1" applyBorder="1" applyAlignment="1">
      <alignment horizontal="center" vertical="center"/>
    </xf>
    <xf numFmtId="0" fontId="37" fillId="0" borderId="59" xfId="0" applyFont="1" applyBorder="1" applyAlignment="1">
      <alignment horizontal="center" vertical="center"/>
    </xf>
    <xf numFmtId="0" fontId="37" fillId="0" borderId="60" xfId="0" applyFont="1" applyBorder="1" applyAlignment="1">
      <alignment horizontal="center" vertical="center"/>
    </xf>
    <xf numFmtId="167" fontId="38" fillId="0" borderId="61" xfId="0" applyNumberFormat="1" applyFont="1" applyBorder="1" applyAlignment="1">
      <alignment horizontal="center" vertical="center"/>
    </xf>
    <xf numFmtId="167" fontId="38" fillId="0" borderId="62" xfId="0" applyNumberFormat="1" applyFont="1" applyBorder="1" applyAlignment="1">
      <alignment horizontal="center" vertical="center"/>
    </xf>
    <xf numFmtId="168" fontId="38" fillId="0" borderId="63" xfId="0" applyNumberFormat="1" applyFont="1" applyBorder="1" applyAlignment="1">
      <alignment horizontal="center" vertical="center"/>
    </xf>
    <xf numFmtId="0" fontId="37" fillId="0" borderId="108" xfId="0" applyFont="1" applyBorder="1" applyAlignment="1">
      <alignment vertical="center"/>
    </xf>
    <xf numFmtId="168" fontId="38" fillId="0" borderId="108" xfId="0" applyNumberFormat="1" applyFont="1" applyBorder="1" applyAlignment="1">
      <alignment horizontal="center" vertical="center"/>
    </xf>
    <xf numFmtId="4" fontId="38" fillId="0" borderId="108" xfId="0" applyNumberFormat="1" applyFont="1" applyBorder="1" applyAlignment="1">
      <alignment horizontal="center" vertical="center"/>
    </xf>
    <xf numFmtId="168" fontId="38" fillId="0" borderId="111" xfId="0" applyNumberFormat="1" applyFont="1" applyBorder="1" applyAlignment="1">
      <alignment horizontal="center" vertical="center"/>
    </xf>
    <xf numFmtId="0" fontId="171" fillId="14" borderId="23" xfId="0" applyFont="1" applyFill="1" applyBorder="1"/>
    <xf numFmtId="0" fontId="171" fillId="14" borderId="23" xfId="0" applyFont="1" applyFill="1" applyBorder="1" applyAlignment="1">
      <alignment vertical="center"/>
    </xf>
    <xf numFmtId="0" fontId="171" fillId="0" borderId="59" xfId="0" applyFont="1" applyBorder="1" applyAlignment="1">
      <alignment horizontal="center" vertical="center"/>
    </xf>
    <xf numFmtId="167" fontId="171" fillId="0" borderId="30" xfId="0" applyNumberFormat="1" applyFont="1" applyBorder="1" applyAlignment="1">
      <alignment horizontal="center" vertical="center"/>
    </xf>
    <xf numFmtId="0" fontId="171" fillId="0" borderId="60" xfId="0" applyFont="1" applyBorder="1" applyAlignment="1">
      <alignment horizontal="center" vertical="center"/>
    </xf>
    <xf numFmtId="0" fontId="171" fillId="0" borderId="59" xfId="0" applyFont="1" applyBorder="1" applyAlignment="1">
      <alignment vertical="center"/>
    </xf>
    <xf numFmtId="0" fontId="171" fillId="0" borderId="60" xfId="0" applyFont="1" applyBorder="1" applyAlignment="1">
      <alignment vertical="center"/>
    </xf>
    <xf numFmtId="0" fontId="171" fillId="0" borderId="108" xfId="0" applyFont="1" applyBorder="1" applyAlignment="1">
      <alignment vertical="center"/>
    </xf>
    <xf numFmtId="168" fontId="171" fillId="0" borderId="23" xfId="0" applyNumberFormat="1" applyFont="1" applyBorder="1" applyAlignment="1">
      <alignment horizontal="center" vertical="center"/>
    </xf>
    <xf numFmtId="168" fontId="171" fillId="0" borderId="0" xfId="0" applyNumberFormat="1" applyFont="1" applyAlignment="1">
      <alignment horizontal="center" vertical="center"/>
    </xf>
    <xf numFmtId="0" fontId="171" fillId="0" borderId="0" xfId="0" applyFont="1"/>
    <xf numFmtId="0" fontId="179" fillId="0" borderId="0" xfId="0" applyFont="1"/>
    <xf numFmtId="0" fontId="62" fillId="0" borderId="59" xfId="0" applyFont="1" applyBorder="1" applyAlignment="1">
      <alignment horizontal="left" vertical="center"/>
    </xf>
    <xf numFmtId="0" fontId="120" fillId="0" borderId="114" xfId="0" applyFont="1" applyBorder="1" applyAlignment="1" applyProtection="1">
      <alignment horizontal="left" vertical="center"/>
      <protection locked="0"/>
    </xf>
    <xf numFmtId="9" fontId="39" fillId="0" borderId="23" xfId="0" applyNumberFormat="1" applyFont="1" applyBorder="1" applyAlignment="1" applyProtection="1">
      <alignment horizontal="center" vertical="center"/>
      <protection locked="0"/>
    </xf>
    <xf numFmtId="9" fontId="39" fillId="0" borderId="115" xfId="0" applyNumberFormat="1" applyFont="1" applyBorder="1" applyAlignment="1" applyProtection="1">
      <alignment horizontal="center" vertical="center"/>
      <protection locked="0"/>
    </xf>
    <xf numFmtId="0" fontId="39" fillId="0" borderId="23" xfId="0" applyFont="1" applyBorder="1" applyAlignment="1" applyProtection="1">
      <alignment vertical="center"/>
      <protection locked="0"/>
    </xf>
    <xf numFmtId="1" fontId="120" fillId="0" borderId="116" xfId="0" applyNumberFormat="1" applyFont="1" applyBorder="1" applyAlignment="1" applyProtection="1">
      <alignment horizontal="center" vertical="center"/>
      <protection locked="0"/>
    </xf>
    <xf numFmtId="164" fontId="120" fillId="0" borderId="116" xfId="0" applyNumberFormat="1" applyFont="1" applyBorder="1" applyAlignment="1" applyProtection="1">
      <alignment horizontal="center" vertical="center"/>
      <protection locked="0"/>
    </xf>
    <xf numFmtId="9" fontId="120" fillId="0" borderId="116" xfId="0" applyNumberFormat="1" applyFont="1" applyBorder="1" applyAlignment="1" applyProtection="1">
      <alignment horizontal="center" vertical="center"/>
      <protection locked="0"/>
    </xf>
    <xf numFmtId="10" fontId="193" fillId="0" borderId="132" xfId="0" applyNumberFormat="1" applyFont="1" applyBorder="1" applyAlignment="1" applyProtection="1">
      <alignment horizontal="center" vertical="center"/>
      <protection locked="0"/>
    </xf>
    <xf numFmtId="10" fontId="193" fillId="0" borderId="108" xfId="0" applyNumberFormat="1" applyFont="1" applyBorder="1" applyAlignment="1" applyProtection="1">
      <alignment horizontal="center" vertical="center"/>
      <protection locked="0"/>
    </xf>
    <xf numFmtId="0" fontId="193" fillId="0" borderId="132" xfId="0" applyFont="1" applyBorder="1" applyAlignment="1" applyProtection="1">
      <alignment horizontal="center" vertical="center"/>
      <protection locked="0"/>
    </xf>
    <xf numFmtId="0" fontId="193" fillId="0" borderId="108" xfId="0" applyFont="1" applyBorder="1" applyAlignment="1" applyProtection="1">
      <alignment horizontal="center" vertical="center"/>
      <protection locked="0"/>
    </xf>
    <xf numFmtId="10" fontId="193" fillId="0" borderId="133" xfId="0" applyNumberFormat="1" applyFont="1" applyBorder="1" applyAlignment="1" applyProtection="1">
      <alignment horizontal="center" vertical="center"/>
      <protection locked="0"/>
    </xf>
    <xf numFmtId="10" fontId="193" fillId="0" borderId="111" xfId="0" applyNumberFormat="1" applyFont="1" applyBorder="1" applyAlignment="1" applyProtection="1">
      <alignment horizontal="center" vertical="center"/>
      <protection locked="0"/>
    </xf>
    <xf numFmtId="0" fontId="39" fillId="0" borderId="23" xfId="0" applyFont="1" applyBorder="1" applyAlignment="1">
      <alignment vertical="center"/>
    </xf>
    <xf numFmtId="0" fontId="39" fillId="0" borderId="23" xfId="0" applyFont="1" applyBorder="1" applyAlignment="1">
      <alignment horizontal="center" vertical="center"/>
    </xf>
    <xf numFmtId="3" fontId="42" fillId="0" borderId="30" xfId="0" applyNumberFormat="1" applyFont="1" applyBorder="1" applyAlignment="1">
      <alignment horizontal="center" vertical="center"/>
    </xf>
    <xf numFmtId="0" fontId="196" fillId="0" borderId="124" xfId="0" applyFont="1" applyBorder="1" applyAlignment="1" applyProtection="1">
      <alignment vertical="center"/>
      <protection locked="0"/>
    </xf>
    <xf numFmtId="0" fontId="197" fillId="0" borderId="23" xfId="0" applyFont="1" applyBorder="1" applyAlignment="1" applyProtection="1">
      <alignment vertical="center"/>
      <protection locked="0"/>
    </xf>
    <xf numFmtId="0" fontId="197" fillId="0" borderId="23" xfId="0" applyFont="1" applyBorder="1" applyAlignment="1" applyProtection="1">
      <alignment horizontal="center" vertical="center"/>
      <protection locked="0"/>
    </xf>
    <xf numFmtId="0" fontId="197" fillId="0" borderId="0" xfId="0" applyFont="1" applyAlignment="1" applyProtection="1">
      <alignment vertical="center"/>
      <protection locked="0"/>
    </xf>
    <xf numFmtId="0" fontId="197" fillId="0" borderId="0" xfId="0" applyFont="1" applyAlignment="1">
      <alignment vertical="center"/>
    </xf>
    <xf numFmtId="0" fontId="60" fillId="29" borderId="113" xfId="0" applyFont="1" applyFill="1" applyBorder="1" applyAlignment="1">
      <alignment horizontal="center" vertical="center"/>
    </xf>
    <xf numFmtId="0" fontId="35" fillId="0" borderId="0" xfId="0" applyFont="1" applyAlignment="1">
      <alignment vertical="center"/>
    </xf>
    <xf numFmtId="0" fontId="35" fillId="0" borderId="0" xfId="0" applyFont="1" applyAlignment="1" applyProtection="1">
      <alignment vertical="center"/>
      <protection locked="0"/>
    </xf>
    <xf numFmtId="170" fontId="35" fillId="0" borderId="0" xfId="0" applyNumberFormat="1" applyFont="1" applyAlignment="1" applyProtection="1">
      <alignment vertical="center"/>
      <protection locked="0"/>
    </xf>
    <xf numFmtId="0" fontId="35" fillId="0" borderId="0" xfId="0" applyFont="1" applyAlignment="1" applyProtection="1">
      <alignment horizontal="center" vertical="center"/>
      <protection locked="0"/>
    </xf>
    <xf numFmtId="0" fontId="198" fillId="0" borderId="0" xfId="0" applyFont="1" applyAlignment="1">
      <alignment vertical="center"/>
    </xf>
    <xf numFmtId="0" fontId="198" fillId="0" borderId="0" xfId="0" applyFont="1" applyAlignment="1" applyProtection="1">
      <alignment vertical="center"/>
      <protection locked="0"/>
    </xf>
    <xf numFmtId="0" fontId="198" fillId="0" borderId="0" xfId="0" applyFont="1" applyAlignment="1" applyProtection="1">
      <alignment horizontal="center" vertical="center"/>
      <protection locked="0"/>
    </xf>
    <xf numFmtId="166" fontId="47" fillId="0" borderId="30" xfId="0" applyNumberFormat="1" applyFont="1" applyBorder="1" applyAlignment="1">
      <alignment horizontal="center" vertical="center"/>
    </xf>
    <xf numFmtId="0" fontId="158" fillId="51" borderId="0" xfId="0" applyFont="1" applyFill="1" applyAlignment="1">
      <alignment horizontal="left" vertical="center"/>
    </xf>
    <xf numFmtId="166" fontId="62" fillId="0" borderId="30" xfId="1" applyNumberFormat="1" applyFont="1" applyFill="1" applyBorder="1" applyAlignment="1">
      <alignment horizontal="center" vertical="center"/>
    </xf>
    <xf numFmtId="166" fontId="62" fillId="0" borderId="34" xfId="0" applyNumberFormat="1" applyFont="1" applyBorder="1" applyAlignment="1">
      <alignment horizontal="center" vertical="center" wrapText="1"/>
    </xf>
    <xf numFmtId="0" fontId="161" fillId="29" borderId="112" xfId="0" applyFont="1" applyFill="1" applyBorder="1" applyAlignment="1">
      <alignment horizontal="left" vertical="center"/>
    </xf>
    <xf numFmtId="0" fontId="161" fillId="29" borderId="116" xfId="0" applyFont="1" applyFill="1" applyBorder="1" applyAlignment="1">
      <alignment horizontal="center" vertical="center"/>
    </xf>
    <xf numFmtId="167" fontId="161" fillId="29" borderId="113" xfId="0" applyNumberFormat="1" applyFont="1" applyFill="1" applyBorder="1" applyAlignment="1">
      <alignment horizontal="center" vertical="center"/>
    </xf>
    <xf numFmtId="167" fontId="62" fillId="0" borderId="60" xfId="0" applyNumberFormat="1" applyFont="1" applyBorder="1" applyAlignment="1">
      <alignment horizontal="center" vertical="center"/>
    </xf>
    <xf numFmtId="0" fontId="42" fillId="0" borderId="59" xfId="0" applyFont="1" applyBorder="1" applyAlignment="1">
      <alignment vertical="center"/>
    </xf>
    <xf numFmtId="167" fontId="42" fillId="0" borderId="60" xfId="0" applyNumberFormat="1" applyFont="1" applyBorder="1" applyAlignment="1">
      <alignment horizontal="center" vertical="center"/>
    </xf>
    <xf numFmtId="0" fontId="42" fillId="0" borderId="61" xfId="0" applyFont="1" applyBorder="1" applyAlignment="1">
      <alignment vertical="center"/>
    </xf>
    <xf numFmtId="0" fontId="42" fillId="0" borderId="62" xfId="0" applyFont="1" applyBorder="1" applyAlignment="1">
      <alignment horizontal="center" vertical="center"/>
    </xf>
    <xf numFmtId="0" fontId="164" fillId="16" borderId="112" xfId="0" applyFont="1" applyFill="1" applyBorder="1" applyAlignment="1">
      <alignment horizontal="left" vertical="center"/>
    </xf>
    <xf numFmtId="0" fontId="164" fillId="29" borderId="116" xfId="0" applyFont="1" applyFill="1" applyBorder="1" applyAlignment="1">
      <alignment horizontal="center" vertical="center"/>
    </xf>
    <xf numFmtId="167" fontId="164" fillId="29" borderId="113" xfId="0" applyNumberFormat="1" applyFont="1" applyFill="1" applyBorder="1" applyAlignment="1">
      <alignment horizontal="center" vertical="center"/>
    </xf>
    <xf numFmtId="0" fontId="144" fillId="16" borderId="134" xfId="0" applyFont="1" applyFill="1" applyBorder="1" applyAlignment="1">
      <alignment horizontal="left" vertical="center"/>
    </xf>
    <xf numFmtId="167" fontId="164" fillId="29" borderId="135" xfId="0" applyNumberFormat="1" applyFont="1" applyFill="1" applyBorder="1" applyAlignment="1">
      <alignment horizontal="center" vertical="center"/>
    </xf>
    <xf numFmtId="0" fontId="161" fillId="29" borderId="112" xfId="0" applyFont="1" applyFill="1" applyBorder="1" applyAlignment="1">
      <alignment horizontal="center" vertical="center"/>
    </xf>
    <xf numFmtId="0" fontId="179" fillId="14" borderId="39" xfId="0" applyFont="1" applyFill="1" applyBorder="1" applyAlignment="1">
      <alignment vertical="center"/>
    </xf>
    <xf numFmtId="0" fontId="179" fillId="14" borderId="44" xfId="0" applyFont="1" applyFill="1" applyBorder="1" applyAlignment="1">
      <alignment vertical="center"/>
    </xf>
    <xf numFmtId="0" fontId="25" fillId="29" borderId="112" xfId="0" applyFont="1" applyFill="1" applyBorder="1" applyAlignment="1">
      <alignment horizontal="center" vertical="center"/>
    </xf>
    <xf numFmtId="0" fontId="7" fillId="29" borderId="116" xfId="0" applyFont="1" applyFill="1" applyBorder="1" applyAlignment="1">
      <alignment horizontal="center" vertical="center"/>
    </xf>
    <xf numFmtId="0" fontId="7" fillId="29" borderId="113" xfId="0" applyFont="1" applyFill="1" applyBorder="1" applyAlignment="1">
      <alignment horizontal="center" vertical="center"/>
    </xf>
    <xf numFmtId="0" fontId="42" fillId="0" borderId="59" xfId="0" applyFont="1" applyBorder="1" applyAlignment="1">
      <alignment horizontal="left" vertical="center"/>
    </xf>
    <xf numFmtId="169" fontId="46" fillId="0" borderId="60" xfId="0" applyNumberFormat="1" applyFont="1" applyBorder="1" applyAlignment="1">
      <alignment horizontal="center" vertical="center"/>
    </xf>
    <xf numFmtId="0" fontId="42" fillId="0" borderId="61" xfId="0" applyFont="1" applyBorder="1" applyAlignment="1">
      <alignment horizontal="left" vertical="center"/>
    </xf>
    <xf numFmtId="0" fontId="60" fillId="29" borderId="112" xfId="0" applyFont="1" applyFill="1" applyBorder="1" applyAlignment="1">
      <alignment horizontal="center" vertical="center"/>
    </xf>
    <xf numFmtId="0" fontId="60" fillId="29" borderId="116" xfId="0" applyFont="1" applyFill="1" applyBorder="1" applyAlignment="1">
      <alignment horizontal="center" vertical="center"/>
    </xf>
    <xf numFmtId="1" fontId="42" fillId="0" borderId="60" xfId="0" applyNumberFormat="1" applyFont="1" applyBorder="1" applyAlignment="1">
      <alignment horizontal="center" vertical="center"/>
    </xf>
    <xf numFmtId="0" fontId="60" fillId="41" borderId="112" xfId="0" applyFont="1" applyFill="1" applyBorder="1" applyAlignment="1">
      <alignment horizontal="center" vertical="center"/>
    </xf>
    <xf numFmtId="0" fontId="60" fillId="41" borderId="116" xfId="0" applyFont="1" applyFill="1" applyBorder="1" applyAlignment="1">
      <alignment horizontal="center" vertical="center"/>
    </xf>
    <xf numFmtId="0" fontId="60" fillId="41" borderId="113" xfId="0" applyFont="1" applyFill="1" applyBorder="1" applyAlignment="1">
      <alignment horizontal="center" vertical="center"/>
    </xf>
    <xf numFmtId="3" fontId="62" fillId="2" borderId="60" xfId="0" applyNumberFormat="1" applyFont="1" applyFill="1" applyBorder="1" applyAlignment="1" applyProtection="1">
      <alignment horizontal="center" vertical="center"/>
      <protection locked="0"/>
    </xf>
    <xf numFmtId="9" fontId="42" fillId="2" borderId="60" xfId="0" applyNumberFormat="1" applyFont="1" applyFill="1" applyBorder="1" applyAlignment="1" applyProtection="1">
      <alignment horizontal="center" vertical="center"/>
      <protection locked="0"/>
    </xf>
    <xf numFmtId="169" fontId="42" fillId="0" borderId="60" xfId="0" applyNumberFormat="1" applyFont="1" applyBorder="1" applyAlignment="1">
      <alignment horizontal="center" vertical="center"/>
    </xf>
    <xf numFmtId="169" fontId="42" fillId="0" borderId="63" xfId="0" applyNumberFormat="1" applyFont="1" applyBorder="1" applyAlignment="1">
      <alignment horizontal="center" vertical="center"/>
    </xf>
    <xf numFmtId="169" fontId="42" fillId="3" borderId="60" xfId="0" applyNumberFormat="1" applyFont="1" applyFill="1" applyBorder="1" applyAlignment="1">
      <alignment horizontal="center" vertical="center"/>
    </xf>
    <xf numFmtId="172" fontId="42" fillId="3" borderId="60" xfId="0" applyNumberFormat="1" applyFont="1" applyFill="1" applyBorder="1" applyAlignment="1">
      <alignment horizontal="center" vertical="center"/>
    </xf>
    <xf numFmtId="9" fontId="42" fillId="0" borderId="60" xfId="0" applyNumberFormat="1" applyFont="1" applyBorder="1" applyAlignment="1">
      <alignment horizontal="center" vertical="center"/>
    </xf>
    <xf numFmtId="3" fontId="42" fillId="0" borderId="62" xfId="0" applyNumberFormat="1" applyFont="1" applyBorder="1" applyAlignment="1">
      <alignment horizontal="center" vertical="center"/>
    </xf>
    <xf numFmtId="169" fontId="62" fillId="0" borderId="60" xfId="0" applyNumberFormat="1" applyFont="1" applyBorder="1" applyAlignment="1">
      <alignment horizontal="center" vertical="center"/>
    </xf>
    <xf numFmtId="169" fontId="42" fillId="0" borderId="60" xfId="0" applyNumberFormat="1" applyFont="1" applyBorder="1" applyAlignment="1">
      <alignment vertical="center"/>
    </xf>
    <xf numFmtId="2" fontId="47" fillId="16" borderId="61" xfId="0" applyNumberFormat="1" applyFont="1" applyFill="1" applyBorder="1" applyAlignment="1">
      <alignment horizontal="left" vertical="center"/>
    </xf>
    <xf numFmtId="168" fontId="47" fillId="16" borderId="62" xfId="0" applyNumberFormat="1" applyFont="1" applyFill="1" applyBorder="1" applyAlignment="1">
      <alignment horizontal="center" vertical="center"/>
    </xf>
    <xf numFmtId="169" fontId="47" fillId="16" borderId="63" xfId="0" applyNumberFormat="1" applyFont="1" applyFill="1" applyBorder="1" applyAlignment="1">
      <alignment horizontal="center" vertical="center"/>
    </xf>
    <xf numFmtId="0" fontId="46" fillId="0" borderId="62" xfId="0" applyFont="1" applyBorder="1" applyAlignment="1">
      <alignment horizontal="center" vertical="center"/>
    </xf>
    <xf numFmtId="170" fontId="42" fillId="0" borderId="60" xfId="0" applyNumberFormat="1" applyFont="1" applyBorder="1" applyAlignment="1">
      <alignment horizontal="center" vertical="center"/>
    </xf>
    <xf numFmtId="0" fontId="42" fillId="0" borderId="60" xfId="0" applyFont="1" applyBorder="1" applyAlignment="1">
      <alignment vertical="center"/>
    </xf>
    <xf numFmtId="0" fontId="62" fillId="19" borderId="59" xfId="0" applyFont="1" applyFill="1" applyBorder="1" applyAlignment="1">
      <alignment horizontal="left" vertical="center"/>
    </xf>
    <xf numFmtId="170" fontId="40" fillId="19" borderId="60" xfId="0" applyNumberFormat="1" applyFont="1" applyFill="1" applyBorder="1" applyAlignment="1">
      <alignment horizontal="center" vertical="center"/>
    </xf>
    <xf numFmtId="173" fontId="42" fillId="0" borderId="63" xfId="0" applyNumberFormat="1" applyFont="1" applyBorder="1" applyAlignment="1">
      <alignment horizontal="center" vertical="center"/>
    </xf>
    <xf numFmtId="1" fontId="115" fillId="0" borderId="60" xfId="0" applyNumberFormat="1" applyFont="1" applyBorder="1" applyAlignment="1">
      <alignment horizontal="center" vertical="center"/>
    </xf>
    <xf numFmtId="0" fontId="41" fillId="0" borderId="59" xfId="0" applyFont="1" applyBorder="1" applyAlignment="1">
      <alignment horizontal="left" vertical="center"/>
    </xf>
    <xf numFmtId="0" fontId="62" fillId="0" borderId="60" xfId="0" applyFont="1" applyBorder="1" applyAlignment="1">
      <alignment vertical="center"/>
    </xf>
    <xf numFmtId="169" fontId="62" fillId="0" borderId="60" xfId="0" applyNumberFormat="1" applyFont="1" applyBorder="1" applyAlignment="1">
      <alignment vertical="center"/>
    </xf>
    <xf numFmtId="0" fontId="113" fillId="0" borderId="59" xfId="0" applyFont="1" applyBorder="1" applyAlignment="1">
      <alignment horizontal="left" vertical="center"/>
    </xf>
    <xf numFmtId="0" fontId="143" fillId="0" borderId="59" xfId="0" applyFont="1" applyBorder="1" applyAlignment="1">
      <alignment horizontal="left" vertical="center"/>
    </xf>
    <xf numFmtId="170" fontId="143" fillId="0" borderId="60" xfId="0" applyNumberFormat="1" applyFont="1" applyBorder="1" applyAlignment="1">
      <alignment horizontal="center" vertical="center"/>
    </xf>
    <xf numFmtId="0" fontId="40" fillId="19" borderId="59" xfId="0" applyFont="1" applyFill="1" applyBorder="1" applyAlignment="1">
      <alignment vertical="center"/>
    </xf>
    <xf numFmtId="0" fontId="60" fillId="29" borderId="116" xfId="0" applyFont="1" applyFill="1" applyBorder="1" applyAlignment="1">
      <alignment horizontal="center" vertical="center" wrapText="1"/>
    </xf>
    <xf numFmtId="9" fontId="40" fillId="2" borderId="60" xfId="0" applyNumberFormat="1" applyFont="1" applyFill="1" applyBorder="1" applyAlignment="1" applyProtection="1">
      <alignment horizontal="center" vertical="center"/>
      <protection locked="0"/>
    </xf>
    <xf numFmtId="0" fontId="46" fillId="0" borderId="60" xfId="0" applyFont="1" applyBorder="1" applyAlignment="1">
      <alignment vertical="center"/>
    </xf>
    <xf numFmtId="0" fontId="40" fillId="0" borderId="60" xfId="0" applyFont="1" applyBorder="1" applyAlignment="1">
      <alignment vertical="center"/>
    </xf>
    <xf numFmtId="169" fontId="112" fillId="0" borderId="60" xfId="0" applyNumberFormat="1" applyFont="1" applyBorder="1" applyAlignment="1">
      <alignment vertical="center"/>
    </xf>
    <xf numFmtId="169" fontId="46" fillId="0" borderId="60" xfId="0" applyNumberFormat="1" applyFont="1" applyBorder="1" applyAlignment="1">
      <alignment vertical="center"/>
    </xf>
    <xf numFmtId="170" fontId="86" fillId="0" borderId="60" xfId="0" applyNumberFormat="1" applyFont="1" applyBorder="1" applyAlignment="1">
      <alignment vertical="center"/>
    </xf>
    <xf numFmtId="171" fontId="46" fillId="0" borderId="60" xfId="0" applyNumberFormat="1" applyFont="1" applyBorder="1" applyAlignment="1">
      <alignment vertical="center"/>
    </xf>
    <xf numFmtId="0" fontId="60" fillId="41" borderId="116" xfId="0" applyFont="1" applyFill="1" applyBorder="1" applyAlignment="1">
      <alignment horizontal="center" vertical="center" wrapText="1"/>
    </xf>
    <xf numFmtId="171" fontId="42" fillId="2" borderId="60" xfId="0" applyNumberFormat="1" applyFont="1" applyFill="1" applyBorder="1" applyAlignment="1" applyProtection="1">
      <alignment horizontal="center" vertical="center"/>
      <protection locked="0"/>
    </xf>
    <xf numFmtId="2" fontId="42" fillId="2" borderId="60" xfId="0" applyNumberFormat="1" applyFont="1" applyFill="1" applyBorder="1" applyAlignment="1" applyProtection="1">
      <alignment horizontal="center" vertical="center"/>
      <protection locked="0"/>
    </xf>
    <xf numFmtId="169" fontId="42" fillId="2" borderId="60" xfId="0" applyNumberFormat="1" applyFont="1" applyFill="1" applyBorder="1" applyAlignment="1" applyProtection="1">
      <alignment horizontal="center" vertical="center"/>
      <protection locked="0"/>
    </xf>
    <xf numFmtId="0" fontId="60" fillId="41" borderId="59" xfId="0" applyFont="1" applyFill="1" applyBorder="1" applyAlignment="1">
      <alignment horizontal="center" vertical="center"/>
    </xf>
    <xf numFmtId="0" fontId="60" fillId="41" borderId="60" xfId="0" applyFont="1" applyFill="1" applyBorder="1" applyAlignment="1" applyProtection="1">
      <alignment horizontal="center" vertical="center"/>
      <protection locked="0"/>
    </xf>
    <xf numFmtId="171" fontId="42" fillId="2" borderId="63" xfId="0" applyNumberFormat="1" applyFont="1" applyFill="1" applyBorder="1" applyAlignment="1" applyProtection="1">
      <alignment horizontal="center" vertical="center"/>
      <protection locked="0"/>
    </xf>
    <xf numFmtId="169" fontId="46" fillId="2" borderId="60" xfId="0" applyNumberFormat="1" applyFont="1" applyFill="1" applyBorder="1" applyAlignment="1" applyProtection="1">
      <alignment horizontal="center" vertical="center"/>
      <protection locked="0"/>
    </xf>
    <xf numFmtId="170" fontId="62" fillId="0" borderId="60" xfId="0" applyNumberFormat="1" applyFont="1" applyBorder="1" applyAlignment="1">
      <alignment horizontal="center" vertical="center"/>
    </xf>
    <xf numFmtId="0" fontId="70" fillId="46" borderId="153" xfId="0" applyFont="1" applyFill="1" applyBorder="1" applyAlignment="1">
      <alignment horizontal="right" vertical="center"/>
    </xf>
    <xf numFmtId="0" fontId="70" fillId="46" borderId="156" xfId="0" applyFont="1" applyFill="1" applyBorder="1" applyAlignment="1">
      <alignment horizontal="right" vertical="center"/>
    </xf>
    <xf numFmtId="171" fontId="46" fillId="0" borderId="63" xfId="0" applyNumberFormat="1" applyFont="1" applyBorder="1" applyAlignment="1">
      <alignment horizontal="center" vertical="center"/>
    </xf>
    <xf numFmtId="171" fontId="46" fillId="2" borderId="60" xfId="0" applyNumberFormat="1" applyFont="1" applyFill="1" applyBorder="1" applyAlignment="1" applyProtection="1">
      <alignment horizontal="center" vertical="center"/>
      <protection locked="0"/>
    </xf>
    <xf numFmtId="171" fontId="42" fillId="0" borderId="60" xfId="0" applyNumberFormat="1" applyFont="1" applyBorder="1" applyAlignment="1">
      <alignment horizontal="center" vertical="center"/>
    </xf>
    <xf numFmtId="171" fontId="42" fillId="0" borderId="63" xfId="0" applyNumberFormat="1" applyFont="1" applyBorder="1" applyAlignment="1">
      <alignment horizontal="center" vertical="center"/>
    </xf>
    <xf numFmtId="171" fontId="46" fillId="0" borderId="60" xfId="0" applyNumberFormat="1" applyFont="1" applyBorder="1" applyAlignment="1">
      <alignment horizontal="center" vertical="center"/>
    </xf>
    <xf numFmtId="166" fontId="42" fillId="11" borderId="151" xfId="1" applyNumberFormat="1" applyFont="1" applyFill="1" applyBorder="1" applyAlignment="1" applyProtection="1">
      <alignment horizontal="center" vertical="center"/>
      <protection locked="0"/>
    </xf>
    <xf numFmtId="0" fontId="46" fillId="11" borderId="30" xfId="0" applyFont="1" applyFill="1" applyBorder="1" applyAlignment="1" applyProtection="1">
      <alignment horizontal="center" vertical="center"/>
      <protection locked="0"/>
    </xf>
    <xf numFmtId="165" fontId="93" fillId="54" borderId="30" xfId="0" applyNumberFormat="1" applyFont="1" applyFill="1" applyBorder="1" applyAlignment="1" applyProtection="1">
      <alignment horizontal="center" vertical="center"/>
      <protection locked="0"/>
    </xf>
    <xf numFmtId="165" fontId="42" fillId="11" borderId="30" xfId="0" applyNumberFormat="1" applyFont="1" applyFill="1" applyBorder="1" applyAlignment="1" applyProtection="1">
      <alignment horizontal="center" vertical="center"/>
      <protection locked="0"/>
    </xf>
    <xf numFmtId="165" fontId="46" fillId="11" borderId="30" xfId="0" applyNumberFormat="1" applyFont="1" applyFill="1" applyBorder="1" applyAlignment="1" applyProtection="1">
      <alignment horizontal="center" vertical="center"/>
      <protection locked="0"/>
    </xf>
    <xf numFmtId="0" fontId="65" fillId="14" borderId="23" xfId="0" applyFont="1" applyFill="1" applyBorder="1" applyAlignment="1">
      <alignment vertical="center"/>
    </xf>
    <xf numFmtId="0" fontId="126" fillId="15" borderId="0" xfId="0" applyFont="1" applyFill="1" applyAlignment="1" applyProtection="1">
      <alignment horizontal="left" vertical="center"/>
      <protection locked="0"/>
    </xf>
    <xf numFmtId="0" fontId="55" fillId="15" borderId="0" xfId="0" applyFont="1" applyFill="1" applyAlignment="1" applyProtection="1">
      <alignment vertical="center"/>
      <protection locked="0"/>
    </xf>
    <xf numFmtId="0" fontId="55" fillId="0" borderId="23" xfId="0" applyFont="1" applyBorder="1" applyAlignment="1" applyProtection="1">
      <alignment vertical="center"/>
      <protection locked="0"/>
    </xf>
    <xf numFmtId="0" fontId="96" fillId="16" borderId="28" xfId="0" applyFont="1" applyFill="1" applyBorder="1" applyAlignment="1">
      <alignment horizontal="left" vertical="center"/>
    </xf>
    <xf numFmtId="9" fontId="48" fillId="0" borderId="23" xfId="1" applyFont="1" applyBorder="1" applyAlignment="1">
      <alignment vertical="center"/>
    </xf>
    <xf numFmtId="9" fontId="182" fillId="0" borderId="49" xfId="1" applyFont="1" applyBorder="1" applyAlignment="1">
      <alignment horizontal="center" vertical="center"/>
    </xf>
    <xf numFmtId="0" fontId="194" fillId="0" borderId="23" xfId="0" applyFont="1" applyBorder="1" applyAlignment="1">
      <alignment vertical="center"/>
    </xf>
    <xf numFmtId="0" fontId="213" fillId="0" borderId="23" xfId="0" applyFont="1" applyBorder="1" applyAlignment="1">
      <alignment horizontal="center"/>
    </xf>
    <xf numFmtId="0" fontId="214" fillId="0" borderId="23" xfId="0" applyFont="1" applyBorder="1" applyAlignment="1">
      <alignment horizontal="center"/>
    </xf>
    <xf numFmtId="0" fontId="195" fillId="0" borderId="23" xfId="0" applyFont="1" applyBorder="1" applyAlignment="1">
      <alignment vertical="center"/>
    </xf>
    <xf numFmtId="0" fontId="215" fillId="0" borderId="23" xfId="0" applyFont="1" applyBorder="1" applyAlignment="1">
      <alignment vertical="center"/>
    </xf>
    <xf numFmtId="0" fontId="195" fillId="0" borderId="23" xfId="0" applyFont="1" applyBorder="1"/>
    <xf numFmtId="0" fontId="216" fillId="0" borderId="23" xfId="0" applyFont="1" applyBorder="1" applyAlignment="1">
      <alignment vertical="center"/>
    </xf>
    <xf numFmtId="0" fontId="194" fillId="0" borderId="23" xfId="0" applyFont="1" applyBorder="1"/>
    <xf numFmtId="9" fontId="40" fillId="0" borderId="60" xfId="0" applyNumberFormat="1" applyFont="1" applyBorder="1" applyAlignment="1">
      <alignment horizontal="center" vertical="center"/>
    </xf>
    <xf numFmtId="0" fontId="39" fillId="0" borderId="117" xfId="0" applyFont="1" applyBorder="1" applyAlignment="1">
      <alignment vertical="center"/>
    </xf>
    <xf numFmtId="0" fontId="120" fillId="0" borderId="117" xfId="0" applyFont="1" applyBorder="1" applyAlignment="1">
      <alignment vertical="center"/>
    </xf>
    <xf numFmtId="0" fontId="120" fillId="0" borderId="23" xfId="0" applyFont="1" applyBorder="1" applyAlignment="1">
      <alignment vertical="center"/>
    </xf>
    <xf numFmtId="0" fontId="120" fillId="0" borderId="119" xfId="0" applyFont="1" applyBorder="1" applyAlignment="1">
      <alignment vertical="center"/>
    </xf>
    <xf numFmtId="0" fontId="39" fillId="0" borderId="23" xfId="0" applyFont="1" applyBorder="1" applyAlignment="1">
      <alignment vertical="center" wrapText="1"/>
    </xf>
    <xf numFmtId="0" fontId="0" fillId="0" borderId="115" xfId="0" applyBorder="1" applyAlignment="1">
      <alignment vertical="center"/>
    </xf>
    <xf numFmtId="0" fontId="60" fillId="29" borderId="127" xfId="0" applyFont="1" applyFill="1" applyBorder="1" applyAlignment="1">
      <alignment vertical="center"/>
    </xf>
    <xf numFmtId="0" fontId="60" fillId="29" borderId="126" xfId="0" applyFont="1" applyFill="1" applyBorder="1" applyAlignment="1">
      <alignment horizontal="center" vertical="center"/>
    </xf>
    <xf numFmtId="0" fontId="42" fillId="0" borderId="161" xfId="0" applyFont="1" applyBorder="1" applyAlignment="1">
      <alignment horizontal="left" vertical="center"/>
    </xf>
    <xf numFmtId="0" fontId="24" fillId="0" borderId="23" xfId="0" applyFont="1" applyBorder="1" applyAlignment="1">
      <alignment horizontal="right" vertical="center"/>
    </xf>
    <xf numFmtId="0" fontId="24" fillId="0" borderId="23" xfId="0" applyFont="1" applyBorder="1" applyAlignment="1">
      <alignment vertical="center"/>
    </xf>
    <xf numFmtId="0" fontId="36" fillId="0" borderId="0" xfId="0" applyFont="1" applyAlignment="1">
      <alignment horizontal="center"/>
    </xf>
    <xf numFmtId="0" fontId="24" fillId="0" borderId="0" xfId="0" applyFont="1"/>
    <xf numFmtId="0" fontId="31" fillId="0" borderId="0" xfId="0" applyFont="1"/>
    <xf numFmtId="1" fontId="31" fillId="0" borderId="23" xfId="0" applyNumberFormat="1" applyFont="1" applyBorder="1"/>
    <xf numFmtId="168" fontId="182" fillId="0" borderId="49" xfId="0" applyNumberFormat="1" applyFont="1" applyBorder="1" applyAlignment="1">
      <alignment horizontal="center" vertical="center"/>
    </xf>
    <xf numFmtId="166" fontId="47" fillId="0" borderId="34" xfId="0" applyNumberFormat="1" applyFont="1" applyBorder="1" applyAlignment="1">
      <alignment horizontal="center" vertical="center" wrapText="1"/>
    </xf>
    <xf numFmtId="0" fontId="79" fillId="16" borderId="23" xfId="0" applyFont="1" applyFill="1" applyBorder="1" applyAlignment="1">
      <alignment vertical="center"/>
    </xf>
    <xf numFmtId="0" fontId="96" fillId="16" borderId="23" xfId="0" applyFont="1" applyFill="1" applyBorder="1" applyAlignment="1">
      <alignment horizontal="left" vertical="center"/>
    </xf>
    <xf numFmtId="0" fontId="217" fillId="0" borderId="0" xfId="0" applyFont="1" applyAlignment="1">
      <alignment horizontal="left"/>
    </xf>
    <xf numFmtId="3" fontId="25" fillId="0" borderId="30" xfId="0" applyNumberFormat="1" applyFont="1" applyBorder="1" applyAlignment="1">
      <alignment horizontal="center" vertical="center"/>
    </xf>
    <xf numFmtId="0" fontId="225" fillId="29" borderId="30" xfId="0" applyFont="1" applyFill="1" applyBorder="1" applyAlignment="1">
      <alignment horizontal="center" vertical="center"/>
    </xf>
    <xf numFmtId="3" fontId="226" fillId="0" borderId="30" xfId="0" applyNumberFormat="1" applyFont="1" applyBorder="1" applyAlignment="1">
      <alignment horizontal="center" vertical="center"/>
    </xf>
    <xf numFmtId="1" fontId="226" fillId="0" borderId="30" xfId="0" applyNumberFormat="1" applyFont="1" applyBorder="1" applyAlignment="1">
      <alignment horizontal="center" vertical="center"/>
    </xf>
    <xf numFmtId="0" fontId="205" fillId="16" borderId="30" xfId="0" applyFont="1" applyFill="1" applyBorder="1" applyAlignment="1">
      <alignment horizontal="center" vertical="center" wrapText="1"/>
    </xf>
    <xf numFmtId="0" fontId="205" fillId="16" borderId="31" xfId="0" applyFont="1" applyFill="1" applyBorder="1" applyAlignment="1">
      <alignment horizontal="center" vertical="center" wrapText="1"/>
    </xf>
    <xf numFmtId="0" fontId="35" fillId="14" borderId="44" xfId="0" applyFont="1" applyFill="1" applyBorder="1" applyAlignment="1">
      <alignment vertical="center"/>
    </xf>
    <xf numFmtId="175" fontId="35" fillId="0" borderId="30" xfId="0" applyNumberFormat="1" applyFont="1" applyBorder="1" applyAlignment="1">
      <alignment horizontal="center" vertical="center"/>
    </xf>
    <xf numFmtId="175" fontId="35" fillId="5" borderId="30" xfId="0" applyNumberFormat="1" applyFont="1" applyFill="1" applyBorder="1" applyAlignment="1">
      <alignment horizontal="center" vertical="center"/>
    </xf>
    <xf numFmtId="0" fontId="35" fillId="0" borderId="29" xfId="0" applyFont="1" applyBorder="1" applyAlignment="1">
      <alignment vertical="center"/>
    </xf>
    <xf numFmtId="0" fontId="35" fillId="0" borderId="30" xfId="0" applyFont="1" applyBorder="1" applyAlignment="1">
      <alignment vertical="center"/>
    </xf>
    <xf numFmtId="0" fontId="35" fillId="0" borderId="30" xfId="0" applyFont="1" applyBorder="1" applyAlignment="1">
      <alignment horizontal="center" vertical="center"/>
    </xf>
    <xf numFmtId="0" fontId="60" fillId="29" borderId="31" xfId="0" applyFont="1" applyFill="1" applyBorder="1" applyAlignment="1">
      <alignment horizontal="center" vertical="center" wrapText="1"/>
    </xf>
    <xf numFmtId="0" fontId="25" fillId="0" borderId="30" xfId="0" applyFont="1" applyBorder="1" applyAlignment="1">
      <alignment horizontal="center" vertical="center"/>
    </xf>
    <xf numFmtId="0" fontId="171" fillId="0" borderId="30" xfId="0" applyFont="1" applyBorder="1" applyAlignment="1">
      <alignment horizontal="center" vertical="center"/>
    </xf>
    <xf numFmtId="0" fontId="171" fillId="5" borderId="30" xfId="0" applyFont="1" applyFill="1" applyBorder="1" applyAlignment="1">
      <alignment horizontal="center" vertical="center"/>
    </xf>
    <xf numFmtId="0" fontId="230" fillId="14" borderId="0" xfId="0" applyFont="1" applyFill="1" applyAlignment="1">
      <alignment vertical="center"/>
    </xf>
    <xf numFmtId="0" fontId="231" fillId="14" borderId="0" xfId="0" applyFont="1" applyFill="1" applyAlignment="1">
      <alignment vertical="center"/>
    </xf>
    <xf numFmtId="3" fontId="232" fillId="0" borderId="30" xfId="0" applyNumberFormat="1" applyFont="1" applyBorder="1" applyAlignment="1">
      <alignment horizontal="center" vertical="center"/>
    </xf>
    <xf numFmtId="0" fontId="231" fillId="14" borderId="23" xfId="0" applyFont="1" applyFill="1" applyBorder="1" applyAlignment="1">
      <alignment vertical="center"/>
    </xf>
    <xf numFmtId="0" fontId="230" fillId="14" borderId="27" xfId="0" applyFont="1" applyFill="1" applyBorder="1" applyAlignment="1">
      <alignment vertical="center"/>
    </xf>
    <xf numFmtId="0" fontId="230" fillId="14" borderId="0" xfId="0" applyFont="1" applyFill="1" applyAlignment="1">
      <alignment horizontal="center" vertical="center"/>
    </xf>
    <xf numFmtId="0" fontId="230" fillId="14" borderId="0" xfId="0" applyFont="1" applyFill="1"/>
    <xf numFmtId="0" fontId="230" fillId="0" borderId="0" xfId="0" applyFont="1"/>
    <xf numFmtId="0" fontId="230" fillId="0" borderId="0" xfId="0" applyFont="1" applyAlignment="1">
      <alignment vertical="center"/>
    </xf>
    <xf numFmtId="0" fontId="230" fillId="14" borderId="23" xfId="0" applyFont="1" applyFill="1" applyBorder="1" applyAlignment="1">
      <alignment vertical="center"/>
    </xf>
    <xf numFmtId="175" fontId="35" fillId="0" borderId="29" xfId="0" applyNumberFormat="1" applyFont="1" applyBorder="1" applyAlignment="1">
      <alignment horizontal="center" vertical="center"/>
    </xf>
    <xf numFmtId="0" fontId="171" fillId="0" borderId="29" xfId="0" applyFont="1" applyBorder="1" applyAlignment="1">
      <alignment horizontal="center" vertical="center"/>
    </xf>
    <xf numFmtId="167" fontId="25" fillId="0" borderId="60" xfId="0" applyNumberFormat="1" applyFont="1" applyBorder="1" applyAlignment="1">
      <alignment horizontal="center" vertical="center"/>
    </xf>
    <xf numFmtId="3" fontId="35" fillId="0" borderId="60" xfId="0" applyNumberFormat="1" applyFont="1" applyBorder="1" applyAlignment="1">
      <alignment horizontal="center" vertical="center"/>
    </xf>
    <xf numFmtId="0" fontId="25" fillId="2" borderId="60" xfId="0" applyFont="1" applyFill="1" applyBorder="1" applyAlignment="1" applyProtection="1">
      <alignment horizontal="center" vertical="center"/>
      <protection locked="0"/>
    </xf>
    <xf numFmtId="0" fontId="35" fillId="0" borderId="30" xfId="0" applyFont="1" applyBorder="1" applyAlignment="1">
      <alignment horizontal="center" vertical="center" wrapText="1"/>
    </xf>
    <xf numFmtId="167" fontId="35" fillId="0" borderId="60" xfId="0" applyNumberFormat="1" applyFont="1" applyBorder="1" applyAlignment="1">
      <alignment horizontal="center" vertical="center"/>
    </xf>
    <xf numFmtId="0" fontId="35" fillId="0" borderId="62" xfId="0" applyFont="1" applyBorder="1" applyAlignment="1">
      <alignment horizontal="center" vertical="center"/>
    </xf>
    <xf numFmtId="167" fontId="35" fillId="0" borderId="63" xfId="0" applyNumberFormat="1" applyFont="1" applyBorder="1" applyAlignment="1">
      <alignment horizontal="center" vertical="center"/>
    </xf>
    <xf numFmtId="9" fontId="25" fillId="2" borderId="60" xfId="0" applyNumberFormat="1" applyFont="1" applyFill="1" applyBorder="1" applyAlignment="1" applyProtection="1">
      <alignment horizontal="center" vertical="center"/>
      <protection locked="0"/>
    </xf>
    <xf numFmtId="168" fontId="35" fillId="0" borderId="60" xfId="0" applyNumberFormat="1" applyFont="1" applyBorder="1" applyAlignment="1">
      <alignment horizontal="center" vertical="center"/>
    </xf>
    <xf numFmtId="166" fontId="25" fillId="2" borderId="60" xfId="0" applyNumberFormat="1" applyFont="1" applyFill="1" applyBorder="1" applyAlignment="1" applyProtection="1">
      <alignment horizontal="center" vertical="center"/>
      <protection locked="0"/>
    </xf>
    <xf numFmtId="0" fontId="233" fillId="0" borderId="30" xfId="0" applyFont="1" applyBorder="1" applyAlignment="1">
      <alignment horizontal="center" vertical="center"/>
    </xf>
    <xf numFmtId="166" fontId="233" fillId="11" borderId="60" xfId="1" applyNumberFormat="1" applyFont="1" applyFill="1" applyBorder="1" applyAlignment="1" applyProtection="1">
      <alignment horizontal="center" vertical="center"/>
      <protection locked="0"/>
    </xf>
    <xf numFmtId="168" fontId="25" fillId="0" borderId="60" xfId="0" applyNumberFormat="1" applyFont="1" applyBorder="1" applyAlignment="1">
      <alignment horizontal="center" vertical="center"/>
    </xf>
    <xf numFmtId="166" fontId="25" fillId="2" borderId="60" xfId="0" applyNumberFormat="1" applyFont="1" applyFill="1" applyBorder="1" applyAlignment="1" applyProtection="1">
      <alignment horizontal="center" vertical="center" wrapText="1"/>
      <protection locked="0"/>
    </xf>
    <xf numFmtId="10" fontId="35" fillId="0" borderId="60" xfId="0" applyNumberFormat="1" applyFont="1" applyBorder="1" applyAlignment="1">
      <alignment horizontal="center" vertical="center"/>
    </xf>
    <xf numFmtId="3" fontId="25" fillId="2" borderId="30" xfId="0" applyNumberFormat="1" applyFont="1" applyFill="1" applyBorder="1" applyAlignment="1" applyProtection="1">
      <alignment horizontal="center" vertical="center"/>
      <protection locked="0"/>
    </xf>
    <xf numFmtId="3" fontId="25" fillId="0" borderId="62" xfId="0" applyNumberFormat="1" applyFont="1" applyBorder="1" applyAlignment="1">
      <alignment horizontal="center" vertical="center"/>
    </xf>
    <xf numFmtId="10" fontId="35" fillId="0" borderId="63" xfId="0" applyNumberFormat="1" applyFont="1" applyBorder="1" applyAlignment="1">
      <alignment horizontal="center" vertical="center"/>
    </xf>
    <xf numFmtId="3" fontId="25" fillId="0" borderId="60" xfId="0" applyNumberFormat="1" applyFont="1" applyBorder="1" applyAlignment="1">
      <alignment horizontal="center" vertical="center"/>
    </xf>
    <xf numFmtId="3" fontId="25" fillId="0" borderId="63" xfId="0" applyNumberFormat="1" applyFont="1" applyBorder="1" applyAlignment="1">
      <alignment horizontal="center" vertical="center"/>
    </xf>
    <xf numFmtId="0" fontId="35" fillId="0" borderId="59" xfId="0" applyFont="1" applyBorder="1" applyAlignment="1">
      <alignment vertical="center"/>
    </xf>
    <xf numFmtId="0" fontId="25" fillId="0" borderId="61" xfId="0" applyFont="1" applyBorder="1" applyAlignment="1">
      <alignment horizontal="left" vertical="center"/>
    </xf>
    <xf numFmtId="0" fontId="35" fillId="0" borderId="59" xfId="0" applyFont="1" applyBorder="1" applyAlignment="1">
      <alignment vertical="center" wrapText="1"/>
    </xf>
    <xf numFmtId="0" fontId="35" fillId="0" borderId="61" xfId="0" applyFont="1" applyBorder="1" applyAlignment="1">
      <alignment vertical="center" wrapText="1"/>
    </xf>
    <xf numFmtId="0" fontId="233" fillId="0" borderId="59" xfId="0" applyFont="1" applyBorder="1" applyAlignment="1">
      <alignment vertical="center"/>
    </xf>
    <xf numFmtId="0" fontId="35" fillId="0" borderId="61" xfId="0" applyFont="1" applyBorder="1" applyAlignment="1">
      <alignment vertical="center"/>
    </xf>
    <xf numFmtId="0" fontId="233" fillId="0" borderId="59" xfId="0" applyFont="1" applyBorder="1" applyAlignment="1">
      <alignment vertical="center" wrapText="1"/>
    </xf>
    <xf numFmtId="0" fontId="235" fillId="0" borderId="59" xfId="0" applyFont="1" applyBorder="1" applyAlignment="1">
      <alignment vertical="center" wrapText="1"/>
    </xf>
    <xf numFmtId="2" fontId="46" fillId="0" borderId="59" xfId="0" applyNumberFormat="1" applyFont="1" applyBorder="1" applyAlignment="1">
      <alignment horizontal="center" vertical="center"/>
    </xf>
    <xf numFmtId="2" fontId="46" fillId="0" borderId="60" xfId="0" applyNumberFormat="1" applyFont="1" applyBorder="1" applyAlignment="1">
      <alignment horizontal="center" vertical="center"/>
    </xf>
    <xf numFmtId="2" fontId="37" fillId="0" borderId="30" xfId="0" applyNumberFormat="1" applyFont="1" applyBorder="1" applyAlignment="1">
      <alignment horizontal="center" vertical="center"/>
    </xf>
    <xf numFmtId="0" fontId="171" fillId="0" borderId="29" xfId="0" applyFont="1" applyBorder="1" applyAlignment="1">
      <alignment horizontal="center" vertical="center" wrapText="1"/>
    </xf>
    <xf numFmtId="0" fontId="171" fillId="2" borderId="30" xfId="0" applyFont="1" applyFill="1" applyBorder="1" applyAlignment="1" applyProtection="1">
      <alignment horizontal="center" vertical="center" wrapText="1"/>
      <protection locked="0"/>
    </xf>
    <xf numFmtId="180" fontId="171" fillId="2" borderId="31" xfId="0" applyNumberFormat="1" applyFont="1" applyFill="1" applyBorder="1" applyAlignment="1" applyProtection="1">
      <alignment horizontal="center" vertical="center" wrapText="1"/>
      <protection locked="0"/>
    </xf>
    <xf numFmtId="175" fontId="179" fillId="0" borderId="30" xfId="0" applyNumberFormat="1" applyFont="1" applyBorder="1" applyAlignment="1">
      <alignment horizontal="center" vertical="center"/>
    </xf>
    <xf numFmtId="175" fontId="179" fillId="5" borderId="30" xfId="0" applyNumberFormat="1" applyFont="1" applyFill="1" applyBorder="1" applyAlignment="1">
      <alignment horizontal="center" vertical="center"/>
    </xf>
    <xf numFmtId="0" fontId="171" fillId="0" borderId="30" xfId="0" applyFont="1" applyBorder="1" applyAlignment="1">
      <alignment horizontal="center" vertical="center" wrapText="1"/>
    </xf>
    <xf numFmtId="180" fontId="171" fillId="0" borderId="31" xfId="0" applyNumberFormat="1" applyFont="1" applyBorder="1" applyAlignment="1">
      <alignment horizontal="center" vertical="center" wrapText="1"/>
    </xf>
    <xf numFmtId="175" fontId="179" fillId="0" borderId="29" xfId="0" applyNumberFormat="1" applyFont="1" applyBorder="1" applyAlignment="1">
      <alignment horizontal="center" vertical="center"/>
    </xf>
    <xf numFmtId="166" fontId="26" fillId="0" borderId="59" xfId="0" applyNumberFormat="1" applyFont="1" applyBorder="1" applyAlignment="1">
      <alignment horizontal="center" vertical="center"/>
    </xf>
    <xf numFmtId="10" fontId="46" fillId="0" borderId="30" xfId="0" applyNumberFormat="1" applyFont="1" applyBorder="1" applyAlignment="1">
      <alignment horizontal="center" vertical="center"/>
    </xf>
    <xf numFmtId="166" fontId="237" fillId="55" borderId="0" xfId="1" applyNumberFormat="1" applyFont="1" applyFill="1" applyAlignment="1">
      <alignment horizontal="center" vertical="center"/>
    </xf>
    <xf numFmtId="2" fontId="94" fillId="27" borderId="30" xfId="0" applyNumberFormat="1" applyFont="1" applyFill="1" applyBorder="1" applyAlignment="1" applyProtection="1">
      <alignment horizontal="center" vertical="center"/>
      <protection locked="0"/>
    </xf>
    <xf numFmtId="9" fontId="39" fillId="0" borderId="0" xfId="1" applyFont="1" applyAlignment="1">
      <alignment horizontal="center" vertical="center"/>
    </xf>
    <xf numFmtId="1" fontId="46" fillId="11" borderId="30" xfId="0" applyNumberFormat="1" applyFont="1" applyFill="1" applyBorder="1" applyAlignment="1" applyProtection="1">
      <alignment horizontal="center" vertical="center"/>
      <protection locked="0"/>
    </xf>
    <xf numFmtId="0" fontId="8" fillId="0" borderId="0" xfId="0" applyFont="1" applyAlignment="1">
      <alignment horizontal="right" vertical="center"/>
    </xf>
    <xf numFmtId="1" fontId="48" fillId="0" borderId="59" xfId="0" applyNumberFormat="1" applyFont="1" applyBorder="1" applyAlignment="1">
      <alignment horizontal="center" vertical="center"/>
    </xf>
    <xf numFmtId="166" fontId="71" fillId="0" borderId="59" xfId="0" applyNumberFormat="1" applyFont="1" applyBorder="1" applyAlignment="1">
      <alignment horizontal="center" vertical="center"/>
    </xf>
    <xf numFmtId="173" fontId="39" fillId="0" borderId="5" xfId="0" applyNumberFormat="1" applyFont="1" applyBorder="1" applyAlignment="1">
      <alignment horizontal="center" vertical="center"/>
    </xf>
    <xf numFmtId="167" fontId="120" fillId="0" borderId="0" xfId="0" applyNumberFormat="1" applyFont="1" applyAlignment="1">
      <alignment horizontal="center" vertical="center"/>
    </xf>
    <xf numFmtId="167" fontId="39" fillId="0" borderId="0" xfId="0" applyNumberFormat="1" applyFont="1" applyAlignment="1">
      <alignment horizontal="center" vertical="center"/>
    </xf>
    <xf numFmtId="167" fontId="46" fillId="0" borderId="0" xfId="0" applyNumberFormat="1" applyFont="1" applyAlignment="1">
      <alignment horizontal="right" vertical="center"/>
    </xf>
    <xf numFmtId="0" fontId="60" fillId="0" borderId="23" xfId="0" applyFont="1" applyBorder="1" applyAlignment="1">
      <alignment vertical="center"/>
    </xf>
    <xf numFmtId="0" fontId="60" fillId="0" borderId="23" xfId="0" applyFont="1" applyBorder="1" applyAlignment="1">
      <alignment horizontal="center" vertical="center"/>
    </xf>
    <xf numFmtId="10" fontId="39" fillId="0" borderId="23" xfId="0" applyNumberFormat="1" applyFont="1" applyBorder="1" applyAlignment="1">
      <alignment horizontal="center" vertical="center"/>
    </xf>
    <xf numFmtId="9" fontId="39" fillId="0" borderId="23" xfId="0" applyNumberFormat="1" applyFont="1" applyBorder="1" applyAlignment="1">
      <alignment horizontal="center" vertical="center"/>
    </xf>
    <xf numFmtId="168" fontId="0" fillId="0" borderId="0" xfId="0" applyNumberFormat="1" applyAlignment="1">
      <alignment vertical="center"/>
    </xf>
    <xf numFmtId="0" fontId="29" fillId="0" borderId="0" xfId="0" applyFont="1" applyAlignment="1">
      <alignment vertical="center"/>
    </xf>
    <xf numFmtId="181" fontId="0" fillId="0" borderId="0" xfId="0" applyNumberFormat="1" applyAlignment="1">
      <alignment vertical="center"/>
    </xf>
    <xf numFmtId="0" fontId="8" fillId="57" borderId="142" xfId="0" applyFont="1" applyFill="1" applyBorder="1" applyAlignment="1">
      <alignment horizontal="right" vertical="center"/>
    </xf>
    <xf numFmtId="0" fontId="29" fillId="14" borderId="169" xfId="0" applyFont="1" applyFill="1" applyBorder="1" applyAlignment="1">
      <alignment horizontal="right" vertical="center"/>
    </xf>
    <xf numFmtId="0" fontId="29" fillId="14" borderId="168" xfId="0" applyFont="1" applyFill="1" applyBorder="1" applyAlignment="1">
      <alignment vertical="center"/>
    </xf>
    <xf numFmtId="1" fontId="29" fillId="14" borderId="168" xfId="0" applyNumberFormat="1" applyFont="1" applyFill="1" applyBorder="1" applyAlignment="1">
      <alignment horizontal="center" vertical="center"/>
    </xf>
    <xf numFmtId="9" fontId="29" fillId="14" borderId="168" xfId="1" applyFont="1" applyFill="1" applyBorder="1" applyAlignment="1">
      <alignment horizontal="center" vertical="center"/>
    </xf>
    <xf numFmtId="168" fontId="7" fillId="0" borderId="165" xfId="0" applyNumberFormat="1" applyFont="1" applyBorder="1" applyAlignment="1">
      <alignment horizontal="center" vertical="center"/>
    </xf>
    <xf numFmtId="0" fontId="29" fillId="14" borderId="164" xfId="0" applyFont="1" applyFill="1" applyBorder="1" applyAlignment="1">
      <alignment horizontal="right" vertical="center"/>
    </xf>
    <xf numFmtId="0" fontId="29" fillId="14" borderId="162" xfId="0" applyFont="1" applyFill="1" applyBorder="1" applyAlignment="1">
      <alignment vertical="center"/>
    </xf>
    <xf numFmtId="1" fontId="29" fillId="14" borderId="162" xfId="0" applyNumberFormat="1" applyFont="1" applyFill="1" applyBorder="1" applyAlignment="1">
      <alignment horizontal="center" vertical="center"/>
    </xf>
    <xf numFmtId="9" fontId="29" fillId="14" borderId="162" xfId="1" applyFont="1" applyFill="1" applyBorder="1" applyAlignment="1">
      <alignment horizontal="center" vertical="center"/>
    </xf>
    <xf numFmtId="0" fontId="8" fillId="57" borderId="164" xfId="0" applyFont="1" applyFill="1" applyBorder="1" applyAlignment="1">
      <alignment horizontal="right" vertical="center"/>
    </xf>
    <xf numFmtId="0" fontId="8" fillId="57" borderId="162" xfId="0" applyFont="1" applyFill="1" applyBorder="1" applyAlignment="1">
      <alignment vertical="center"/>
    </xf>
    <xf numFmtId="1" fontId="8" fillId="57" borderId="162" xfId="0" applyNumberFormat="1" applyFont="1" applyFill="1" applyBorder="1" applyAlignment="1">
      <alignment horizontal="center" vertical="center"/>
    </xf>
    <xf numFmtId="9" fontId="8" fillId="57" borderId="162" xfId="1" applyFont="1" applyFill="1" applyBorder="1" applyAlignment="1">
      <alignment horizontal="center" vertical="center"/>
    </xf>
    <xf numFmtId="0" fontId="8" fillId="0" borderId="142" xfId="0" applyFont="1" applyBorder="1" applyAlignment="1">
      <alignment horizontal="right" vertical="center"/>
    </xf>
    <xf numFmtId="0" fontId="8" fillId="0" borderId="164" xfId="0" applyFont="1" applyBorder="1" applyAlignment="1">
      <alignment horizontal="right" vertical="center"/>
    </xf>
    <xf numFmtId="0" fontId="29" fillId="0" borderId="162" xfId="0" applyFont="1" applyBorder="1" applyAlignment="1">
      <alignment vertical="center"/>
    </xf>
    <xf numFmtId="0" fontId="29" fillId="57" borderId="0" xfId="0" applyFont="1" applyFill="1" applyAlignment="1">
      <alignment vertical="center"/>
    </xf>
    <xf numFmtId="0" fontId="7" fillId="57" borderId="141" xfId="0" applyFont="1" applyFill="1" applyBorder="1" applyAlignment="1">
      <alignment horizontal="right" vertical="center"/>
    </xf>
    <xf numFmtId="0" fontId="7" fillId="57" borderId="140" xfId="0" applyFont="1" applyFill="1" applyBorder="1" applyAlignment="1">
      <alignment vertical="center"/>
    </xf>
    <xf numFmtId="3" fontId="7" fillId="57" borderId="140" xfId="0" applyNumberFormat="1" applyFont="1" applyFill="1" applyBorder="1" applyAlignment="1">
      <alignment horizontal="center" vertical="center"/>
    </xf>
    <xf numFmtId="1" fontId="0" fillId="0" borderId="0" xfId="0" applyNumberFormat="1" applyAlignment="1">
      <alignment vertical="center"/>
    </xf>
    <xf numFmtId="3" fontId="8" fillId="57" borderId="166" xfId="0" applyNumberFormat="1" applyFont="1" applyFill="1" applyBorder="1" applyAlignment="1">
      <alignment horizontal="center" vertical="center"/>
    </xf>
    <xf numFmtId="0" fontId="29" fillId="14" borderId="171" xfId="0" applyFont="1" applyFill="1" applyBorder="1" applyAlignment="1">
      <alignment horizontal="right" vertical="center"/>
    </xf>
    <xf numFmtId="0" fontId="29" fillId="14" borderId="163" xfId="0" applyFont="1" applyFill="1" applyBorder="1" applyAlignment="1">
      <alignment vertical="center"/>
    </xf>
    <xf numFmtId="1" fontId="29" fillId="14" borderId="163" xfId="0" applyNumberFormat="1" applyFont="1" applyFill="1" applyBorder="1" applyAlignment="1">
      <alignment horizontal="center" vertical="center"/>
    </xf>
    <xf numFmtId="9" fontId="29" fillId="14" borderId="163" xfId="1" applyFont="1" applyFill="1" applyBorder="1" applyAlignment="1">
      <alignment horizontal="center" vertical="center"/>
    </xf>
    <xf numFmtId="0" fontId="241" fillId="0" borderId="0" xfId="0" applyFont="1" applyAlignment="1">
      <alignment vertical="center"/>
    </xf>
    <xf numFmtId="0" fontId="29" fillId="14" borderId="173" xfId="0" applyFont="1" applyFill="1" applyBorder="1" applyAlignment="1">
      <alignment vertical="center"/>
    </xf>
    <xf numFmtId="1" fontId="29" fillId="0" borderId="0" xfId="0" applyNumberFormat="1" applyFont="1" applyAlignment="1">
      <alignment horizontal="center" vertical="center"/>
    </xf>
    <xf numFmtId="9" fontId="29" fillId="0" borderId="23" xfId="1" applyFont="1" applyFill="1" applyBorder="1" applyAlignment="1">
      <alignment horizontal="center" vertical="center"/>
    </xf>
    <xf numFmtId="1" fontId="29" fillId="0" borderId="162" xfId="0" applyNumberFormat="1" applyFont="1" applyBorder="1" applyAlignment="1">
      <alignment horizontal="center" vertical="center"/>
    </xf>
    <xf numFmtId="9" fontId="29" fillId="0" borderId="162" xfId="1" applyFont="1" applyFill="1" applyBorder="1" applyAlignment="1">
      <alignment horizontal="center" vertical="center"/>
    </xf>
    <xf numFmtId="3" fontId="29" fillId="57" borderId="0" xfId="0" applyNumberFormat="1" applyFont="1" applyFill="1" applyAlignment="1">
      <alignment horizontal="center" vertical="center"/>
    </xf>
    <xf numFmtId="1" fontId="29" fillId="57" borderId="0" xfId="0" applyNumberFormat="1" applyFont="1" applyFill="1" applyAlignment="1">
      <alignment horizontal="center" vertical="center"/>
    </xf>
    <xf numFmtId="168" fontId="7" fillId="57" borderId="167" xfId="0" applyNumberFormat="1" applyFont="1" applyFill="1" applyBorder="1" applyAlignment="1">
      <alignment horizontal="center" vertical="center"/>
    </xf>
    <xf numFmtId="0" fontId="37" fillId="14" borderId="0" xfId="0" applyFont="1" applyFill="1" applyAlignment="1">
      <alignment horizontal="center" vertical="center"/>
    </xf>
    <xf numFmtId="165" fontId="48" fillId="58" borderId="30" xfId="0" applyNumberFormat="1" applyFont="1" applyFill="1" applyBorder="1" applyAlignment="1">
      <alignment horizontal="center" vertical="center"/>
    </xf>
    <xf numFmtId="9" fontId="40" fillId="0" borderId="123" xfId="1" applyFont="1" applyBorder="1" applyAlignment="1" applyProtection="1">
      <alignment horizontal="center" vertical="center"/>
      <protection locked="0"/>
    </xf>
    <xf numFmtId="3" fontId="11" fillId="0" borderId="67" xfId="0" applyNumberFormat="1" applyFont="1" applyBorder="1" applyAlignment="1">
      <alignment horizontal="center" vertical="center"/>
    </xf>
    <xf numFmtId="0" fontId="29" fillId="0" borderId="23" xfId="0" applyFont="1" applyBorder="1" applyAlignment="1">
      <alignment horizontal="center" vertical="center"/>
    </xf>
    <xf numFmtId="0" fontId="29" fillId="0" borderId="180" xfId="0" applyFont="1" applyBorder="1" applyAlignment="1">
      <alignment horizontal="center" vertical="center"/>
    </xf>
    <xf numFmtId="3" fontId="8" fillId="0" borderId="165" xfId="0" applyNumberFormat="1" applyFont="1" applyBorder="1" applyAlignment="1">
      <alignment horizontal="center" vertical="center"/>
    </xf>
    <xf numFmtId="3" fontId="8" fillId="0" borderId="0" xfId="0" applyNumberFormat="1" applyFont="1" applyAlignment="1">
      <alignment horizontal="center" vertical="center"/>
    </xf>
    <xf numFmtId="0" fontId="240" fillId="0" borderId="0" xfId="0" applyFont="1" applyAlignment="1">
      <alignment vertical="center"/>
    </xf>
    <xf numFmtId="0" fontId="7" fillId="0" borderId="23" xfId="0" applyFont="1" applyBorder="1" applyAlignment="1">
      <alignment horizontal="center" vertical="center"/>
    </xf>
    <xf numFmtId="0" fontId="29" fillId="0" borderId="23" xfId="0" applyFont="1" applyBorder="1" applyAlignment="1">
      <alignment horizontal="right" vertical="center"/>
    </xf>
    <xf numFmtId="0" fontId="8" fillId="0" borderId="23" xfId="0" applyFont="1" applyBorder="1" applyAlignment="1">
      <alignment horizontal="right" vertical="center"/>
    </xf>
    <xf numFmtId="0" fontId="8" fillId="57" borderId="23" xfId="0" applyFont="1" applyFill="1" applyBorder="1" applyAlignment="1">
      <alignment horizontal="right" vertical="center"/>
    </xf>
    <xf numFmtId="0" fontId="8" fillId="57" borderId="23" xfId="0" quotePrefix="1" applyFont="1" applyFill="1" applyBorder="1" applyAlignment="1">
      <alignment horizontal="right" vertical="center"/>
    </xf>
    <xf numFmtId="0" fontId="29" fillId="0" borderId="23" xfId="0" applyFont="1" applyBorder="1" applyAlignment="1">
      <alignment vertical="center"/>
    </xf>
    <xf numFmtId="0" fontId="29" fillId="14" borderId="162" xfId="0" applyFont="1" applyFill="1" applyBorder="1" applyAlignment="1">
      <alignment horizontal="right" vertical="center"/>
    </xf>
    <xf numFmtId="0" fontId="29" fillId="14" borderId="168" xfId="0" applyFont="1" applyFill="1" applyBorder="1" applyAlignment="1">
      <alignment horizontal="right" vertical="center"/>
    </xf>
    <xf numFmtId="0" fontId="29" fillId="14" borderId="173" xfId="0" applyFont="1" applyFill="1" applyBorder="1" applyAlignment="1">
      <alignment horizontal="right" vertical="center"/>
    </xf>
    <xf numFmtId="0" fontId="7" fillId="0" borderId="181" xfId="0" applyFont="1" applyBorder="1" applyAlignment="1">
      <alignment horizontal="center" vertical="center"/>
    </xf>
    <xf numFmtId="0" fontId="29" fillId="0" borderId="181" xfId="0" applyFont="1" applyBorder="1" applyAlignment="1">
      <alignment horizontal="center" vertical="center"/>
    </xf>
    <xf numFmtId="3" fontId="8" fillId="0" borderId="181" xfId="0" applyNumberFormat="1" applyFont="1" applyBorder="1" applyAlignment="1">
      <alignment horizontal="center" vertical="center"/>
    </xf>
    <xf numFmtId="181"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168" fontId="36" fillId="0" borderId="165" xfId="0" applyNumberFormat="1" applyFont="1" applyBorder="1" applyAlignment="1">
      <alignment horizontal="center" vertical="center"/>
    </xf>
    <xf numFmtId="3" fontId="28" fillId="0" borderId="165" xfId="0" applyNumberFormat="1" applyFont="1" applyBorder="1" applyAlignment="1">
      <alignment horizontal="center" vertical="center"/>
    </xf>
    <xf numFmtId="168" fontId="8" fillId="0" borderId="165" xfId="0" applyNumberFormat="1" applyFont="1" applyBorder="1" applyAlignment="1">
      <alignment horizontal="center" vertical="center"/>
    </xf>
    <xf numFmtId="168" fontId="8" fillId="57" borderId="165" xfId="0" applyNumberFormat="1" applyFont="1" applyFill="1" applyBorder="1" applyAlignment="1">
      <alignment horizontal="center" vertical="center"/>
    </xf>
    <xf numFmtId="1" fontId="8" fillId="0" borderId="165" xfId="0" applyNumberFormat="1" applyFont="1" applyBorder="1" applyAlignment="1">
      <alignment horizontal="center" vertical="center"/>
    </xf>
    <xf numFmtId="3" fontId="8" fillId="14" borderId="162" xfId="0" applyNumberFormat="1" applyFont="1" applyFill="1" applyBorder="1" applyAlignment="1">
      <alignment horizontal="center" vertical="center"/>
    </xf>
    <xf numFmtId="3" fontId="8" fillId="14" borderId="166" xfId="0" applyNumberFormat="1" applyFont="1" applyFill="1" applyBorder="1" applyAlignment="1">
      <alignment horizontal="center" vertical="center"/>
    </xf>
    <xf numFmtId="3" fontId="8" fillId="14" borderId="172" xfId="0" applyNumberFormat="1" applyFont="1" applyFill="1" applyBorder="1" applyAlignment="1">
      <alignment horizontal="center" vertical="center"/>
    </xf>
    <xf numFmtId="3" fontId="8" fillId="14" borderId="168" xfId="0" applyNumberFormat="1" applyFont="1" applyFill="1" applyBorder="1" applyAlignment="1">
      <alignment horizontal="center" vertical="center"/>
    </xf>
    <xf numFmtId="3" fontId="8" fillId="14" borderId="170" xfId="0" applyNumberFormat="1" applyFont="1" applyFill="1" applyBorder="1" applyAlignment="1">
      <alignment horizontal="center" vertical="center"/>
    </xf>
    <xf numFmtId="9" fontId="8" fillId="14" borderId="166" xfId="1" applyFont="1" applyFill="1" applyBorder="1" applyAlignment="1">
      <alignment horizontal="center" vertical="center"/>
    </xf>
    <xf numFmtId="166" fontId="8" fillId="0" borderId="166" xfId="1" applyNumberFormat="1" applyFont="1" applyFill="1" applyBorder="1" applyAlignment="1">
      <alignment horizontal="center" vertical="center"/>
    </xf>
    <xf numFmtId="10" fontId="8" fillId="0" borderId="166" xfId="1" applyNumberFormat="1" applyFont="1" applyFill="1" applyBorder="1" applyAlignment="1">
      <alignment horizontal="center" vertical="center"/>
    </xf>
    <xf numFmtId="3" fontId="8" fillId="14" borderId="173" xfId="0" applyNumberFormat="1" applyFont="1" applyFill="1" applyBorder="1" applyAlignment="1">
      <alignment horizontal="center" vertical="center"/>
    </xf>
    <xf numFmtId="168" fontId="28" fillId="57" borderId="165" xfId="0" applyNumberFormat="1" applyFont="1" applyFill="1" applyBorder="1" applyAlignment="1">
      <alignment horizontal="center" vertical="center"/>
    </xf>
    <xf numFmtId="1" fontId="8" fillId="0" borderId="0" xfId="0" applyNumberFormat="1" applyFont="1" applyAlignment="1">
      <alignment horizontal="center" vertical="center"/>
    </xf>
    <xf numFmtId="0" fontId="4" fillId="0" borderId="140" xfId="4" applyFont="1" applyBorder="1" applyAlignment="1">
      <alignment horizontal="right" vertical="center"/>
    </xf>
    <xf numFmtId="0" fontId="0" fillId="0" borderId="140" xfId="0" applyBorder="1" applyAlignment="1">
      <alignment vertical="center"/>
    </xf>
    <xf numFmtId="0" fontId="238" fillId="0" borderId="23" xfId="4" applyFont="1" applyAlignment="1">
      <alignment vertical="center"/>
    </xf>
    <xf numFmtId="0" fontId="239" fillId="0" borderId="23" xfId="4" applyFont="1" applyAlignment="1">
      <alignment horizontal="right" vertical="center"/>
    </xf>
    <xf numFmtId="0" fontId="8" fillId="0" borderId="144" xfId="0" applyFont="1" applyBorder="1" applyAlignment="1">
      <alignment horizontal="right" vertical="center"/>
    </xf>
    <xf numFmtId="0" fontId="238" fillId="0" borderId="144" xfId="4" applyFont="1" applyBorder="1" applyAlignment="1">
      <alignment vertical="center"/>
    </xf>
    <xf numFmtId="0" fontId="0" fillId="0" borderId="144" xfId="0" applyBorder="1" applyAlignment="1">
      <alignment vertical="center"/>
    </xf>
    <xf numFmtId="0" fontId="4" fillId="0" borderId="146" xfId="4" applyFont="1" applyBorder="1" applyAlignment="1">
      <alignment horizontal="right" vertical="center"/>
    </xf>
    <xf numFmtId="0" fontId="0" fillId="0" borderId="146" xfId="0" applyBorder="1" applyAlignment="1">
      <alignment vertical="center"/>
    </xf>
    <xf numFmtId="0" fontId="8" fillId="0" borderId="147" xfId="0" applyFont="1" applyBorder="1" applyAlignment="1">
      <alignment horizontal="right" vertical="center"/>
    </xf>
    <xf numFmtId="0" fontId="238" fillId="0" borderId="147" xfId="4" applyFont="1" applyBorder="1" applyAlignment="1">
      <alignment vertical="center"/>
    </xf>
    <xf numFmtId="0" fontId="0" fillId="0" borderId="147" xfId="0" applyBorder="1" applyAlignment="1">
      <alignment vertical="center"/>
    </xf>
    <xf numFmtId="0" fontId="8" fillId="0" borderId="167" xfId="0" applyFont="1" applyBorder="1" applyAlignment="1">
      <alignment horizontal="center" vertical="center"/>
    </xf>
    <xf numFmtId="3" fontId="8" fillId="0" borderId="182" xfId="0" applyNumberFormat="1" applyFont="1" applyBorder="1" applyAlignment="1">
      <alignment horizontal="center" vertical="center"/>
    </xf>
    <xf numFmtId="3" fontId="8" fillId="0" borderId="167" xfId="0" applyNumberFormat="1" applyFont="1" applyBorder="1" applyAlignment="1">
      <alignment horizontal="center" vertical="center"/>
    </xf>
    <xf numFmtId="0" fontId="31" fillId="0" borderId="0" xfId="0" applyFont="1" applyAlignment="1">
      <alignment vertical="center"/>
    </xf>
    <xf numFmtId="0" fontId="28" fillId="57" borderId="141" xfId="0" applyFont="1" applyFill="1" applyBorder="1" applyAlignment="1">
      <alignment horizontal="right" vertical="center"/>
    </xf>
    <xf numFmtId="168" fontId="28" fillId="57" borderId="167" xfId="0" applyNumberFormat="1" applyFont="1" applyFill="1" applyBorder="1" applyAlignment="1">
      <alignment horizontal="center" vertical="center"/>
    </xf>
    <xf numFmtId="0" fontId="28" fillId="57" borderId="140" xfId="0" applyFont="1" applyFill="1" applyBorder="1" applyAlignment="1">
      <alignment vertical="center"/>
    </xf>
    <xf numFmtId="1" fontId="28" fillId="57" borderId="140" xfId="0" applyNumberFormat="1" applyFont="1" applyFill="1" applyBorder="1" applyAlignment="1">
      <alignment horizontal="center" vertical="center"/>
    </xf>
    <xf numFmtId="168" fontId="8" fillId="0" borderId="23" xfId="0" applyNumberFormat="1" applyFont="1" applyBorder="1" applyAlignment="1">
      <alignment horizontal="right" vertical="center"/>
    </xf>
    <xf numFmtId="3" fontId="8" fillId="57" borderId="165" xfId="0" applyNumberFormat="1" applyFont="1" applyFill="1" applyBorder="1" applyAlignment="1">
      <alignment horizontal="center" vertical="center"/>
    </xf>
    <xf numFmtId="0" fontId="8" fillId="57" borderId="0" xfId="0" applyFont="1" applyFill="1" applyAlignment="1">
      <alignment vertical="center"/>
    </xf>
    <xf numFmtId="1" fontId="8" fillId="57" borderId="0" xfId="0" applyNumberFormat="1" applyFont="1" applyFill="1" applyAlignment="1">
      <alignment horizontal="center" vertical="center"/>
    </xf>
    <xf numFmtId="9" fontId="8" fillId="57" borderId="23" xfId="1" applyFont="1" applyFill="1" applyBorder="1" applyAlignment="1">
      <alignment horizontal="center" vertical="center"/>
    </xf>
    <xf numFmtId="9" fontId="29" fillId="57" borderId="23" xfId="1" applyFont="1" applyFill="1" applyBorder="1" applyAlignment="1">
      <alignment horizontal="center" vertical="center"/>
    </xf>
    <xf numFmtId="0" fontId="195" fillId="57" borderId="142" xfId="0" applyFont="1" applyFill="1" applyBorder="1" applyAlignment="1">
      <alignment horizontal="right" vertical="center"/>
    </xf>
    <xf numFmtId="3" fontId="195" fillId="57" borderId="165" xfId="0" applyNumberFormat="1" applyFont="1" applyFill="1" applyBorder="1" applyAlignment="1">
      <alignment horizontal="center" vertical="center"/>
    </xf>
    <xf numFmtId="0" fontId="194" fillId="57" borderId="0" xfId="0" applyFont="1" applyFill="1" applyAlignment="1">
      <alignment vertical="center"/>
    </xf>
    <xf numFmtId="1" fontId="194" fillId="57" borderId="0" xfId="0" applyNumberFormat="1" applyFont="1" applyFill="1" applyAlignment="1">
      <alignment horizontal="center" vertical="center"/>
    </xf>
    <xf numFmtId="9" fontId="194" fillId="57" borderId="23" xfId="1" applyFont="1" applyFill="1" applyBorder="1" applyAlignment="1">
      <alignment horizontal="center" vertical="center"/>
    </xf>
    <xf numFmtId="0" fontId="194" fillId="57" borderId="163" xfId="0" applyFont="1" applyFill="1" applyBorder="1" applyAlignment="1">
      <alignment vertical="center"/>
    </xf>
    <xf numFmtId="1" fontId="194" fillId="57" borderId="163" xfId="0" applyNumberFormat="1" applyFont="1" applyFill="1" applyBorder="1" applyAlignment="1">
      <alignment horizontal="center" vertical="center"/>
    </xf>
    <xf numFmtId="9" fontId="194" fillId="57" borderId="163" xfId="1" applyFont="1" applyFill="1" applyBorder="1" applyAlignment="1">
      <alignment horizontal="center" vertical="center"/>
    </xf>
    <xf numFmtId="0" fontId="214" fillId="57" borderId="141" xfId="0" applyFont="1" applyFill="1" applyBorder="1" applyAlignment="1">
      <alignment horizontal="right" vertical="center"/>
    </xf>
    <xf numFmtId="3" fontId="214" fillId="57" borderId="167" xfId="0" applyNumberFormat="1" applyFont="1" applyFill="1" applyBorder="1" applyAlignment="1">
      <alignment horizontal="center" vertical="center"/>
    </xf>
    <xf numFmtId="0" fontId="214" fillId="57" borderId="140" xfId="0" applyFont="1" applyFill="1" applyBorder="1" applyAlignment="1">
      <alignment vertical="center"/>
    </xf>
    <xf numFmtId="0" fontId="214" fillId="57" borderId="0" xfId="0" applyFont="1" applyFill="1" applyAlignment="1">
      <alignment vertical="center"/>
    </xf>
    <xf numFmtId="1" fontId="214" fillId="57" borderId="0" xfId="0" applyNumberFormat="1" applyFont="1" applyFill="1" applyAlignment="1">
      <alignment horizontal="center" vertical="center"/>
    </xf>
    <xf numFmtId="9" fontId="214" fillId="57" borderId="0" xfId="1" applyFont="1" applyFill="1" applyAlignment="1">
      <alignment horizontal="center" vertical="center"/>
    </xf>
    <xf numFmtId="3" fontId="8" fillId="57" borderId="183" xfId="0" applyNumberFormat="1" applyFont="1" applyFill="1" applyBorder="1" applyAlignment="1">
      <alignment horizontal="center" vertical="center"/>
    </xf>
    <xf numFmtId="3" fontId="8" fillId="57" borderId="177" xfId="0" applyNumberFormat="1" applyFont="1" applyFill="1" applyBorder="1" applyAlignment="1">
      <alignment horizontal="center" vertical="center"/>
    </xf>
    <xf numFmtId="0" fontId="8" fillId="57" borderId="169" xfId="0" applyFont="1" applyFill="1" applyBorder="1" applyAlignment="1">
      <alignment horizontal="right" vertical="center"/>
    </xf>
    <xf numFmtId="168" fontId="8" fillId="57" borderId="170" xfId="0" applyNumberFormat="1" applyFont="1" applyFill="1" applyBorder="1" applyAlignment="1">
      <alignment horizontal="center" vertical="center"/>
    </xf>
    <xf numFmtId="0" fontId="29" fillId="57" borderId="168" xfId="0" applyFont="1" applyFill="1" applyBorder="1" applyAlignment="1">
      <alignment vertical="center"/>
    </xf>
    <xf numFmtId="1" fontId="29" fillId="57" borderId="168" xfId="0" applyNumberFormat="1" applyFont="1" applyFill="1" applyBorder="1" applyAlignment="1">
      <alignment horizontal="center" vertical="center"/>
    </xf>
    <xf numFmtId="0" fontId="5" fillId="0" borderId="168" xfId="4" applyBorder="1" applyAlignment="1">
      <alignment horizontal="right" vertical="center"/>
    </xf>
    <xf numFmtId="3" fontId="5" fillId="57" borderId="170" xfId="4" applyNumberFormat="1" applyFill="1" applyBorder="1" applyAlignment="1">
      <alignment horizontal="center" vertical="center"/>
    </xf>
    <xf numFmtId="0" fontId="238" fillId="0" borderId="168" xfId="4" applyFont="1" applyBorder="1" applyAlignment="1">
      <alignment vertical="center"/>
    </xf>
    <xf numFmtId="0" fontId="0" fillId="0" borderId="168" xfId="0" applyBorder="1" applyAlignment="1">
      <alignment vertical="center"/>
    </xf>
    <xf numFmtId="0" fontId="238" fillId="0" borderId="168" xfId="4" applyFont="1" applyBorder="1" applyAlignment="1">
      <alignment horizontal="right" vertical="center"/>
    </xf>
    <xf numFmtId="0" fontId="4" fillId="0" borderId="168" xfId="4" applyFont="1" applyBorder="1" applyAlignment="1">
      <alignment horizontal="right"/>
    </xf>
    <xf numFmtId="3" fontId="25" fillId="57" borderId="170" xfId="0" applyNumberFormat="1" applyFont="1" applyFill="1" applyBorder="1" applyAlignment="1">
      <alignment horizontal="center" vertical="center"/>
    </xf>
    <xf numFmtId="0" fontId="5" fillId="0" borderId="168" xfId="4" applyBorder="1" applyAlignment="1">
      <alignment vertical="center"/>
    </xf>
    <xf numFmtId="0" fontId="5" fillId="57" borderId="170" xfId="4" applyFill="1" applyBorder="1" applyAlignment="1">
      <alignment horizontal="center"/>
    </xf>
    <xf numFmtId="0" fontId="5" fillId="0" borderId="168" xfId="4" applyBorder="1"/>
    <xf numFmtId="0" fontId="29" fillId="0" borderId="168" xfId="0" applyFont="1" applyBorder="1" applyAlignment="1">
      <alignment horizontal="right" vertical="center"/>
    </xf>
    <xf numFmtId="0" fontId="4" fillId="0" borderId="168" xfId="4" applyFont="1" applyBorder="1" applyAlignment="1">
      <alignment vertical="center"/>
    </xf>
    <xf numFmtId="0" fontId="29" fillId="0" borderId="168" xfId="0" applyFont="1" applyBorder="1" applyAlignment="1">
      <alignment vertical="center"/>
    </xf>
    <xf numFmtId="0" fontId="239" fillId="0" borderId="145" xfId="4" applyFont="1" applyBorder="1" applyAlignment="1">
      <alignment horizontal="right" vertical="center"/>
    </xf>
    <xf numFmtId="3" fontId="29" fillId="0" borderId="170" xfId="0" applyNumberFormat="1" applyFont="1" applyBorder="1" applyAlignment="1">
      <alignment horizontal="center" vertical="center"/>
    </xf>
    <xf numFmtId="3" fontId="8" fillId="0" borderId="170" xfId="0" applyNumberFormat="1" applyFont="1" applyBorder="1" applyAlignment="1">
      <alignment horizontal="center" vertical="center"/>
    </xf>
    <xf numFmtId="0" fontId="202" fillId="56" borderId="175" xfId="0" applyFont="1" applyFill="1" applyBorder="1" applyAlignment="1">
      <alignment horizontal="right" vertical="center"/>
    </xf>
    <xf numFmtId="3" fontId="202" fillId="56" borderId="175" xfId="0" applyNumberFormat="1" applyFont="1" applyFill="1" applyBorder="1" applyAlignment="1">
      <alignment horizontal="center" vertical="center"/>
    </xf>
    <xf numFmtId="0" fontId="202" fillId="56" borderId="139" xfId="0" applyFont="1" applyFill="1" applyBorder="1" applyAlignment="1">
      <alignment horizontal="left" vertical="center"/>
    </xf>
    <xf numFmtId="0" fontId="246" fillId="56" borderId="140" xfId="0" applyFont="1" applyFill="1" applyBorder="1" applyAlignment="1">
      <alignment vertical="center"/>
    </xf>
    <xf numFmtId="0" fontId="246" fillId="56" borderId="141" xfId="0" applyFont="1" applyFill="1" applyBorder="1" applyAlignment="1">
      <alignment vertical="center"/>
    </xf>
    <xf numFmtId="0" fontId="243" fillId="56" borderId="188" xfId="4" applyFont="1" applyFill="1" applyBorder="1" applyAlignment="1">
      <alignment horizontal="right" vertical="center"/>
    </xf>
    <xf numFmtId="1" fontId="243" fillId="56" borderId="188" xfId="4" applyNumberFormat="1" applyFont="1" applyFill="1" applyBorder="1" applyAlignment="1">
      <alignment horizontal="center" vertical="center"/>
    </xf>
    <xf numFmtId="0" fontId="243" fillId="56" borderId="189" xfId="4" applyFont="1" applyFill="1" applyBorder="1" applyAlignment="1">
      <alignment vertical="center"/>
    </xf>
    <xf numFmtId="0" fontId="202" fillId="56" borderId="168" xfId="0" applyFont="1" applyFill="1" applyBorder="1" applyAlignment="1">
      <alignment vertical="center"/>
    </xf>
    <xf numFmtId="0" fontId="202" fillId="56" borderId="169" xfId="0" applyFont="1" applyFill="1" applyBorder="1" applyAlignment="1">
      <alignment vertical="center"/>
    </xf>
    <xf numFmtId="0" fontId="243" fillId="56" borderId="176" xfId="4" applyFont="1" applyFill="1" applyBorder="1" applyAlignment="1">
      <alignment horizontal="right" vertical="center"/>
    </xf>
    <xf numFmtId="0" fontId="243" fillId="56" borderId="143" xfId="4" applyFont="1" applyFill="1" applyBorder="1" applyAlignment="1">
      <alignment vertical="center"/>
    </xf>
    <xf numFmtId="0" fontId="202" fillId="56" borderId="144" xfId="0" applyFont="1" applyFill="1" applyBorder="1" applyAlignment="1">
      <alignment vertical="center"/>
    </xf>
    <xf numFmtId="0" fontId="202" fillId="56" borderId="145" xfId="0" applyFont="1" applyFill="1" applyBorder="1" applyAlignment="1">
      <alignment vertical="center"/>
    </xf>
    <xf numFmtId="0" fontId="244" fillId="56" borderId="174" xfId="4" applyFont="1" applyFill="1" applyBorder="1" applyAlignment="1">
      <alignment horizontal="right" vertical="center"/>
    </xf>
    <xf numFmtId="166" fontId="214" fillId="56" borderId="176" xfId="1" applyNumberFormat="1" applyFont="1" applyFill="1" applyBorder="1" applyAlignment="1">
      <alignment horizontal="center" vertical="center"/>
    </xf>
    <xf numFmtId="0" fontId="31" fillId="14" borderId="0" xfId="0" applyFont="1" applyFill="1" applyAlignment="1">
      <alignment vertical="center"/>
    </xf>
    <xf numFmtId="0" fontId="158" fillId="0" borderId="57" xfId="0" applyFont="1" applyBorder="1" applyAlignment="1">
      <alignment vertical="center"/>
    </xf>
    <xf numFmtId="0" fontId="156" fillId="14" borderId="23" xfId="0" applyFont="1" applyFill="1" applyBorder="1" applyAlignment="1">
      <alignment vertical="center"/>
    </xf>
    <xf numFmtId="0" fontId="156" fillId="0" borderId="59" xfId="0" applyFont="1" applyBorder="1" applyAlignment="1">
      <alignment vertical="center"/>
    </xf>
    <xf numFmtId="0" fontId="156" fillId="0" borderId="60" xfId="0" applyFont="1" applyBorder="1" applyAlignment="1">
      <alignment vertical="center"/>
    </xf>
    <xf numFmtId="9" fontId="156" fillId="0" borderId="30" xfId="1" applyFont="1" applyBorder="1" applyAlignment="1">
      <alignment vertical="center"/>
    </xf>
    <xf numFmtId="0" fontId="156" fillId="0" borderId="0" xfId="0" applyFont="1" applyAlignment="1">
      <alignment horizontal="center" vertical="center"/>
    </xf>
    <xf numFmtId="0" fontId="156" fillId="0" borderId="0" xfId="0" applyFont="1" applyAlignment="1">
      <alignment vertical="center"/>
    </xf>
    <xf numFmtId="168" fontId="8" fillId="57" borderId="190" xfId="0" applyNumberFormat="1" applyFont="1" applyFill="1" applyBorder="1" applyAlignment="1">
      <alignment horizontal="center" vertical="center"/>
    </xf>
    <xf numFmtId="9" fontId="3" fillId="57" borderId="170" xfId="1" applyFont="1" applyFill="1" applyBorder="1" applyAlignment="1">
      <alignment horizontal="center" vertical="center"/>
    </xf>
    <xf numFmtId="0" fontId="29" fillId="0" borderId="0" xfId="0" applyFont="1" applyAlignment="1">
      <alignment horizontal="right" vertical="center"/>
    </xf>
    <xf numFmtId="3" fontId="0" fillId="0" borderId="165" xfId="0" applyNumberFormat="1" applyBorder="1" applyAlignment="1">
      <alignment horizontal="center" vertical="center"/>
    </xf>
    <xf numFmtId="0" fontId="3" fillId="0" borderId="168" xfId="4" applyFont="1" applyBorder="1" applyAlignment="1">
      <alignment vertical="center"/>
    </xf>
    <xf numFmtId="0" fontId="202" fillId="16" borderId="137" xfId="0" applyFont="1" applyFill="1" applyBorder="1" applyAlignment="1">
      <alignment horizontal="center" vertical="center"/>
    </xf>
    <xf numFmtId="0" fontId="202" fillId="16" borderId="138" xfId="0" applyFont="1" applyFill="1" applyBorder="1" applyAlignment="1">
      <alignment horizontal="center" vertical="center"/>
    </xf>
    <xf numFmtId="0" fontId="200" fillId="16" borderId="132" xfId="0" applyFont="1" applyFill="1" applyBorder="1" applyAlignment="1">
      <alignment vertical="center"/>
    </xf>
    <xf numFmtId="0" fontId="60" fillId="29" borderId="134" xfId="0" applyFont="1" applyFill="1" applyBorder="1" applyAlignment="1">
      <alignment vertical="center"/>
    </xf>
    <xf numFmtId="0" fontId="58" fillId="0" borderId="120" xfId="0" applyFont="1" applyBorder="1" applyAlignment="1">
      <alignment vertical="center"/>
    </xf>
    <xf numFmtId="0" fontId="161" fillId="29" borderId="134" xfId="0" applyFont="1" applyFill="1" applyBorder="1" applyAlignment="1">
      <alignment vertical="center" wrapText="1"/>
    </xf>
    <xf numFmtId="0" fontId="60" fillId="29" borderId="120" xfId="0" applyFont="1" applyFill="1" applyBorder="1" applyAlignment="1">
      <alignment vertical="center"/>
    </xf>
    <xf numFmtId="0" fontId="58" fillId="0" borderId="129" xfId="0" applyFont="1" applyBorder="1" applyAlignment="1">
      <alignment vertical="center" wrapText="1"/>
    </xf>
    <xf numFmtId="0" fontId="161" fillId="29" borderId="134" xfId="0" applyFont="1" applyFill="1" applyBorder="1" applyAlignment="1">
      <alignment vertical="center"/>
    </xf>
    <xf numFmtId="0" fontId="58" fillId="0" borderId="129" xfId="0" applyFont="1" applyBorder="1" applyAlignment="1">
      <alignment vertical="center"/>
    </xf>
    <xf numFmtId="10" fontId="39" fillId="0" borderId="108" xfId="0" applyNumberFormat="1" applyFont="1" applyBorder="1" applyAlignment="1">
      <alignment horizontal="center" vertical="center"/>
    </xf>
    <xf numFmtId="9" fontId="39" fillId="0" borderId="108" xfId="0" applyNumberFormat="1" applyFont="1" applyBorder="1" applyAlignment="1">
      <alignment horizontal="center" vertical="center"/>
    </xf>
    <xf numFmtId="166" fontId="39" fillId="14" borderId="108" xfId="0" applyNumberFormat="1" applyFont="1" applyFill="1" applyBorder="1" applyAlignment="1">
      <alignment horizontal="center" vertical="center"/>
    </xf>
    <xf numFmtId="0" fontId="39" fillId="0" borderId="115" xfId="0" applyFont="1" applyBorder="1" applyAlignment="1">
      <alignment horizontal="center" vertical="center"/>
    </xf>
    <xf numFmtId="10" fontId="120" fillId="0" borderId="111" xfId="0" applyNumberFormat="1" applyFont="1" applyBorder="1" applyAlignment="1">
      <alignment horizontal="center" vertical="center"/>
    </xf>
    <xf numFmtId="0" fontId="162" fillId="29" borderId="125" xfId="0" applyFont="1" applyFill="1" applyBorder="1" applyAlignment="1" applyProtection="1">
      <alignment vertical="center"/>
      <protection locked="0"/>
    </xf>
    <xf numFmtId="165" fontId="198" fillId="0" borderId="23" xfId="0" applyNumberFormat="1" applyFont="1" applyBorder="1" applyAlignment="1" applyProtection="1">
      <alignment horizontal="center" vertical="center"/>
      <protection locked="0"/>
    </xf>
    <xf numFmtId="0" fontId="60" fillId="0" borderId="114" xfId="0" applyFont="1" applyBorder="1" applyAlignment="1">
      <alignment horizontal="center" vertical="center"/>
    </xf>
    <xf numFmtId="0" fontId="199" fillId="0" borderId="114" xfId="0" applyFont="1" applyBorder="1" applyAlignment="1">
      <alignment horizontal="left" vertical="center" wrapText="1"/>
    </xf>
    <xf numFmtId="165" fontId="39" fillId="0" borderId="23" xfId="0" applyNumberFormat="1" applyFont="1" applyBorder="1" applyAlignment="1" applyProtection="1">
      <alignment horizontal="center" vertical="center"/>
      <protection locked="0"/>
    </xf>
    <xf numFmtId="10" fontId="193" fillId="0" borderId="114" xfId="0" applyNumberFormat="1" applyFont="1" applyBorder="1" applyAlignment="1" applyProtection="1">
      <alignment horizontal="center" vertical="center"/>
      <protection locked="0"/>
    </xf>
    <xf numFmtId="0" fontId="193" fillId="0" borderId="114" xfId="0" applyFont="1" applyBorder="1" applyAlignment="1" applyProtection="1">
      <alignment horizontal="center" vertical="center"/>
      <protection locked="0"/>
    </xf>
    <xf numFmtId="0" fontId="200" fillId="0" borderId="114" xfId="0" applyFont="1" applyBorder="1" applyAlignment="1">
      <alignment vertical="center"/>
    </xf>
    <xf numFmtId="0" fontId="200" fillId="0" borderId="195" xfId="0" applyFont="1" applyBorder="1" applyAlignment="1">
      <alignment vertical="center"/>
    </xf>
    <xf numFmtId="0" fontId="62" fillId="0" borderId="120" xfId="0" applyFont="1" applyBorder="1" applyAlignment="1">
      <alignment horizontal="left" vertical="center"/>
    </xf>
    <xf numFmtId="10" fontId="39" fillId="0" borderId="108" xfId="1" applyNumberFormat="1" applyFont="1" applyFill="1" applyBorder="1" applyAlignment="1" applyProtection="1">
      <alignment horizontal="center" vertical="center"/>
      <protection locked="0"/>
    </xf>
    <xf numFmtId="0" fontId="162" fillId="29" borderId="196" xfId="0" applyFont="1" applyFill="1" applyBorder="1" applyAlignment="1" applyProtection="1">
      <alignment horizontal="center" vertical="center"/>
      <protection locked="0"/>
    </xf>
    <xf numFmtId="0" fontId="60" fillId="29" borderId="197" xfId="0" applyFont="1" applyFill="1" applyBorder="1" applyAlignment="1">
      <alignment horizontal="center" vertical="center"/>
    </xf>
    <xf numFmtId="10" fontId="39" fillId="0" borderId="198" xfId="0" applyNumberFormat="1" applyFont="1" applyBorder="1" applyAlignment="1">
      <alignment horizontal="center" vertical="center"/>
    </xf>
    <xf numFmtId="9" fontId="39" fillId="0" borderId="198" xfId="0" applyNumberFormat="1" applyFont="1" applyBorder="1" applyAlignment="1">
      <alignment horizontal="center" vertical="center"/>
    </xf>
    <xf numFmtId="166" fontId="39" fillId="11" borderId="198" xfId="0" applyNumberFormat="1" applyFont="1" applyFill="1" applyBorder="1" applyAlignment="1">
      <alignment horizontal="center" vertical="center"/>
    </xf>
    <xf numFmtId="0" fontId="160" fillId="29" borderId="199" xfId="0" applyFont="1" applyFill="1" applyBorder="1" applyAlignment="1" applyProtection="1">
      <alignment horizontal="center" vertical="center"/>
      <protection locked="0"/>
    </xf>
    <xf numFmtId="0" fontId="60" fillId="29" borderId="198" xfId="0" applyFont="1" applyFill="1" applyBorder="1" applyAlignment="1">
      <alignment horizontal="center" vertical="center"/>
    </xf>
    <xf numFmtId="10" fontId="39" fillId="0" borderId="198" xfId="1" applyNumberFormat="1" applyFont="1" applyFill="1" applyBorder="1" applyAlignment="1" applyProtection="1">
      <alignment horizontal="center" vertical="center"/>
      <protection locked="0"/>
    </xf>
    <xf numFmtId="0" fontId="39" fillId="0" borderId="165" xfId="0" applyFont="1" applyBorder="1" applyAlignment="1">
      <alignment vertical="center"/>
    </xf>
    <xf numFmtId="0" fontId="161" fillId="29" borderId="197" xfId="0" applyFont="1" applyFill="1" applyBorder="1" applyAlignment="1">
      <alignment horizontal="center" vertical="center"/>
    </xf>
    <xf numFmtId="166" fontId="39" fillId="0" borderId="198" xfId="0" applyNumberFormat="1" applyFont="1" applyBorder="1" applyAlignment="1">
      <alignment horizontal="center" vertical="center"/>
    </xf>
    <xf numFmtId="10" fontId="120" fillId="0" borderId="198" xfId="0" applyNumberFormat="1" applyFont="1" applyBorder="1" applyAlignment="1">
      <alignment horizontal="center" vertical="center"/>
    </xf>
    <xf numFmtId="1" fontId="120" fillId="0" borderId="198" xfId="0" applyNumberFormat="1" applyFont="1" applyBorder="1" applyAlignment="1">
      <alignment horizontal="center" vertical="center"/>
    </xf>
    <xf numFmtId="9" fontId="39" fillId="2" borderId="198" xfId="0" applyNumberFormat="1" applyFont="1" applyFill="1" applyBorder="1" applyAlignment="1" applyProtection="1">
      <alignment horizontal="center" vertical="center"/>
      <protection locked="0"/>
    </xf>
    <xf numFmtId="9" fontId="39" fillId="2" borderId="200" xfId="0" applyNumberFormat="1" applyFont="1" applyFill="1" applyBorder="1" applyAlignment="1" applyProtection="1">
      <alignment horizontal="center" vertical="center"/>
      <protection locked="0"/>
    </xf>
    <xf numFmtId="0" fontId="47" fillId="29" borderId="197" xfId="0" applyFont="1" applyFill="1" applyBorder="1" applyAlignment="1">
      <alignment horizontal="center" vertical="center"/>
    </xf>
    <xf numFmtId="10" fontId="120" fillId="0" borderId="201" xfId="0" applyNumberFormat="1" applyFont="1" applyBorder="1" applyAlignment="1">
      <alignment horizontal="center" vertical="center"/>
    </xf>
    <xf numFmtId="0" fontId="106" fillId="0" borderId="128" xfId="0" applyFont="1" applyBorder="1" applyAlignment="1">
      <alignment vertical="center"/>
    </xf>
    <xf numFmtId="176" fontId="120" fillId="0" borderId="131" xfId="0" applyNumberFormat="1" applyFont="1" applyBorder="1" applyAlignment="1" applyProtection="1">
      <alignment horizontal="center" vertical="center"/>
      <protection locked="0"/>
    </xf>
    <xf numFmtId="176" fontId="120" fillId="0" borderId="110" xfId="0" applyNumberFormat="1" applyFont="1" applyBorder="1" applyAlignment="1" applyProtection="1">
      <alignment horizontal="center" vertical="center"/>
      <protection locked="0"/>
    </xf>
    <xf numFmtId="0" fontId="106" fillId="0" borderId="120" xfId="0" applyFont="1" applyBorder="1" applyAlignment="1">
      <alignment horizontal="left" vertical="center"/>
    </xf>
    <xf numFmtId="166" fontId="120" fillId="0" borderId="132" xfId="0" applyNumberFormat="1" applyFont="1" applyBorder="1" applyAlignment="1" applyProtection="1">
      <alignment horizontal="center" vertical="center"/>
      <protection locked="0"/>
    </xf>
    <xf numFmtId="166" fontId="120" fillId="0" borderId="108" xfId="0" applyNumberFormat="1" applyFont="1" applyBorder="1" applyAlignment="1" applyProtection="1">
      <alignment horizontal="center" vertical="center"/>
      <protection locked="0"/>
    </xf>
    <xf numFmtId="176" fontId="120" fillId="0" borderId="132" xfId="0" applyNumberFormat="1" applyFont="1" applyBorder="1" applyAlignment="1" applyProtection="1">
      <alignment horizontal="center" vertical="center"/>
      <protection locked="0"/>
    </xf>
    <xf numFmtId="176" fontId="120" fillId="0" borderId="108" xfId="0" applyNumberFormat="1" applyFont="1" applyBorder="1" applyAlignment="1" applyProtection="1">
      <alignment horizontal="center" vertical="center"/>
      <protection locked="0"/>
    </xf>
    <xf numFmtId="0" fontId="106" fillId="0" borderId="120" xfId="0" applyFont="1" applyBorder="1" applyAlignment="1">
      <alignment horizontal="left" vertical="center" wrapText="1"/>
    </xf>
    <xf numFmtId="165" fontId="120" fillId="0" borderId="132" xfId="0" applyNumberFormat="1" applyFont="1" applyBorder="1" applyAlignment="1" applyProtection="1">
      <alignment horizontal="center" vertical="center"/>
      <protection locked="0"/>
    </xf>
    <xf numFmtId="165" fontId="120" fillId="0" borderId="108" xfId="0" applyNumberFormat="1" applyFont="1" applyBorder="1" applyAlignment="1" applyProtection="1">
      <alignment horizontal="center" vertical="center"/>
      <protection locked="0"/>
    </xf>
    <xf numFmtId="0" fontId="106" fillId="0" borderId="129" xfId="0" applyFont="1" applyBorder="1" applyAlignment="1">
      <alignment horizontal="left" vertical="center"/>
    </xf>
    <xf numFmtId="9" fontId="39" fillId="0" borderId="133" xfId="0" applyNumberFormat="1" applyFont="1" applyBorder="1" applyAlignment="1" applyProtection="1">
      <alignment horizontal="center" vertical="center"/>
      <protection locked="0"/>
    </xf>
    <xf numFmtId="9" fontId="39" fillId="0" borderId="111" xfId="0" applyNumberFormat="1" applyFont="1" applyBorder="1" applyAlignment="1" applyProtection="1">
      <alignment horizontal="center" vertical="center"/>
      <protection locked="0"/>
    </xf>
    <xf numFmtId="0" fontId="162" fillId="60" borderId="191" xfId="0" applyFont="1" applyFill="1" applyBorder="1" applyAlignment="1" applyProtection="1">
      <alignment horizontal="center" vertical="center"/>
      <protection locked="0"/>
    </xf>
    <xf numFmtId="0" fontId="60" fillId="60" borderId="110" xfId="0" applyFont="1" applyFill="1" applyBorder="1" applyAlignment="1">
      <alignment horizontal="center" vertical="center"/>
    </xf>
    <xf numFmtId="0" fontId="160" fillId="60" borderId="191" xfId="0" applyFont="1" applyFill="1" applyBorder="1" applyAlignment="1" applyProtection="1">
      <alignment horizontal="center" vertical="center"/>
      <protection locked="0"/>
    </xf>
    <xf numFmtId="0" fontId="161" fillId="60" borderId="135" xfId="0" applyFont="1" applyFill="1" applyBorder="1" applyAlignment="1">
      <alignment horizontal="center" vertical="center"/>
    </xf>
    <xf numFmtId="0" fontId="47" fillId="60" borderId="135" xfId="0" applyFont="1" applyFill="1" applyBorder="1" applyAlignment="1">
      <alignment horizontal="center" vertical="center"/>
    </xf>
    <xf numFmtId="0" fontId="60" fillId="60" borderId="130" xfId="0" applyFont="1" applyFill="1" applyBorder="1" applyAlignment="1">
      <alignment horizontal="center" vertical="center"/>
    </xf>
    <xf numFmtId="0" fontId="200" fillId="0" borderId="108" xfId="0" applyFont="1" applyBorder="1" applyAlignment="1">
      <alignment vertical="center"/>
    </xf>
    <xf numFmtId="0" fontId="202" fillId="16" borderId="125" xfId="0" applyFont="1" applyFill="1" applyBorder="1" applyAlignment="1">
      <alignment vertical="center"/>
    </xf>
    <xf numFmtId="0" fontId="202" fillId="16" borderId="137" xfId="0" applyFont="1" applyFill="1" applyBorder="1" applyAlignment="1">
      <alignment vertical="center"/>
    </xf>
    <xf numFmtId="0" fontId="161" fillId="29" borderId="136" xfId="0" applyFont="1" applyFill="1" applyBorder="1" applyAlignment="1">
      <alignment horizontal="center" vertical="center"/>
    </xf>
    <xf numFmtId="1" fontId="120" fillId="0" borderId="39" xfId="0" applyNumberFormat="1" applyFont="1" applyBorder="1" applyAlignment="1" applyProtection="1">
      <alignment horizontal="center" vertical="center"/>
      <protection locked="0"/>
    </xf>
    <xf numFmtId="0" fontId="120" fillId="0" borderId="23" xfId="0" applyFont="1" applyBorder="1" applyAlignment="1">
      <alignment horizontal="left" vertical="center"/>
    </xf>
    <xf numFmtId="165" fontId="120" fillId="0" borderId="39" xfId="0" applyNumberFormat="1" applyFont="1" applyBorder="1" applyAlignment="1" applyProtection="1">
      <alignment horizontal="center" vertical="center"/>
      <protection locked="0"/>
    </xf>
    <xf numFmtId="1" fontId="120" fillId="0" borderId="209" xfId="0" applyNumberFormat="1" applyFont="1" applyBorder="1" applyAlignment="1" applyProtection="1">
      <alignment horizontal="center" vertical="center"/>
      <protection locked="0"/>
    </xf>
    <xf numFmtId="0" fontId="120" fillId="0" borderId="210" xfId="0" applyFont="1" applyBorder="1" applyAlignment="1">
      <alignment vertical="center"/>
    </xf>
    <xf numFmtId="0" fontId="39" fillId="0" borderId="210" xfId="0" applyFont="1" applyBorder="1" applyAlignment="1">
      <alignment vertical="center"/>
    </xf>
    <xf numFmtId="0" fontId="39" fillId="0" borderId="211" xfId="0" applyFont="1" applyBorder="1" applyAlignment="1">
      <alignment vertical="center"/>
    </xf>
    <xf numFmtId="169" fontId="42" fillId="0" borderId="212" xfId="0" applyNumberFormat="1" applyFont="1" applyBorder="1" applyAlignment="1">
      <alignment horizontal="center" vertical="center"/>
    </xf>
    <xf numFmtId="0" fontId="42" fillId="0" borderId="219" xfId="0" applyFont="1" applyBorder="1" applyAlignment="1">
      <alignment horizontal="left" vertical="center"/>
    </xf>
    <xf numFmtId="0" fontId="42" fillId="0" borderId="209" xfId="0" applyFont="1" applyBorder="1" applyAlignment="1">
      <alignment horizontal="center" vertical="center"/>
    </xf>
    <xf numFmtId="9" fontId="120" fillId="0" borderId="198" xfId="0" applyNumberFormat="1" applyFont="1" applyBorder="1" applyAlignment="1">
      <alignment horizontal="center" vertical="center"/>
    </xf>
    <xf numFmtId="9" fontId="120" fillId="0" borderId="108" xfId="0" applyNumberFormat="1" applyFont="1" applyBorder="1" applyAlignment="1">
      <alignment horizontal="center" vertical="center"/>
    </xf>
    <xf numFmtId="10" fontId="39" fillId="0" borderId="200" xfId="0" applyNumberFormat="1" applyFont="1" applyBorder="1" applyAlignment="1" applyProtection="1">
      <alignment horizontal="center" vertical="center"/>
      <protection locked="0"/>
    </xf>
    <xf numFmtId="10" fontId="39" fillId="0" borderId="111" xfId="0" applyNumberFormat="1" applyFont="1" applyBorder="1" applyAlignment="1" applyProtection="1">
      <alignment horizontal="center" vertical="center"/>
      <protection locked="0"/>
    </xf>
    <xf numFmtId="0" fontId="171" fillId="0" borderId="214" xfId="0" applyFont="1" applyBorder="1" applyAlignment="1">
      <alignment horizontal="center" vertical="center"/>
    </xf>
    <xf numFmtId="0" fontId="171" fillId="0" borderId="217" xfId="0" applyFont="1" applyBorder="1" applyAlignment="1">
      <alignment horizontal="center" vertical="center"/>
    </xf>
    <xf numFmtId="1" fontId="171" fillId="59" borderId="218" xfId="0" applyNumberFormat="1" applyFont="1" applyFill="1" applyBorder="1" applyAlignment="1" applyProtection="1">
      <alignment horizontal="center" vertical="center"/>
      <protection locked="0"/>
    </xf>
    <xf numFmtId="0" fontId="179" fillId="0" borderId="209" xfId="0" applyFont="1" applyBorder="1" applyAlignment="1">
      <alignment horizontal="center" vertical="center"/>
    </xf>
    <xf numFmtId="1" fontId="175" fillId="11" borderId="220" xfId="0" applyNumberFormat="1" applyFont="1" applyFill="1" applyBorder="1" applyAlignment="1">
      <alignment horizontal="center" vertical="center"/>
    </xf>
    <xf numFmtId="168" fontId="8" fillId="0" borderId="30" xfId="0" applyNumberFormat="1" applyFont="1" applyBorder="1" applyAlignment="1">
      <alignment horizontal="center" vertical="center"/>
    </xf>
    <xf numFmtId="169" fontId="8" fillId="3" borderId="60" xfId="0" applyNumberFormat="1" applyFont="1" applyFill="1" applyBorder="1" applyAlignment="1">
      <alignment horizontal="center" vertical="center"/>
    </xf>
    <xf numFmtId="0" fontId="8" fillId="0" borderId="30" xfId="0" applyFont="1" applyBorder="1" applyAlignment="1">
      <alignment horizontal="center" vertical="center"/>
    </xf>
    <xf numFmtId="170" fontId="8" fillId="0" borderId="60" xfId="0" applyNumberFormat="1" applyFont="1" applyBorder="1" applyAlignment="1">
      <alignment horizontal="center" vertical="center"/>
    </xf>
    <xf numFmtId="0" fontId="29" fillId="0" borderId="0" xfId="0" applyFont="1" applyAlignment="1">
      <alignment horizontal="center" vertical="center"/>
    </xf>
    <xf numFmtId="0" fontId="29" fillId="0" borderId="0" xfId="0" applyFont="1"/>
    <xf numFmtId="3" fontId="8" fillId="0" borderId="30" xfId="0" applyNumberFormat="1" applyFont="1" applyBorder="1" applyAlignment="1">
      <alignment horizontal="center" vertical="center"/>
    </xf>
    <xf numFmtId="169" fontId="8" fillId="0" borderId="60" xfId="0" applyNumberFormat="1" applyFont="1" applyBorder="1" applyAlignment="1">
      <alignment horizontal="center" vertical="center"/>
    </xf>
    <xf numFmtId="3" fontId="29" fillId="0" borderId="30" xfId="0" applyNumberFormat="1" applyFont="1" applyBorder="1" applyAlignment="1">
      <alignment horizontal="center" vertical="center"/>
    </xf>
    <xf numFmtId="171" fontId="29" fillId="3" borderId="60" xfId="0" applyNumberFormat="1" applyFont="1" applyFill="1" applyBorder="1" applyAlignment="1">
      <alignment horizontal="center" vertical="center"/>
    </xf>
    <xf numFmtId="169" fontId="29"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8" fillId="0" borderId="60" xfId="0" applyNumberFormat="1" applyFont="1" applyBorder="1" applyAlignment="1">
      <alignment horizontal="center" vertical="center"/>
    </xf>
    <xf numFmtId="170" fontId="29" fillId="0" borderId="60" xfId="0" applyNumberFormat="1" applyFont="1" applyBorder="1" applyAlignment="1">
      <alignment horizontal="center" vertical="center"/>
    </xf>
    <xf numFmtId="3" fontId="29" fillId="0" borderId="62" xfId="0" applyNumberFormat="1" applyFont="1" applyBorder="1" applyAlignment="1">
      <alignment horizontal="center" vertical="center"/>
    </xf>
    <xf numFmtId="166" fontId="29" fillId="0" borderId="63" xfId="0" applyNumberFormat="1" applyFont="1" applyBorder="1" applyAlignment="1">
      <alignment horizontal="center" vertical="center"/>
    </xf>
    <xf numFmtId="171" fontId="29"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28" fillId="0" borderId="30" xfId="0" applyFont="1" applyBorder="1" applyAlignment="1">
      <alignment horizontal="center" vertical="center"/>
    </xf>
    <xf numFmtId="9" fontId="8"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29" fillId="0" borderId="60" xfId="0" applyNumberFormat="1" applyFont="1" applyBorder="1" applyAlignment="1">
      <alignment horizontal="center" vertical="center"/>
    </xf>
    <xf numFmtId="0" fontId="17" fillId="0" borderId="39" xfId="0" applyFont="1" applyBorder="1" applyAlignment="1">
      <alignment horizontal="center" vertical="center"/>
    </xf>
    <xf numFmtId="168" fontId="29" fillId="0" borderId="160" xfId="0" applyNumberFormat="1" applyFont="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52" fillId="16" borderId="122" xfId="0" applyNumberFormat="1" applyFont="1" applyFill="1" applyBorder="1" applyAlignment="1">
      <alignment horizontal="center" vertical="center"/>
    </xf>
    <xf numFmtId="168" fontId="8" fillId="0" borderId="123" xfId="0" applyNumberFormat="1" applyFont="1" applyBorder="1" applyAlignment="1" applyProtection="1">
      <alignment horizontal="center" vertical="center"/>
      <protection locked="0"/>
    </xf>
    <xf numFmtId="3" fontId="28" fillId="0" borderId="30" xfId="0" applyNumberFormat="1" applyFont="1" applyBorder="1" applyAlignment="1">
      <alignment horizontal="center" vertical="center"/>
    </xf>
    <xf numFmtId="3" fontId="28" fillId="2" borderId="60" xfId="0" applyNumberFormat="1" applyFont="1" applyFill="1" applyBorder="1" applyAlignment="1" applyProtection="1">
      <alignment horizontal="center" vertical="center"/>
      <protection locked="0"/>
    </xf>
    <xf numFmtId="168" fontId="28"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Border="1" applyAlignment="1">
      <alignment horizontal="center" vertical="center"/>
    </xf>
    <xf numFmtId="0" fontId="28" fillId="0" borderId="39" xfId="0" applyFont="1" applyBorder="1" applyAlignment="1">
      <alignment horizontal="center" vertical="center"/>
    </xf>
    <xf numFmtId="9" fontId="28" fillId="0" borderId="160" xfId="0" applyNumberFormat="1"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195" fillId="0" borderId="220" xfId="0" applyNumberFormat="1" applyFont="1" applyBorder="1" applyAlignment="1" applyProtection="1">
      <alignment horizontal="center" vertical="center"/>
      <protection locked="0"/>
    </xf>
    <xf numFmtId="0" fontId="171" fillId="0" borderId="222" xfId="0" applyFont="1" applyBorder="1" applyAlignment="1">
      <alignment horizontal="center" vertical="center"/>
    </xf>
    <xf numFmtId="1" fontId="171" fillId="59"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Border="1" applyAlignment="1">
      <alignment horizontal="center" vertical="center"/>
    </xf>
    <xf numFmtId="0" fontId="17" fillId="0" borderId="225" xfId="0" applyFont="1" applyBorder="1" applyAlignment="1">
      <alignment horizontal="center" vertical="center"/>
    </xf>
    <xf numFmtId="166" fontId="28"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28" fillId="0" borderId="229" xfId="0" applyNumberFormat="1" applyFont="1" applyBorder="1" applyAlignment="1">
      <alignment horizontal="center" vertical="center"/>
    </xf>
    <xf numFmtId="0" fontId="28"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Border="1" applyAlignment="1">
      <alignment horizontal="right" vertical="center"/>
    </xf>
    <xf numFmtId="3" fontId="252"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9"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28"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1" fillId="0" borderId="213" xfId="0" applyFont="1" applyBorder="1" applyAlignment="1">
      <alignment horizontal="right" vertical="center"/>
    </xf>
    <xf numFmtId="170" fontId="171" fillId="0" borderId="216" xfId="0" applyNumberFormat="1" applyFont="1" applyBorder="1" applyAlignment="1">
      <alignment horizontal="right" vertical="center"/>
    </xf>
    <xf numFmtId="170" fontId="171" fillId="0" borderId="221" xfId="0" applyNumberFormat="1" applyFont="1" applyBorder="1" applyAlignment="1">
      <alignment horizontal="right" vertical="center"/>
    </xf>
    <xf numFmtId="4" fontId="171" fillId="0" borderId="215" xfId="0" applyNumberFormat="1" applyFont="1" applyBorder="1" applyAlignment="1">
      <alignment horizontal="center" vertical="center"/>
    </xf>
    <xf numFmtId="165" fontId="128" fillId="0" borderId="60" xfId="0" applyNumberFormat="1" applyFont="1" applyBorder="1" applyAlignment="1">
      <alignment horizontal="center" vertical="center"/>
    </xf>
    <xf numFmtId="168" fontId="46" fillId="0" borderId="59" xfId="0" applyNumberFormat="1" applyFont="1" applyBorder="1" applyAlignment="1">
      <alignment horizontal="center" vertical="center"/>
    </xf>
    <xf numFmtId="0" fontId="42" fillId="0" borderId="159" xfId="0" applyFont="1" applyBorder="1" applyAlignment="1">
      <alignment horizontal="left" vertical="center"/>
    </xf>
    <xf numFmtId="171" fontId="42" fillId="2" borderId="220" xfId="0" applyNumberFormat="1" applyFont="1" applyFill="1" applyBorder="1" applyAlignment="1" applyProtection="1">
      <alignment horizontal="center" vertical="center"/>
      <protection locked="0"/>
    </xf>
    <xf numFmtId="167" fontId="46" fillId="0" borderId="59" xfId="0" applyNumberFormat="1" applyFont="1" applyBorder="1" applyAlignment="1">
      <alignment horizontal="center" vertical="center"/>
    </xf>
    <xf numFmtId="167" fontId="46" fillId="0" borderId="60" xfId="0" applyNumberFormat="1" applyFont="1" applyBorder="1" applyAlignment="1">
      <alignment horizontal="center" vertical="center"/>
    </xf>
    <xf numFmtId="170" fontId="42" fillId="2" borderId="60" xfId="0" applyNumberFormat="1" applyFont="1" applyFill="1" applyBorder="1" applyAlignment="1" applyProtection="1">
      <alignment horizontal="center" vertical="center"/>
      <protection locked="0"/>
    </xf>
    <xf numFmtId="170" fontId="42" fillId="2" borderId="160" xfId="0" applyNumberFormat="1" applyFont="1" applyFill="1" applyBorder="1" applyAlignment="1" applyProtection="1">
      <alignment horizontal="center" vertical="center"/>
      <protection locked="0"/>
    </xf>
    <xf numFmtId="10" fontId="120" fillId="0" borderId="108" xfId="0" applyNumberFormat="1" applyFont="1" applyBorder="1" applyAlignment="1" applyProtection="1">
      <alignment horizontal="center" vertical="center"/>
      <protection locked="0"/>
    </xf>
    <xf numFmtId="1" fontId="120" fillId="0" borderId="108" xfId="0" applyNumberFormat="1" applyFont="1" applyBorder="1" applyAlignment="1" applyProtection="1">
      <alignment horizontal="center" vertical="center"/>
      <protection locked="0"/>
    </xf>
    <xf numFmtId="166" fontId="39" fillId="0" borderId="108" xfId="0" applyNumberFormat="1" applyFont="1" applyBorder="1" applyAlignment="1" applyProtection="1">
      <alignment horizontal="center" vertical="center"/>
      <protection locked="0"/>
    </xf>
    <xf numFmtId="1" fontId="171" fillId="59" borderId="215" xfId="0" applyNumberFormat="1" applyFont="1" applyFill="1" applyBorder="1" applyAlignment="1" applyProtection="1">
      <alignment horizontal="center" vertical="center"/>
      <protection locked="0"/>
    </xf>
    <xf numFmtId="3" fontId="8"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0" fontId="8" fillId="62" borderId="23" xfId="0" applyFont="1" applyFill="1" applyBorder="1" applyAlignment="1">
      <alignment horizontal="right" vertical="center"/>
    </xf>
    <xf numFmtId="164" fontId="8" fillId="62" borderId="165" xfId="1" applyNumberFormat="1" applyFont="1" applyFill="1" applyBorder="1" applyAlignment="1">
      <alignment horizontal="center" vertical="center"/>
    </xf>
    <xf numFmtId="0" fontId="29" fillId="62" borderId="23" xfId="0" applyFont="1" applyFill="1" applyBorder="1" applyAlignment="1">
      <alignment vertical="center"/>
    </xf>
    <xf numFmtId="0" fontId="0" fillId="62" borderId="0" xfId="0" applyFill="1" applyAlignment="1">
      <alignment vertical="center"/>
    </xf>
    <xf numFmtId="168" fontId="0" fillId="62" borderId="0" xfId="0" applyNumberFormat="1" applyFill="1" applyAlignment="1">
      <alignment vertical="center"/>
    </xf>
    <xf numFmtId="168" fontId="5" fillId="57" borderId="170" xfId="4" applyNumberFormat="1" applyFill="1" applyBorder="1" applyAlignment="1">
      <alignment horizontal="center" vertical="center"/>
    </xf>
    <xf numFmtId="0" fontId="254" fillId="14" borderId="23" xfId="6" applyFont="1" applyFill="1" applyAlignment="1">
      <alignment vertical="center"/>
    </xf>
    <xf numFmtId="0" fontId="255" fillId="14" borderId="23" xfId="6" applyFont="1" applyFill="1" applyAlignment="1">
      <alignment vertical="center"/>
    </xf>
    <xf numFmtId="0" fontId="256" fillId="14" borderId="23" xfId="6" applyFont="1" applyFill="1"/>
    <xf numFmtId="0" fontId="33" fillId="14" borderId="23" xfId="6" applyFill="1"/>
    <xf numFmtId="0" fontId="33" fillId="63" borderId="23" xfId="6" applyFill="1"/>
    <xf numFmtId="0" fontId="257" fillId="14" borderId="23" xfId="6" applyFont="1" applyFill="1"/>
    <xf numFmtId="0" fontId="256" fillId="63" borderId="23" xfId="6" applyFont="1" applyFill="1"/>
    <xf numFmtId="0" fontId="164" fillId="63" borderId="23" xfId="6" applyFont="1" applyFill="1"/>
    <xf numFmtId="0" fontId="258" fillId="63" borderId="23" xfId="6" applyFont="1" applyFill="1"/>
    <xf numFmtId="0" fontId="259" fillId="14" borderId="23" xfId="6" applyFont="1" applyFill="1"/>
    <xf numFmtId="0" fontId="260" fillId="14" borderId="23" xfId="6" applyFont="1" applyFill="1"/>
    <xf numFmtId="0" fontId="261" fillId="14" borderId="23" xfId="6" applyFont="1" applyFill="1"/>
    <xf numFmtId="0" fontId="237" fillId="15" borderId="23" xfId="6" applyFont="1" applyFill="1" applyAlignment="1">
      <alignment vertical="center"/>
    </xf>
    <xf numFmtId="0" fontId="262" fillId="15" borderId="23" xfId="6" applyFont="1" applyFill="1" applyAlignment="1" applyProtection="1">
      <alignment vertical="center"/>
      <protection locked="0"/>
    </xf>
    <xf numFmtId="0" fontId="263" fillId="15" borderId="23" xfId="6" applyFont="1" applyFill="1"/>
    <xf numFmtId="0" fontId="264" fillId="14" borderId="23" xfId="6" applyFont="1" applyFill="1" applyAlignment="1">
      <alignment vertical="center"/>
    </xf>
    <xf numFmtId="0" fontId="156" fillId="64" borderId="23" xfId="6" applyFont="1" applyFill="1" applyAlignment="1">
      <alignment vertical="center"/>
    </xf>
    <xf numFmtId="0" fontId="33" fillId="64" borderId="23" xfId="6" applyFill="1"/>
    <xf numFmtId="0" fontId="263" fillId="64" borderId="23" xfId="6" applyFont="1" applyFill="1"/>
    <xf numFmtId="0" fontId="263" fillId="64" borderId="23" xfId="6" applyFont="1" applyFill="1" applyAlignment="1">
      <alignment vertical="center"/>
    </xf>
    <xf numFmtId="0" fontId="58" fillId="63" borderId="23" xfId="6" applyFont="1" applyFill="1"/>
    <xf numFmtId="0" fontId="58" fillId="63" borderId="23" xfId="6" applyFont="1" applyFill="1" applyAlignment="1">
      <alignment horizontal="right" vertical="center" wrapText="1"/>
    </xf>
    <xf numFmtId="0" fontId="136" fillId="63" borderId="23" xfId="6" applyFont="1" applyFill="1" applyAlignment="1">
      <alignment vertical="center"/>
    </xf>
    <xf numFmtId="0" fontId="265" fillId="63" borderId="23" xfId="6" applyFont="1" applyFill="1"/>
    <xf numFmtId="0" fontId="58" fillId="63" borderId="23" xfId="6" applyFont="1" applyFill="1" applyAlignment="1">
      <alignment horizontal="right" vertical="center"/>
    </xf>
    <xf numFmtId="0" fontId="266" fillId="14" borderId="23" xfId="6" applyFont="1" applyFill="1"/>
    <xf numFmtId="0" fontId="267" fillId="14" borderId="23" xfId="6" applyFont="1" applyFill="1" applyAlignment="1">
      <alignment horizontal="right"/>
    </xf>
    <xf numFmtId="0" fontId="268" fillId="14" borderId="23" xfId="6" applyFont="1" applyFill="1"/>
    <xf numFmtId="0" fontId="269" fillId="14" borderId="23" xfId="6" applyFont="1" applyFill="1"/>
    <xf numFmtId="0" fontId="268" fillId="14" borderId="23" xfId="6" applyFont="1" applyFill="1" applyProtection="1">
      <protection locked="0"/>
    </xf>
    <xf numFmtId="0" fontId="132" fillId="16" borderId="23" xfId="6" applyFont="1" applyFill="1" applyAlignment="1">
      <alignment horizontal="left" vertical="center"/>
    </xf>
    <xf numFmtId="0" fontId="271" fillId="16" borderId="23" xfId="6" applyFont="1" applyFill="1"/>
    <xf numFmtId="0" fontId="272" fillId="16" borderId="23" xfId="6" applyFont="1" applyFill="1"/>
    <xf numFmtId="0" fontId="261" fillId="16" borderId="23" xfId="6" applyFont="1" applyFill="1"/>
    <xf numFmtId="0" fontId="132" fillId="16" borderId="23" xfId="6" applyFont="1" applyFill="1" applyAlignment="1">
      <alignment horizontal="left" vertical="top"/>
    </xf>
    <xf numFmtId="0" fontId="58" fillId="16" borderId="23" xfId="6" applyFont="1" applyFill="1"/>
    <xf numFmtId="0" fontId="132" fillId="16" borderId="23" xfId="6" applyFont="1" applyFill="1" applyAlignment="1">
      <alignment vertical="top"/>
    </xf>
    <xf numFmtId="0" fontId="261" fillId="16" borderId="23" xfId="6" applyFont="1" applyFill="1" applyAlignment="1">
      <alignment vertical="center"/>
    </xf>
    <xf numFmtId="0" fontId="261" fillId="16" borderId="23" xfId="6" applyFont="1" applyFill="1" applyAlignment="1">
      <alignment horizontal="left"/>
    </xf>
    <xf numFmtId="0" fontId="272" fillId="16" borderId="23" xfId="6" applyFont="1" applyFill="1" applyAlignment="1">
      <alignment vertical="center"/>
    </xf>
    <xf numFmtId="0" fontId="273" fillId="16" borderId="23" xfId="6" applyFont="1" applyFill="1" applyAlignment="1">
      <alignment vertical="center"/>
    </xf>
    <xf numFmtId="0" fontId="274" fillId="16" borderId="23" xfId="6" applyFont="1" applyFill="1" applyAlignment="1">
      <alignment vertical="center"/>
    </xf>
    <xf numFmtId="0" fontId="276" fillId="16" borderId="23" xfId="7" applyFont="1" applyFill="1" applyBorder="1" applyAlignment="1">
      <alignment vertical="center"/>
    </xf>
    <xf numFmtId="0" fontId="277" fillId="16" borderId="23" xfId="6" applyFont="1" applyFill="1" applyAlignment="1">
      <alignment vertical="center"/>
    </xf>
    <xf numFmtId="0" fontId="278" fillId="16" borderId="23" xfId="6" applyFont="1" applyFill="1" applyAlignment="1">
      <alignment vertical="center"/>
    </xf>
    <xf numFmtId="0" fontId="279" fillId="16" borderId="23" xfId="6" applyFont="1" applyFill="1" applyAlignment="1">
      <alignment vertical="center"/>
    </xf>
    <xf numFmtId="0" fontId="272" fillId="14" borderId="23" xfId="6" applyFont="1" applyFill="1"/>
    <xf numFmtId="0" fontId="284" fillId="63" borderId="23" xfId="6" applyFont="1" applyFill="1" applyProtection="1">
      <protection locked="0"/>
    </xf>
    <xf numFmtId="0" fontId="33" fillId="63" borderId="23" xfId="6" applyFill="1" applyProtection="1">
      <protection locked="0"/>
    </xf>
    <xf numFmtId="0" fontId="285" fillId="23" borderId="23" xfId="6" applyFont="1" applyFill="1" applyAlignment="1" applyProtection="1">
      <alignment horizontal="center" vertical="center"/>
      <protection locked="0"/>
    </xf>
    <xf numFmtId="0" fontId="286" fillId="23" borderId="23" xfId="6" applyFont="1" applyFill="1" applyAlignment="1">
      <alignment horizontal="center" vertical="center"/>
    </xf>
    <xf numFmtId="0" fontId="287" fillId="23" borderId="23" xfId="6" applyFont="1" applyFill="1" applyAlignment="1" applyProtection="1">
      <alignment horizontal="center" vertical="center"/>
      <protection locked="0"/>
    </xf>
    <xf numFmtId="0" fontId="140" fillId="15" borderId="23" xfId="6" applyFont="1" applyFill="1" applyAlignment="1">
      <alignment vertical="center"/>
    </xf>
    <xf numFmtId="0" fontId="288" fillId="15" borderId="23" xfId="6" applyFont="1" applyFill="1" applyProtection="1">
      <protection locked="0"/>
    </xf>
    <xf numFmtId="0" fontId="289" fillId="63" borderId="23" xfId="6" applyFont="1" applyFill="1" applyProtection="1">
      <protection locked="0"/>
    </xf>
    <xf numFmtId="0" fontId="48" fillId="63" borderId="23" xfId="6" applyFont="1" applyFill="1"/>
    <xf numFmtId="0" fontId="48" fillId="63" borderId="23" xfId="6" applyFont="1" applyFill="1" applyProtection="1">
      <protection locked="0"/>
    </xf>
    <xf numFmtId="0" fontId="52" fillId="63" borderId="23" xfId="6" applyFont="1" applyFill="1" applyProtection="1">
      <protection locked="0"/>
    </xf>
    <xf numFmtId="0" fontId="290" fillId="63" borderId="23" xfId="6" applyFont="1" applyFill="1" applyProtection="1">
      <protection locked="0"/>
    </xf>
    <xf numFmtId="0" fontId="49" fillId="63" borderId="23" xfId="6" applyFont="1" applyFill="1"/>
    <xf numFmtId="0" fontId="284" fillId="0" borderId="23" xfId="6" applyFont="1"/>
    <xf numFmtId="3" fontId="215" fillId="0" borderId="23" xfId="6" applyNumberFormat="1" applyFont="1" applyAlignment="1">
      <alignment horizontal="left"/>
    </xf>
    <xf numFmtId="0" fontId="48" fillId="63" borderId="23" xfId="6" applyFont="1" applyFill="1" applyAlignment="1">
      <alignment vertical="center"/>
    </xf>
    <xf numFmtId="0" fontId="49" fillId="63" borderId="147" xfId="6" applyFont="1" applyFill="1" applyBorder="1" applyProtection="1">
      <protection locked="0"/>
    </xf>
    <xf numFmtId="0" fontId="49" fillId="63" borderId="147" xfId="6" applyFont="1" applyFill="1" applyBorder="1" applyAlignment="1">
      <alignment horizontal="center"/>
    </xf>
    <xf numFmtId="0" fontId="48" fillId="63" borderId="51" xfId="6" applyFont="1" applyFill="1" applyBorder="1" applyAlignment="1">
      <alignment vertical="center"/>
    </xf>
    <xf numFmtId="0" fontId="48" fillId="63" borderId="231" xfId="6" applyFont="1" applyFill="1" applyBorder="1" applyAlignment="1" applyProtection="1">
      <alignment vertical="center"/>
      <protection locked="0"/>
    </xf>
    <xf numFmtId="0" fontId="48" fillId="63" borderId="52" xfId="6" applyFont="1" applyFill="1" applyBorder="1" applyAlignment="1" applyProtection="1">
      <alignment vertical="center"/>
      <protection locked="0"/>
    </xf>
    <xf numFmtId="3" fontId="48" fillId="23" borderId="232" xfId="6" applyNumberFormat="1" applyFont="1" applyFill="1" applyBorder="1" applyAlignment="1" applyProtection="1">
      <alignment horizontal="center" vertical="center"/>
      <protection locked="0"/>
    </xf>
    <xf numFmtId="0" fontId="291" fillId="63" borderId="23" xfId="6" applyFont="1" applyFill="1" applyProtection="1">
      <protection locked="0"/>
    </xf>
    <xf numFmtId="0" fontId="60" fillId="16" borderId="23" xfId="6" applyFont="1" applyFill="1" applyAlignment="1">
      <alignment vertical="center"/>
    </xf>
    <xf numFmtId="0" fontId="292" fillId="16" borderId="23" xfId="6" applyFont="1" applyFill="1" applyProtection="1">
      <protection locked="0"/>
    </xf>
    <xf numFmtId="0" fontId="293" fillId="63" borderId="23" xfId="6" applyFont="1" applyFill="1" applyProtection="1">
      <protection locked="0"/>
    </xf>
    <xf numFmtId="0" fontId="48" fillId="63" borderId="23" xfId="6" applyFont="1" applyFill="1" applyAlignment="1" applyProtection="1">
      <alignment vertical="center"/>
      <protection locked="0"/>
    </xf>
    <xf numFmtId="0" fontId="284" fillId="63" borderId="23" xfId="6" applyFont="1" applyFill="1" applyAlignment="1" applyProtection="1">
      <alignment horizontal="center"/>
      <protection locked="0"/>
    </xf>
    <xf numFmtId="0" fontId="49" fillId="63" borderId="147" xfId="6" applyFont="1" applyFill="1" applyBorder="1" applyAlignment="1" applyProtection="1">
      <alignment vertical="center"/>
      <protection locked="0"/>
    </xf>
    <xf numFmtId="0" fontId="48" fillId="0" borderId="233" xfId="6" applyFont="1" applyBorder="1" applyAlignment="1">
      <alignment horizontal="center" vertical="center" wrapText="1"/>
    </xf>
    <xf numFmtId="0" fontId="48" fillId="0" borderId="49" xfId="6" applyFont="1" applyBorder="1" applyAlignment="1">
      <alignment horizontal="center" vertical="center" wrapText="1"/>
    </xf>
    <xf numFmtId="0" fontId="49" fillId="63" borderId="49" xfId="6" applyFont="1" applyFill="1" applyBorder="1" applyAlignment="1">
      <alignment horizontal="center" vertical="center"/>
    </xf>
    <xf numFmtId="0" fontId="294" fillId="63" borderId="23" xfId="6" applyFont="1" applyFill="1" applyProtection="1">
      <protection locked="0"/>
    </xf>
    <xf numFmtId="0" fontId="48" fillId="63" borderId="234" xfId="6" applyFont="1" applyFill="1" applyBorder="1" applyAlignment="1">
      <alignment vertical="center" wrapText="1"/>
    </xf>
    <xf numFmtId="0" fontId="48" fillId="0" borderId="147" xfId="6" applyFont="1" applyBorder="1" applyAlignment="1">
      <alignment horizontal="center" vertical="center"/>
    </xf>
    <xf numFmtId="1" fontId="48" fillId="0" borderId="49" xfId="6" applyNumberFormat="1" applyFont="1" applyBorder="1" applyAlignment="1">
      <alignment horizontal="center" vertical="center"/>
    </xf>
    <xf numFmtId="0" fontId="48" fillId="23" borderId="49" xfId="6" applyFont="1" applyFill="1" applyBorder="1" applyAlignment="1" applyProtection="1">
      <alignment horizontal="center" vertical="center"/>
      <protection locked="0"/>
    </xf>
    <xf numFmtId="0" fontId="49" fillId="63" borderId="231" xfId="6" applyFont="1" applyFill="1" applyBorder="1" applyAlignment="1" applyProtection="1">
      <alignment vertical="center"/>
      <protection locked="0"/>
    </xf>
    <xf numFmtId="0" fontId="48" fillId="0" borderId="231" xfId="6" applyFont="1" applyBorder="1" applyAlignment="1">
      <alignment horizontal="center" vertical="center" wrapText="1"/>
    </xf>
    <xf numFmtId="0" fontId="49" fillId="63" borderId="52" xfId="6" applyFont="1" applyFill="1" applyBorder="1" applyAlignment="1">
      <alignment horizontal="center" vertical="center"/>
    </xf>
    <xf numFmtId="0" fontId="60" fillId="16" borderId="235" xfId="6" applyFont="1" applyFill="1" applyBorder="1" applyAlignment="1">
      <alignment vertical="center"/>
    </xf>
    <xf numFmtId="0" fontId="42" fillId="16" borderId="236" xfId="6" applyFont="1" applyFill="1" applyBorder="1" applyProtection="1">
      <protection locked="0"/>
    </xf>
    <xf numFmtId="0" fontId="42" fillId="16" borderId="237" xfId="6" applyFont="1" applyFill="1" applyBorder="1" applyProtection="1">
      <protection locked="0"/>
    </xf>
    <xf numFmtId="2" fontId="48" fillId="0" borderId="147" xfId="6" applyNumberFormat="1" applyFont="1" applyBorder="1" applyAlignment="1">
      <alignment horizontal="center" vertical="center"/>
    </xf>
    <xf numFmtId="2" fontId="48" fillId="0" borderId="49" xfId="6" applyNumberFormat="1" applyFont="1" applyBorder="1" applyAlignment="1">
      <alignment horizontal="center" vertical="center"/>
    </xf>
    <xf numFmtId="0" fontId="295" fillId="63" borderId="23" xfId="6" applyFont="1" applyFill="1" applyProtection="1">
      <protection locked="0"/>
    </xf>
    <xf numFmtId="0" fontId="42" fillId="39" borderId="238" xfId="6" applyFont="1" applyFill="1" applyBorder="1" applyAlignment="1">
      <alignment vertical="center"/>
    </xf>
    <xf numFmtId="0" fontId="42" fillId="39" borderId="23" xfId="6" applyFont="1" applyFill="1" applyAlignment="1" applyProtection="1">
      <alignment vertical="center"/>
      <protection locked="0"/>
    </xf>
    <xf numFmtId="0" fontId="42" fillId="39" borderId="239" xfId="6" applyFont="1" applyFill="1" applyBorder="1" applyProtection="1">
      <protection locked="0"/>
    </xf>
    <xf numFmtId="0" fontId="48" fillId="63" borderId="23" xfId="6" applyFont="1" applyFill="1" applyAlignment="1" applyProtection="1">
      <alignment horizontal="center"/>
      <protection locked="0"/>
    </xf>
    <xf numFmtId="0" fontId="42" fillId="39" borderId="238" xfId="6" applyFont="1" applyFill="1" applyBorder="1" applyAlignment="1" applyProtection="1">
      <alignment vertical="center"/>
      <protection locked="0"/>
    </xf>
    <xf numFmtId="0" fontId="61" fillId="16" borderId="23" xfId="6" applyFont="1" applyFill="1" applyProtection="1">
      <protection locked="0"/>
    </xf>
    <xf numFmtId="0" fontId="62" fillId="39" borderId="238" xfId="6" applyFont="1" applyFill="1" applyBorder="1" applyAlignment="1">
      <alignment vertical="center"/>
    </xf>
    <xf numFmtId="0" fontId="48" fillId="0" borderId="23" xfId="6" applyFont="1"/>
    <xf numFmtId="0" fontId="48" fillId="0" borderId="23" xfId="6" applyFont="1" applyProtection="1">
      <protection locked="0"/>
    </xf>
    <xf numFmtId="0" fontId="42" fillId="39" borderId="49" xfId="6" applyFont="1" applyFill="1" applyBorder="1" applyAlignment="1">
      <alignment horizontal="center" vertical="center"/>
    </xf>
    <xf numFmtId="3" fontId="42" fillId="39" borderId="49" xfId="6" applyNumberFormat="1" applyFont="1" applyFill="1" applyBorder="1" applyAlignment="1">
      <alignment horizontal="center" vertical="center"/>
    </xf>
    <xf numFmtId="3" fontId="282" fillId="39" borderId="49" xfId="6" applyNumberFormat="1" applyFont="1" applyFill="1" applyBorder="1" applyAlignment="1">
      <alignment horizontal="center" vertical="center"/>
    </xf>
    <xf numFmtId="0" fontId="48" fillId="63" borderId="231" xfId="6" applyFont="1" applyFill="1" applyBorder="1" applyProtection="1">
      <protection locked="0"/>
    </xf>
    <xf numFmtId="0" fontId="48" fillId="63" borderId="52" xfId="6" applyFont="1" applyFill="1" applyBorder="1" applyProtection="1">
      <protection locked="0"/>
    </xf>
    <xf numFmtId="3" fontId="48" fillId="23" borderId="232" xfId="6" applyNumberFormat="1" applyFont="1" applyFill="1" applyBorder="1" applyAlignment="1" applyProtection="1">
      <alignment horizontal="center"/>
      <protection locked="0"/>
    </xf>
    <xf numFmtId="4" fontId="42" fillId="39" borderId="49" xfId="6" applyNumberFormat="1" applyFont="1" applyFill="1" applyBorder="1" applyAlignment="1">
      <alignment horizontal="center" vertical="center"/>
    </xf>
    <xf numFmtId="0" fontId="42" fillId="39" borderId="240" xfId="6" applyFont="1" applyFill="1" applyBorder="1" applyAlignment="1" applyProtection="1">
      <alignment vertical="center"/>
      <protection locked="0"/>
    </xf>
    <xf numFmtId="0" fontId="42" fillId="39" borderId="241" xfId="6" applyFont="1" applyFill="1" applyBorder="1" applyAlignment="1" applyProtection="1">
      <alignment vertical="center"/>
      <protection locked="0"/>
    </xf>
    <xf numFmtId="0" fontId="42" fillId="39" borderId="242" xfId="6" applyFont="1" applyFill="1" applyBorder="1" applyProtection="1">
      <protection locked="0"/>
    </xf>
    <xf numFmtId="0" fontId="284" fillId="63" borderId="23" xfId="6" applyFont="1" applyFill="1" applyAlignment="1" applyProtection="1">
      <alignment vertical="center"/>
      <protection locked="0"/>
    </xf>
    <xf numFmtId="0" fontId="295" fillId="63" borderId="23" xfId="6" applyFont="1" applyFill="1" applyAlignment="1" applyProtection="1">
      <alignment vertical="center"/>
      <protection locked="0"/>
    </xf>
    <xf numFmtId="0" fontId="35" fillId="16" borderId="23" xfId="6" applyFont="1" applyFill="1" applyProtection="1">
      <protection locked="0"/>
    </xf>
    <xf numFmtId="0" fontId="42" fillId="63" borderId="23" xfId="6" applyFont="1" applyFill="1" applyProtection="1">
      <protection locked="0"/>
    </xf>
    <xf numFmtId="0" fontId="296" fillId="63" borderId="23" xfId="6" applyFont="1" applyFill="1" applyProtection="1">
      <protection locked="0"/>
    </xf>
    <xf numFmtId="0" fontId="284" fillId="0" borderId="23" xfId="6" applyFont="1" applyProtection="1">
      <protection locked="0"/>
    </xf>
    <xf numFmtId="0" fontId="297" fillId="0" borderId="23" xfId="6" applyFont="1" applyProtection="1">
      <protection locked="0"/>
    </xf>
    <xf numFmtId="0" fontId="47" fillId="16" borderId="49" xfId="6" applyFont="1" applyFill="1" applyBorder="1" applyAlignment="1">
      <alignment vertical="center"/>
    </xf>
    <xf numFmtId="0" fontId="47" fillId="16" borderId="49" xfId="6" applyFont="1" applyFill="1" applyBorder="1" applyAlignment="1">
      <alignment horizontal="center" vertical="center"/>
    </xf>
    <xf numFmtId="0" fontId="49" fillId="63" borderId="243" xfId="6" applyFont="1" applyFill="1" applyBorder="1" applyAlignment="1">
      <alignment horizontal="center" vertical="center"/>
    </xf>
    <xf numFmtId="0" fontId="47" fillId="16" borderId="49" xfId="6" applyFont="1" applyFill="1" applyBorder="1" applyAlignment="1">
      <alignment horizontal="center" vertical="center" wrapText="1"/>
    </xf>
    <xf numFmtId="0" fontId="284" fillId="63" borderId="23" xfId="6" applyFont="1" applyFill="1" applyAlignment="1">
      <alignment vertical="center"/>
    </xf>
    <xf numFmtId="0" fontId="27" fillId="0" borderId="23" xfId="6" applyFont="1" applyAlignment="1">
      <alignment horizontal="center"/>
    </xf>
    <xf numFmtId="0" fontId="58" fillId="63" borderId="49" xfId="6" applyFont="1" applyFill="1" applyBorder="1" applyAlignment="1">
      <alignment vertical="center"/>
    </xf>
    <xf numFmtId="166" fontId="48" fillId="63" borderId="49" xfId="6" applyNumberFormat="1" applyFont="1" applyFill="1" applyBorder="1" applyAlignment="1">
      <alignment vertical="center"/>
    </xf>
    <xf numFmtId="166" fontId="48" fillId="63" borderId="243" xfId="6" applyNumberFormat="1" applyFont="1" applyFill="1" applyBorder="1" applyAlignment="1">
      <alignment vertical="center"/>
    </xf>
    <xf numFmtId="166" fontId="48" fillId="23" borderId="49" xfId="6" applyNumberFormat="1" applyFont="1" applyFill="1" applyBorder="1" applyAlignment="1" applyProtection="1">
      <alignment horizontal="center" vertical="center"/>
      <protection locked="0"/>
    </xf>
    <xf numFmtId="0" fontId="297" fillId="63" borderId="23" xfId="6" applyFont="1" applyFill="1" applyProtection="1">
      <protection locked="0"/>
    </xf>
    <xf numFmtId="3" fontId="284" fillId="0" borderId="23" xfId="6" applyNumberFormat="1" applyFont="1" applyAlignment="1" applyProtection="1">
      <alignment horizontal="right"/>
      <protection locked="0"/>
    </xf>
    <xf numFmtId="166" fontId="284" fillId="0" borderId="23" xfId="9" applyNumberFormat="1" applyFont="1" applyFill="1" applyBorder="1" applyAlignment="1" applyProtection="1">
      <alignment horizontal="center"/>
      <protection locked="0"/>
    </xf>
    <xf numFmtId="166" fontId="48" fillId="63" borderId="243" xfId="9" applyNumberFormat="1" applyFont="1" applyFill="1" applyBorder="1" applyAlignment="1" applyProtection="1">
      <alignment vertical="center"/>
    </xf>
    <xf numFmtId="9" fontId="48" fillId="63" borderId="49" xfId="6" applyNumberFormat="1" applyFont="1" applyFill="1" applyBorder="1" applyAlignment="1">
      <alignment vertical="center"/>
    </xf>
    <xf numFmtId="0" fontId="284" fillId="63" borderId="23" xfId="6" applyFont="1" applyFill="1"/>
    <xf numFmtId="0" fontId="299" fillId="63" borderId="23" xfId="6" applyFont="1" applyFill="1" applyProtection="1">
      <protection locked="0"/>
    </xf>
    <xf numFmtId="166" fontId="48" fillId="63" borderId="232" xfId="9" applyNumberFormat="1" applyFont="1" applyFill="1" applyBorder="1" applyAlignment="1" applyProtection="1">
      <alignment vertical="center"/>
    </xf>
    <xf numFmtId="0" fontId="49" fillId="16" borderId="49" xfId="6" applyFont="1" applyFill="1" applyBorder="1" applyAlignment="1">
      <alignment horizontal="left" vertical="center"/>
    </xf>
    <xf numFmtId="166" fontId="49" fillId="16" borderId="49" xfId="6" applyNumberFormat="1" applyFont="1" applyFill="1" applyBorder="1" applyAlignment="1">
      <alignment vertical="center"/>
    </xf>
    <xf numFmtId="10" fontId="49" fillId="16" borderId="49" xfId="6" applyNumberFormat="1" applyFont="1" applyFill="1" applyBorder="1" applyAlignment="1">
      <alignment vertical="center"/>
    </xf>
    <xf numFmtId="166" fontId="284" fillId="63" borderId="23" xfId="6" applyNumberFormat="1" applyFont="1" applyFill="1"/>
    <xf numFmtId="166" fontId="284" fillId="63" borderId="23" xfId="6" applyNumberFormat="1" applyFont="1" applyFill="1" applyProtection="1">
      <protection locked="0"/>
    </xf>
    <xf numFmtId="0" fontId="300" fillId="63" borderId="23" xfId="6" applyFont="1" applyFill="1" applyProtection="1">
      <protection locked="0"/>
    </xf>
    <xf numFmtId="0" fontId="61" fillId="16" borderId="23" xfId="6" applyFont="1" applyFill="1" applyAlignment="1" applyProtection="1">
      <alignment vertical="center"/>
      <protection locked="0"/>
    </xf>
    <xf numFmtId="10" fontId="61" fillId="16" borderId="23" xfId="6" applyNumberFormat="1" applyFont="1" applyFill="1" applyAlignment="1" applyProtection="1">
      <alignment vertical="center"/>
      <protection locked="0"/>
    </xf>
    <xf numFmtId="0" fontId="49" fillId="63" borderId="23" xfId="6" applyFont="1" applyFill="1" applyAlignment="1">
      <alignment vertical="center"/>
    </xf>
    <xf numFmtId="0" fontId="301" fillId="63" borderId="23" xfId="6" applyFont="1" applyFill="1" applyProtection="1">
      <protection locked="0"/>
    </xf>
    <xf numFmtId="0" fontId="49" fillId="16" borderId="51" xfId="6" applyFont="1" applyFill="1" applyBorder="1" applyAlignment="1">
      <alignment vertical="center"/>
    </xf>
    <xf numFmtId="0" fontId="48" fillId="16" borderId="231" xfId="6" applyFont="1" applyFill="1" applyBorder="1" applyAlignment="1" applyProtection="1">
      <alignment vertical="center"/>
      <protection locked="0"/>
    </xf>
    <xf numFmtId="0" fontId="49" fillId="16" borderId="52" xfId="6" applyFont="1" applyFill="1" applyBorder="1" applyAlignment="1" applyProtection="1">
      <alignment horizontal="center" vertical="center"/>
      <protection locked="0"/>
    </xf>
    <xf numFmtId="0" fontId="58" fillId="63" borderId="51" xfId="6" applyFont="1" applyFill="1" applyBorder="1" applyAlignment="1">
      <alignment vertical="center"/>
    </xf>
    <xf numFmtId="1" fontId="48" fillId="23" borderId="232" xfId="6" applyNumberFormat="1" applyFont="1" applyFill="1" applyBorder="1" applyAlignment="1" applyProtection="1">
      <alignment horizontal="center" vertical="center"/>
      <protection locked="0"/>
    </xf>
    <xf numFmtId="0" fontId="60" fillId="16" borderId="235" xfId="6" applyFont="1" applyFill="1" applyBorder="1"/>
    <xf numFmtId="0" fontId="61" fillId="16" borderId="236" xfId="6" applyFont="1" applyFill="1" applyBorder="1" applyProtection="1">
      <protection locked="0"/>
    </xf>
    <xf numFmtId="0" fontId="290" fillId="16" borderId="237" xfId="6" applyFont="1" applyFill="1" applyBorder="1" applyProtection="1">
      <protection locked="0"/>
    </xf>
    <xf numFmtId="0" fontId="48" fillId="39" borderId="238" xfId="6" applyFont="1" applyFill="1" applyBorder="1" applyAlignment="1">
      <alignment vertical="center"/>
    </xf>
    <xf numFmtId="0" fontId="48" fillId="39" borderId="23" xfId="6" applyFont="1" applyFill="1" applyAlignment="1" applyProtection="1">
      <alignment vertical="center"/>
      <protection locked="0"/>
    </xf>
    <xf numFmtId="0" fontId="48" fillId="39" borderId="239" xfId="6" applyFont="1" applyFill="1" applyBorder="1" applyAlignment="1" applyProtection="1">
      <alignment vertical="center"/>
      <protection locked="0"/>
    </xf>
    <xf numFmtId="0" fontId="47" fillId="16" borderId="23" xfId="6" applyFont="1" applyFill="1" applyAlignment="1">
      <alignment vertical="center"/>
    </xf>
    <xf numFmtId="0" fontId="99" fillId="16" borderId="23" xfId="6" applyFont="1" applyFill="1" applyProtection="1">
      <protection locked="0"/>
    </xf>
    <xf numFmtId="0" fontId="48" fillId="39" borderId="238" xfId="6" applyFont="1" applyFill="1" applyBorder="1" applyAlignment="1">
      <alignment vertical="top"/>
    </xf>
    <xf numFmtId="0" fontId="48" fillId="39" borderId="238" xfId="6" applyFont="1" applyFill="1" applyBorder="1" applyAlignment="1" applyProtection="1">
      <alignment vertical="center"/>
      <protection locked="0"/>
    </xf>
    <xf numFmtId="0" fontId="49" fillId="39" borderId="238" xfId="6" applyFont="1" applyFill="1" applyBorder="1" applyAlignment="1">
      <alignment vertical="center"/>
    </xf>
    <xf numFmtId="0" fontId="48" fillId="39" borderId="23" xfId="6" applyFont="1" applyFill="1" applyAlignment="1">
      <alignment vertical="center" wrapText="1"/>
    </xf>
    <xf numFmtId="165" fontId="48" fillId="39" borderId="49" xfId="6" applyNumberFormat="1" applyFont="1" applyFill="1" applyBorder="1" applyAlignment="1">
      <alignment horizontal="center" vertical="center"/>
    </xf>
    <xf numFmtId="166" fontId="48" fillId="39" borderId="49" xfId="9" applyNumberFormat="1" applyFont="1" applyFill="1" applyBorder="1" applyAlignment="1" applyProtection="1">
      <alignment horizontal="center" vertical="center"/>
    </xf>
    <xf numFmtId="0" fontId="48" fillId="63" borderId="23" xfId="6" applyFont="1" applyFill="1" applyAlignment="1" applyProtection="1">
      <alignment horizontal="left" vertical="center"/>
      <protection locked="0"/>
    </xf>
    <xf numFmtId="0" fontId="99" fillId="16" borderId="49" xfId="6" applyFont="1" applyFill="1" applyBorder="1" applyAlignment="1" applyProtection="1">
      <alignment vertical="center"/>
      <protection locked="0"/>
    </xf>
    <xf numFmtId="0" fontId="48" fillId="39" borderId="240" xfId="6" applyFont="1" applyFill="1" applyBorder="1" applyAlignment="1" applyProtection="1">
      <alignment vertical="center"/>
      <protection locked="0"/>
    </xf>
    <xf numFmtId="0" fontId="48" fillId="39" borderId="241" xfId="6" applyFont="1" applyFill="1" applyBorder="1" applyAlignment="1" applyProtection="1">
      <alignment vertical="center"/>
      <protection locked="0"/>
    </xf>
    <xf numFmtId="0" fontId="48" fillId="39" borderId="242" xfId="6" applyFont="1" applyFill="1" applyBorder="1" applyAlignment="1" applyProtection="1">
      <alignment vertical="center"/>
      <protection locked="0"/>
    </xf>
    <xf numFmtId="0" fontId="48" fillId="63" borderId="49" xfId="6" applyFont="1" applyFill="1" applyBorder="1" applyAlignment="1">
      <alignment vertical="center"/>
    </xf>
    <xf numFmtId="0" fontId="57" fillId="15" borderId="23" xfId="6" applyFont="1" applyFill="1" applyAlignment="1">
      <alignment vertical="center"/>
    </xf>
    <xf numFmtId="0" fontId="59" fillId="15" borderId="23" xfId="6" applyFont="1" applyFill="1" applyAlignment="1" applyProtection="1">
      <alignment vertical="center"/>
      <protection locked="0"/>
    </xf>
    <xf numFmtId="0" fontId="33" fillId="63" borderId="23" xfId="6" applyFill="1" applyAlignment="1" applyProtection="1">
      <alignment horizontal="center"/>
      <protection locked="0"/>
    </xf>
    <xf numFmtId="0" fontId="50" fillId="63" borderId="23" xfId="6" applyFont="1" applyFill="1" applyAlignment="1" applyProtection="1">
      <alignment vertical="center"/>
      <protection locked="0"/>
    </xf>
    <xf numFmtId="0" fontId="66" fillId="63" borderId="23" xfId="6" applyFont="1" applyFill="1" applyProtection="1">
      <protection locked="0"/>
    </xf>
    <xf numFmtId="0" fontId="42" fillId="0" borderId="23" xfId="6" applyFont="1" applyProtection="1">
      <protection locked="0"/>
    </xf>
    <xf numFmtId="0" fontId="303" fillId="63" borderId="23" xfId="6" applyFont="1" applyFill="1" applyAlignment="1">
      <alignment vertical="top"/>
    </xf>
    <xf numFmtId="0" fontId="303" fillId="63" borderId="23" xfId="6" applyFont="1" applyFill="1" applyAlignment="1" applyProtection="1">
      <alignment vertical="center"/>
      <protection locked="0"/>
    </xf>
    <xf numFmtId="0" fontId="304" fillId="63" borderId="23" xfId="6" applyFont="1" applyFill="1" applyAlignment="1" applyProtection="1">
      <alignment vertical="center"/>
      <protection locked="0"/>
    </xf>
    <xf numFmtId="0" fontId="305" fillId="63" borderId="23" xfId="6" applyFont="1" applyFill="1" applyProtection="1">
      <protection locked="0"/>
    </xf>
    <xf numFmtId="0" fontId="42" fillId="63" borderId="49" xfId="6" applyFont="1" applyFill="1" applyBorder="1" applyAlignment="1" applyProtection="1">
      <alignment horizontal="center" vertical="center"/>
      <protection locked="0"/>
    </xf>
    <xf numFmtId="0" fontId="306" fillId="63" borderId="23" xfId="6" applyFont="1" applyFill="1" applyAlignment="1" applyProtection="1">
      <alignment horizontal="center" vertical="center"/>
      <protection locked="0"/>
    </xf>
    <xf numFmtId="0" fontId="42" fillId="63" borderId="49" xfId="6" applyFont="1" applyFill="1" applyBorder="1" applyAlignment="1" applyProtection="1">
      <alignment horizontal="center" vertical="center" wrapText="1"/>
      <protection locked="0"/>
    </xf>
    <xf numFmtId="0" fontId="62" fillId="23" borderId="49" xfId="6" applyFont="1" applyFill="1" applyBorder="1" applyAlignment="1" applyProtection="1">
      <alignment horizontal="center" vertical="center"/>
      <protection locked="0"/>
    </xf>
    <xf numFmtId="0" fontId="62" fillId="63" borderId="23" xfId="6" applyFont="1" applyFill="1" applyAlignment="1" applyProtection="1">
      <alignment vertical="center"/>
      <protection locked="0"/>
    </xf>
    <xf numFmtId="0" fontId="62" fillId="23" borderId="49" xfId="6" applyFont="1" applyFill="1" applyBorder="1" applyAlignment="1" applyProtection="1">
      <alignment horizontal="center" vertical="center" wrapText="1"/>
      <protection locked="0"/>
    </xf>
    <xf numFmtId="0" fontId="33" fillId="14" borderId="23" xfId="6" applyFill="1" applyProtection="1">
      <protection locked="0"/>
    </xf>
    <xf numFmtId="0" fontId="307" fillId="14" borderId="23" xfId="6" applyFont="1" applyFill="1"/>
    <xf numFmtId="0" fontId="33" fillId="16" borderId="23" xfId="6" applyFill="1" applyAlignment="1" applyProtection="1">
      <alignment horizontal="left"/>
      <protection locked="0"/>
    </xf>
    <xf numFmtId="9" fontId="33" fillId="63" borderId="23" xfId="6" applyNumberFormat="1" applyFill="1" applyAlignment="1" applyProtection="1">
      <alignment horizontal="center"/>
      <protection locked="0"/>
    </xf>
    <xf numFmtId="0" fontId="308" fillId="14" borderId="23" xfId="6" applyFont="1" applyFill="1" applyProtection="1">
      <protection locked="0"/>
    </xf>
    <xf numFmtId="0" fontId="309" fillId="14" borderId="23" xfId="6" applyFont="1" applyFill="1"/>
    <xf numFmtId="0" fontId="310" fillId="63" borderId="23" xfId="6" applyFont="1" applyFill="1"/>
    <xf numFmtId="0" fontId="310" fillId="63" borderId="23" xfId="6" applyFont="1" applyFill="1" applyAlignment="1" applyProtection="1">
      <alignment horizontal="left"/>
      <protection locked="0"/>
    </xf>
    <xf numFmtId="0" fontId="310" fillId="63" borderId="23" xfId="6" applyFont="1" applyFill="1" applyProtection="1">
      <protection locked="0"/>
    </xf>
    <xf numFmtId="0" fontId="311" fillId="14" borderId="23" xfId="6" applyFont="1" applyFill="1"/>
    <xf numFmtId="0" fontId="312" fillId="16" borderId="49" xfId="6" applyFont="1" applyFill="1" applyBorder="1" applyAlignment="1">
      <alignment horizontal="center" vertical="center"/>
    </xf>
    <xf numFmtId="0" fontId="313" fillId="16" borderId="51" xfId="6" applyFont="1" applyFill="1" applyBorder="1" applyAlignment="1">
      <alignment vertical="center"/>
    </xf>
    <xf numFmtId="0" fontId="312" fillId="16" borderId="231" xfId="6" applyFont="1" applyFill="1" applyBorder="1" applyAlignment="1">
      <alignment vertical="center"/>
    </xf>
    <xf numFmtId="0" fontId="313" fillId="16" borderId="231" xfId="6" applyFont="1" applyFill="1" applyBorder="1" applyAlignment="1" applyProtection="1">
      <alignment vertical="center"/>
      <protection locked="0"/>
    </xf>
    <xf numFmtId="0" fontId="313" fillId="16" borderId="52" xfId="6" applyFont="1" applyFill="1" applyBorder="1" applyAlignment="1">
      <alignment horizontal="center" vertical="center"/>
    </xf>
    <xf numFmtId="0" fontId="314" fillId="63" borderId="23" xfId="6" applyFont="1" applyFill="1" applyAlignment="1" applyProtection="1">
      <alignment horizontal="center" vertical="center"/>
      <protection locked="0"/>
    </xf>
    <xf numFmtId="0" fontId="313" fillId="16" borderId="49" xfId="6" applyFont="1" applyFill="1" applyBorder="1" applyAlignment="1">
      <alignment horizontal="center" vertical="center"/>
    </xf>
    <xf numFmtId="0" fontId="300" fillId="14" borderId="23" xfId="6" applyFont="1" applyFill="1" applyProtection="1">
      <protection locked="0"/>
    </xf>
    <xf numFmtId="0" fontId="33" fillId="63" borderId="51" xfId="6" applyFill="1" applyBorder="1" applyAlignment="1">
      <alignment vertical="center"/>
    </xf>
    <xf numFmtId="0" fontId="33" fillId="63" borderId="231" xfId="6" applyFill="1" applyBorder="1" applyAlignment="1" applyProtection="1">
      <alignment vertical="center"/>
      <protection locked="0"/>
    </xf>
    <xf numFmtId="0" fontId="33" fillId="63" borderId="52" xfId="6" applyFill="1" applyBorder="1" applyAlignment="1" applyProtection="1">
      <alignment vertical="center"/>
      <protection locked="0"/>
    </xf>
    <xf numFmtId="166" fontId="33" fillId="23" borderId="49" xfId="6" applyNumberFormat="1" applyFill="1" applyBorder="1" applyAlignment="1" applyProtection="1">
      <alignment horizontal="center" vertical="center"/>
      <protection locked="0"/>
    </xf>
    <xf numFmtId="0" fontId="33" fillId="14" borderId="23" xfId="6" applyFill="1" applyAlignment="1" applyProtection="1">
      <alignment horizontal="center"/>
      <protection locked="0"/>
    </xf>
    <xf numFmtId="0" fontId="33" fillId="14" borderId="23" xfId="6" applyFill="1" applyAlignment="1">
      <alignment horizontal="center"/>
    </xf>
    <xf numFmtId="0" fontId="315" fillId="14" borderId="23" xfId="6" applyFont="1" applyFill="1" applyAlignment="1">
      <alignment horizontal="center"/>
    </xf>
    <xf numFmtId="0" fontId="316" fillId="14" borderId="23" xfId="6" applyFont="1" applyFill="1"/>
    <xf numFmtId="3" fontId="33" fillId="14" borderId="23" xfId="6" applyNumberFormat="1" applyFill="1" applyAlignment="1" applyProtection="1">
      <alignment horizontal="right"/>
      <protection locked="0"/>
    </xf>
    <xf numFmtId="3" fontId="33" fillId="14" borderId="23" xfId="9" applyNumberFormat="1" applyFont="1" applyFill="1" applyBorder="1" applyAlignment="1" applyProtection="1">
      <alignment horizontal="right"/>
      <protection locked="0"/>
    </xf>
    <xf numFmtId="166" fontId="33" fillId="14" borderId="23" xfId="9" applyNumberFormat="1" applyFont="1" applyFill="1" applyBorder="1" applyAlignment="1" applyProtection="1">
      <alignment horizontal="center"/>
      <protection locked="0"/>
    </xf>
    <xf numFmtId="0" fontId="315" fillId="14" borderId="23" xfId="6" applyFont="1" applyFill="1" applyAlignment="1" applyProtection="1">
      <alignment horizontal="right"/>
      <protection locked="0"/>
    </xf>
    <xf numFmtId="166" fontId="33" fillId="14" borderId="23" xfId="6" applyNumberFormat="1" applyFill="1" applyAlignment="1" applyProtection="1">
      <alignment horizontal="right"/>
      <protection locked="0"/>
    </xf>
    <xf numFmtId="9" fontId="33" fillId="14" borderId="23" xfId="6" applyNumberFormat="1" applyFill="1" applyAlignment="1" applyProtection="1">
      <alignment horizontal="center"/>
      <protection locked="0"/>
    </xf>
    <xf numFmtId="0" fontId="33" fillId="14" borderId="23" xfId="6" applyFill="1" applyAlignment="1" applyProtection="1">
      <alignment horizontal="right"/>
      <protection locked="0"/>
    </xf>
    <xf numFmtId="0" fontId="25" fillId="16" borderId="23" xfId="6" applyFont="1" applyFill="1" applyAlignment="1">
      <alignment vertical="center"/>
    </xf>
    <xf numFmtId="0" fontId="48" fillId="14" borderId="23" xfId="6" applyFont="1" applyFill="1" applyAlignment="1">
      <alignment vertical="center"/>
    </xf>
    <xf numFmtId="0" fontId="48" fillId="14" borderId="23" xfId="6" applyFont="1" applyFill="1" applyAlignment="1" applyProtection="1">
      <alignment vertical="center"/>
      <protection locked="0"/>
    </xf>
    <xf numFmtId="0" fontId="42" fillId="14" borderId="23" xfId="6" applyFont="1" applyFill="1" applyProtection="1">
      <protection locked="0"/>
    </xf>
    <xf numFmtId="0" fontId="42" fillId="14" borderId="23" xfId="6" applyFont="1" applyFill="1"/>
    <xf numFmtId="3" fontId="42" fillId="14" borderId="23" xfId="6" applyNumberFormat="1" applyFont="1" applyFill="1" applyAlignment="1" applyProtection="1">
      <alignment horizontal="right"/>
      <protection locked="0"/>
    </xf>
    <xf numFmtId="3" fontId="42" fillId="14" borderId="23" xfId="9" applyNumberFormat="1" applyFont="1" applyFill="1" applyBorder="1" applyAlignment="1" applyProtection="1">
      <alignment horizontal="right"/>
      <protection locked="0"/>
    </xf>
    <xf numFmtId="166" fontId="42" fillId="14" borderId="23" xfId="9" applyNumberFormat="1" applyFont="1" applyFill="1" applyBorder="1" applyAlignment="1" applyProtection="1">
      <alignment horizontal="center"/>
      <protection locked="0"/>
    </xf>
    <xf numFmtId="0" fontId="42" fillId="14" borderId="23" xfId="6" applyFont="1" applyFill="1" applyAlignment="1" applyProtection="1">
      <alignment horizontal="right"/>
      <protection locked="0"/>
    </xf>
    <xf numFmtId="0" fontId="42" fillId="63" borderId="23" xfId="6" applyFont="1" applyFill="1"/>
    <xf numFmtId="166" fontId="42" fillId="14" borderId="23" xfId="6" applyNumberFormat="1" applyFont="1" applyFill="1" applyAlignment="1" applyProtection="1">
      <alignment horizontal="right"/>
      <protection locked="0"/>
    </xf>
    <xf numFmtId="0" fontId="48" fillId="16" borderId="49" xfId="6" applyFont="1" applyFill="1" applyBorder="1" applyAlignment="1">
      <alignment horizontal="center" vertical="center"/>
    </xf>
    <xf numFmtId="0" fontId="48" fillId="16" borderId="231" xfId="6" applyFont="1" applyFill="1" applyBorder="1" applyAlignment="1">
      <alignment vertical="center"/>
    </xf>
    <xf numFmtId="0" fontId="49" fillId="16" borderId="231" xfId="6" applyFont="1" applyFill="1" applyBorder="1" applyAlignment="1" applyProtection="1">
      <alignment vertical="center"/>
      <protection locked="0"/>
    </xf>
    <xf numFmtId="0" fontId="49" fillId="16" borderId="52" xfId="6" applyFont="1" applyFill="1" applyBorder="1" applyAlignment="1">
      <alignment horizontal="center" vertical="center"/>
    </xf>
    <xf numFmtId="0" fontId="49" fillId="63" borderId="23" xfId="6" applyFont="1" applyFill="1" applyAlignment="1" applyProtection="1">
      <alignment horizontal="center" vertical="center"/>
      <protection locked="0"/>
    </xf>
    <xf numFmtId="0" fontId="49" fillId="16" borderId="49" xfId="6" applyFont="1" applyFill="1" applyBorder="1" applyAlignment="1">
      <alignment horizontal="center" vertical="center"/>
    </xf>
    <xf numFmtId="0" fontId="317" fillId="63" borderId="23" xfId="6" applyFont="1" applyFill="1" applyProtection="1">
      <protection locked="0"/>
    </xf>
    <xf numFmtId="0" fontId="48" fillId="0" borderId="51" xfId="6" applyFont="1" applyBorder="1" applyAlignment="1">
      <alignment vertical="center"/>
    </xf>
    <xf numFmtId="9" fontId="48" fillId="23" borderId="49" xfId="6" applyNumberFormat="1" applyFont="1" applyFill="1" applyBorder="1" applyAlignment="1" applyProtection="1">
      <alignment horizontal="center" vertical="center"/>
      <protection locked="0"/>
    </xf>
    <xf numFmtId="9" fontId="48" fillId="63" borderId="23" xfId="6" applyNumberFormat="1" applyFont="1" applyFill="1" applyAlignment="1" applyProtection="1">
      <alignment horizontal="center" vertical="center"/>
      <protection locked="0"/>
    </xf>
    <xf numFmtId="0" fontId="48" fillId="0" borderId="23" xfId="6" applyFont="1" applyAlignment="1" applyProtection="1">
      <alignment vertical="center"/>
      <protection locked="0"/>
    </xf>
    <xf numFmtId="0" fontId="48" fillId="16" borderId="238" xfId="6" applyFont="1" applyFill="1" applyBorder="1" applyAlignment="1" applyProtection="1">
      <alignment horizontal="center" vertical="center"/>
      <protection locked="0"/>
    </xf>
    <xf numFmtId="0" fontId="48" fillId="16" borderId="243" xfId="6" applyFont="1" applyFill="1" applyBorder="1" applyAlignment="1">
      <alignment horizontal="center" vertical="center"/>
    </xf>
    <xf numFmtId="0" fontId="48" fillId="16" borderId="243" xfId="6" applyFont="1" applyFill="1" applyBorder="1" applyAlignment="1" applyProtection="1">
      <alignment horizontal="center" vertical="center"/>
      <protection locked="0"/>
    </xf>
    <xf numFmtId="0" fontId="48" fillId="16" borderId="239" xfId="6" applyFont="1" applyFill="1" applyBorder="1" applyAlignment="1" applyProtection="1">
      <alignment horizontal="center" vertical="center"/>
      <protection locked="0"/>
    </xf>
    <xf numFmtId="0" fontId="48" fillId="16" borderId="238" xfId="6" applyFont="1" applyFill="1" applyBorder="1" applyAlignment="1">
      <alignment horizontal="center" vertical="center"/>
    </xf>
    <xf numFmtId="0" fontId="48" fillId="16" borderId="232" xfId="6" applyFont="1" applyFill="1" applyBorder="1" applyAlignment="1">
      <alignment horizontal="center" vertical="center"/>
    </xf>
    <xf numFmtId="0" fontId="47" fillId="16" borderId="51" xfId="6" applyFont="1" applyFill="1" applyBorder="1" applyAlignment="1">
      <alignment vertical="center"/>
    </xf>
    <xf numFmtId="0" fontId="47" fillId="16" borderId="231" xfId="6" applyFont="1" applyFill="1" applyBorder="1" applyAlignment="1" applyProtection="1">
      <alignment vertical="center"/>
      <protection locked="0"/>
    </xf>
    <xf numFmtId="0" fontId="47" fillId="16" borderId="52" xfId="6" applyFont="1" applyFill="1" applyBorder="1" applyAlignment="1">
      <alignment horizontal="center" vertical="center"/>
    </xf>
    <xf numFmtId="0" fontId="48" fillId="14" borderId="247" xfId="6" applyFont="1" applyFill="1" applyBorder="1" applyAlignment="1">
      <alignment vertical="center"/>
    </xf>
    <xf numFmtId="3" fontId="48" fillId="65" borderId="49" xfId="6" applyNumberFormat="1" applyFont="1" applyFill="1" applyBorder="1" applyAlignment="1" applyProtection="1">
      <alignment horizontal="right" vertical="center"/>
      <protection locked="0"/>
    </xf>
    <xf numFmtId="3" fontId="48" fillId="66" borderId="49" xfId="6" applyNumberFormat="1" applyFont="1" applyFill="1" applyBorder="1" applyAlignment="1" applyProtection="1">
      <alignment horizontal="right" vertical="center"/>
      <protection locked="0"/>
    </xf>
    <xf numFmtId="3" fontId="48" fillId="48" borderId="51" xfId="6" applyNumberFormat="1" applyFont="1" applyFill="1" applyBorder="1" applyAlignment="1" applyProtection="1">
      <alignment horizontal="right" vertical="center"/>
      <protection locked="0"/>
    </xf>
    <xf numFmtId="3" fontId="48" fillId="48" borderId="248" xfId="9" applyNumberFormat="1" applyFont="1" applyFill="1" applyBorder="1" applyAlignment="1" applyProtection="1">
      <alignment horizontal="right" vertical="center"/>
      <protection locked="0"/>
    </xf>
    <xf numFmtId="166" fontId="48" fillId="64" borderId="49" xfId="9" applyNumberFormat="1" applyFont="1" applyFill="1" applyBorder="1" applyAlignment="1" applyProtection="1">
      <alignment horizontal="center" vertical="center"/>
      <protection locked="0"/>
    </xf>
    <xf numFmtId="0" fontId="48" fillId="16" borderId="249" xfId="6" applyFont="1" applyFill="1" applyBorder="1" applyAlignment="1" applyProtection="1">
      <alignment horizontal="right" vertical="center"/>
      <protection locked="0"/>
    </xf>
    <xf numFmtId="9" fontId="48" fillId="63" borderId="23" xfId="6" applyNumberFormat="1" applyFont="1" applyFill="1" applyAlignment="1">
      <alignment horizontal="center" vertical="center"/>
    </xf>
    <xf numFmtId="0" fontId="318" fillId="63" borderId="23" xfId="6" applyFont="1" applyFill="1" applyProtection="1">
      <protection locked="0"/>
    </xf>
    <xf numFmtId="3" fontId="48" fillId="67" borderId="49" xfId="6" applyNumberFormat="1" applyFont="1" applyFill="1" applyBorder="1" applyAlignment="1" applyProtection="1">
      <alignment horizontal="right" vertical="center"/>
      <protection locked="0"/>
    </xf>
    <xf numFmtId="166" fontId="48" fillId="14" borderId="242" xfId="6" applyNumberFormat="1" applyFont="1" applyFill="1" applyBorder="1" applyAlignment="1" applyProtection="1">
      <alignment horizontal="right" vertical="center"/>
      <protection locked="0"/>
    </xf>
    <xf numFmtId="0" fontId="48" fillId="14" borderId="249" xfId="6" applyFont="1" applyFill="1" applyBorder="1" applyAlignment="1" applyProtection="1">
      <alignment horizontal="right" vertical="center"/>
      <protection locked="0"/>
    </xf>
    <xf numFmtId="0" fontId="48" fillId="16" borderId="51" xfId="6" applyFont="1" applyFill="1" applyBorder="1" applyAlignment="1">
      <alignment horizontal="left" vertical="center"/>
    </xf>
    <xf numFmtId="10" fontId="48" fillId="16" borderId="49" xfId="6" applyNumberFormat="1" applyFont="1" applyFill="1" applyBorder="1" applyAlignment="1">
      <alignment horizontal="center" vertical="center"/>
    </xf>
    <xf numFmtId="0" fontId="319" fillId="63" borderId="23" xfId="6" applyFont="1" applyFill="1" applyProtection="1">
      <protection locked="0"/>
    </xf>
    <xf numFmtId="0" fontId="48" fillId="14" borderId="239" xfId="6" applyFont="1" applyFill="1" applyBorder="1" applyAlignment="1" applyProtection="1">
      <alignment horizontal="right" vertical="center"/>
      <protection locked="0"/>
    </xf>
    <xf numFmtId="0" fontId="48" fillId="63" borderId="23" xfId="6" applyFont="1" applyFill="1" applyAlignment="1">
      <alignment horizontal="left" vertical="center"/>
    </xf>
    <xf numFmtId="10" fontId="49" fillId="16" borderId="49" xfId="6" applyNumberFormat="1" applyFont="1" applyFill="1" applyBorder="1" applyAlignment="1">
      <alignment horizontal="center" vertical="center"/>
    </xf>
    <xf numFmtId="9" fontId="49" fillId="14" borderId="23" xfId="6" applyNumberFormat="1" applyFont="1" applyFill="1" applyAlignment="1" applyProtection="1">
      <alignment horizontal="center" vertical="center"/>
      <protection locked="0"/>
    </xf>
    <xf numFmtId="0" fontId="320" fillId="63" borderId="23" xfId="6" applyFont="1" applyFill="1" applyProtection="1">
      <protection locked="0"/>
    </xf>
    <xf numFmtId="0" fontId="48" fillId="16" borderId="250" xfId="6" applyFont="1" applyFill="1" applyBorder="1" applyAlignment="1" applyProtection="1">
      <alignment horizontal="right" vertical="center"/>
      <protection locked="0"/>
    </xf>
    <xf numFmtId="0" fontId="48" fillId="14" borderId="251" xfId="6" applyFont="1" applyFill="1" applyBorder="1" applyAlignment="1">
      <alignment vertical="center"/>
    </xf>
    <xf numFmtId="3" fontId="48" fillId="65" borderId="252" xfId="6" applyNumberFormat="1" applyFont="1" applyFill="1" applyBorder="1" applyAlignment="1" applyProtection="1">
      <alignment horizontal="right" vertical="center"/>
      <protection locked="0"/>
    </xf>
    <xf numFmtId="3" fontId="48" fillId="66" borderId="252" xfId="6" applyNumberFormat="1" applyFont="1" applyFill="1" applyBorder="1" applyAlignment="1" applyProtection="1">
      <alignment horizontal="right" vertical="center"/>
      <protection locked="0"/>
    </xf>
    <xf numFmtId="3" fontId="48" fillId="48" borderId="252" xfId="6" applyNumberFormat="1" applyFont="1" applyFill="1" applyBorder="1" applyAlignment="1" applyProtection="1">
      <alignment horizontal="right" vertical="center"/>
      <protection locked="0"/>
    </xf>
    <xf numFmtId="3" fontId="48" fillId="48" borderId="253" xfId="9" applyNumberFormat="1" applyFont="1" applyFill="1" applyBorder="1" applyAlignment="1" applyProtection="1">
      <alignment horizontal="right" vertical="center"/>
      <protection locked="0"/>
    </xf>
    <xf numFmtId="166" fontId="48" fillId="64" borderId="252" xfId="9" applyNumberFormat="1" applyFont="1" applyFill="1" applyBorder="1" applyAlignment="1" applyProtection="1">
      <alignment horizontal="center" vertical="center"/>
      <protection locked="0"/>
    </xf>
    <xf numFmtId="0" fontId="62" fillId="16" borderId="235" xfId="6" applyFont="1" applyFill="1" applyBorder="1" applyAlignment="1">
      <alignment vertical="center"/>
    </xf>
    <xf numFmtId="0" fontId="42" fillId="16" borderId="236" xfId="6" applyFont="1" applyFill="1" applyBorder="1" applyAlignment="1" applyProtection="1">
      <alignment vertical="center"/>
      <protection locked="0"/>
    </xf>
    <xf numFmtId="0" fontId="42" fillId="16" borderId="237" xfId="6" applyFont="1" applyFill="1" applyBorder="1" applyAlignment="1" applyProtection="1">
      <alignment vertical="center"/>
      <protection locked="0"/>
    </xf>
    <xf numFmtId="0" fontId="42" fillId="39" borderId="239" xfId="6" applyFont="1" applyFill="1" applyBorder="1" applyAlignment="1" applyProtection="1">
      <alignment vertical="center"/>
      <protection locked="0"/>
    </xf>
    <xf numFmtId="0" fontId="62" fillId="16" borderId="238" xfId="6" applyFont="1" applyFill="1" applyBorder="1" applyAlignment="1">
      <alignment vertical="center"/>
    </xf>
    <xf numFmtId="0" fontId="42" fillId="16" borderId="23" xfId="6" applyFont="1" applyFill="1" applyAlignment="1" applyProtection="1">
      <alignment vertical="center"/>
      <protection locked="0"/>
    </xf>
    <xf numFmtId="0" fontId="42" fillId="39" borderId="49" xfId="6" applyFont="1" applyFill="1" applyBorder="1" applyAlignment="1">
      <alignment horizontal="center" vertical="center" wrapText="1"/>
    </xf>
    <xf numFmtId="0" fontId="42" fillId="39" borderId="23" xfId="6" applyFont="1" applyFill="1" applyAlignment="1">
      <alignment vertical="center"/>
    </xf>
    <xf numFmtId="165" fontId="42" fillId="39" borderId="49" xfId="6" applyNumberFormat="1" applyFont="1" applyFill="1" applyBorder="1" applyAlignment="1">
      <alignment horizontal="center" vertical="center"/>
    </xf>
    <xf numFmtId="165" fontId="42" fillId="39" borderId="23" xfId="6" applyNumberFormat="1" applyFont="1" applyFill="1" applyAlignment="1" applyProtection="1">
      <alignment horizontal="center" vertical="center"/>
      <protection locked="0"/>
    </xf>
    <xf numFmtId="166" fontId="42" fillId="39" borderId="49" xfId="9" applyNumberFormat="1" applyFont="1" applyFill="1" applyBorder="1" applyAlignment="1" applyProtection="1">
      <alignment horizontal="center" vertical="center"/>
    </xf>
    <xf numFmtId="166" fontId="42" fillId="39" borderId="23" xfId="9" applyNumberFormat="1" applyFont="1" applyFill="1" applyBorder="1" applyAlignment="1" applyProtection="1">
      <alignment horizontal="center" vertical="center"/>
      <protection locked="0"/>
    </xf>
    <xf numFmtId="0" fontId="42" fillId="39" borderId="242" xfId="6" applyFont="1" applyFill="1" applyBorder="1" applyAlignment="1" applyProtection="1">
      <alignment vertical="center"/>
      <protection locked="0"/>
    </xf>
    <xf numFmtId="0" fontId="321" fillId="15" borderId="23" xfId="6" applyFont="1" applyFill="1" applyAlignment="1" applyProtection="1">
      <alignment vertical="center"/>
      <protection locked="0"/>
    </xf>
    <xf numFmtId="0" fontId="322" fillId="63" borderId="23" xfId="6" applyFont="1" applyFill="1" applyProtection="1">
      <protection locked="0"/>
    </xf>
    <xf numFmtId="0" fontId="323" fillId="63" borderId="23" xfId="6" applyFont="1" applyFill="1" applyProtection="1">
      <protection locked="0"/>
    </xf>
    <xf numFmtId="0" fontId="324" fillId="63" borderId="23" xfId="6" applyFont="1" applyFill="1"/>
    <xf numFmtId="0" fontId="49" fillId="63" borderId="23" xfId="6" applyFont="1" applyFill="1" applyProtection="1">
      <protection locked="0"/>
    </xf>
    <xf numFmtId="0" fontId="49" fillId="63" borderId="23" xfId="6" applyFont="1" applyFill="1" applyAlignment="1" applyProtection="1">
      <alignment vertical="center"/>
      <protection locked="0"/>
    </xf>
    <xf numFmtId="0" fontId="33" fillId="63" borderId="23" xfId="6" applyFill="1" applyAlignment="1" applyProtection="1">
      <alignment vertical="center"/>
      <protection locked="0"/>
    </xf>
    <xf numFmtId="0" fontId="49" fillId="16" borderId="49" xfId="6" applyFont="1" applyFill="1" applyBorder="1" applyAlignment="1">
      <alignment horizontal="center" vertical="center" wrapText="1"/>
    </xf>
    <xf numFmtId="0" fontId="325" fillId="63" borderId="23" xfId="6" applyFont="1" applyFill="1" applyProtection="1">
      <protection locked="0"/>
    </xf>
    <xf numFmtId="0" fontId="48" fillId="63" borderId="147" xfId="6" applyFont="1" applyFill="1" applyBorder="1" applyAlignment="1" applyProtection="1">
      <alignment vertical="center"/>
      <protection locked="0"/>
    </xf>
    <xf numFmtId="0" fontId="49" fillId="63" borderId="147" xfId="6" applyFont="1" applyFill="1" applyBorder="1" applyAlignment="1">
      <alignment horizontal="center" vertical="center"/>
    </xf>
    <xf numFmtId="0" fontId="300" fillId="63" borderId="23" xfId="6" applyFont="1" applyFill="1" applyAlignment="1" applyProtection="1">
      <alignment vertical="center"/>
      <protection locked="0"/>
    </xf>
    <xf numFmtId="0" fontId="325" fillId="63" borderId="23" xfId="6" applyFont="1" applyFill="1" applyAlignment="1" applyProtection="1">
      <alignment horizontal="center"/>
      <protection locked="0"/>
    </xf>
    <xf numFmtId="0" fontId="48" fillId="63" borderId="51" xfId="6" applyFont="1" applyFill="1" applyBorder="1" applyAlignment="1">
      <alignment horizontal="left" vertical="center"/>
    </xf>
    <xf numFmtId="166" fontId="48" fillId="63" borderId="23" xfId="6" applyNumberFormat="1" applyFont="1" applyFill="1" applyAlignment="1" applyProtection="1">
      <alignment horizontal="center" vertical="center"/>
      <protection locked="0"/>
    </xf>
    <xf numFmtId="0" fontId="48" fillId="63" borderId="234" xfId="6" applyFont="1" applyFill="1" applyBorder="1" applyAlignment="1">
      <alignment vertical="center"/>
    </xf>
    <xf numFmtId="0" fontId="52" fillId="63" borderId="147" xfId="6" applyFont="1" applyFill="1" applyBorder="1" applyAlignment="1" applyProtection="1">
      <alignment vertical="center"/>
      <protection locked="0"/>
    </xf>
    <xf numFmtId="0" fontId="48" fillId="63" borderId="233" xfId="6" applyFont="1" applyFill="1" applyBorder="1" applyAlignment="1" applyProtection="1">
      <alignment vertical="center"/>
      <protection locked="0"/>
    </xf>
    <xf numFmtId="166" fontId="48" fillId="23" borderId="232" xfId="6" applyNumberFormat="1" applyFont="1" applyFill="1" applyBorder="1" applyAlignment="1" applyProtection="1">
      <alignment horizontal="center" vertical="center"/>
      <protection locked="0"/>
    </xf>
    <xf numFmtId="0" fontId="48" fillId="63" borderId="55" xfId="6" applyFont="1" applyFill="1" applyBorder="1" applyAlignment="1">
      <alignment horizontal="center" vertical="center" wrapText="1"/>
    </xf>
    <xf numFmtId="0" fontId="52" fillId="63" borderId="23" xfId="6" applyFont="1" applyFill="1" applyAlignment="1" applyProtection="1">
      <alignment vertical="center"/>
      <protection locked="0"/>
    </xf>
    <xf numFmtId="166" fontId="48" fillId="0" borderId="232" xfId="6" applyNumberFormat="1" applyFont="1" applyBorder="1" applyAlignment="1" applyProtection="1">
      <alignment horizontal="center" vertical="center"/>
      <protection locked="0"/>
    </xf>
    <xf numFmtId="0" fontId="327" fillId="63" borderId="23" xfId="6" applyFont="1" applyFill="1" applyProtection="1">
      <protection locked="0"/>
    </xf>
    <xf numFmtId="0" fontId="50" fillId="63" borderId="231" xfId="6" applyFont="1" applyFill="1" applyBorder="1" applyAlignment="1" applyProtection="1">
      <alignment vertical="center"/>
      <protection locked="0"/>
    </xf>
    <xf numFmtId="0" fontId="108" fillId="14" borderId="23" xfId="6" applyFont="1" applyFill="1" applyAlignment="1">
      <alignment vertical="center"/>
    </xf>
    <xf numFmtId="0" fontId="108" fillId="14" borderId="23" xfId="6" applyFont="1" applyFill="1" applyAlignment="1" applyProtection="1">
      <alignment vertical="center"/>
      <protection locked="0"/>
    </xf>
    <xf numFmtId="0" fontId="328" fillId="14" borderId="23" xfId="6" applyFont="1" applyFill="1" applyAlignment="1" applyProtection="1">
      <alignment horizontal="right" vertical="center"/>
      <protection locked="0"/>
    </xf>
    <xf numFmtId="0" fontId="329" fillId="63" borderId="23" xfId="6" applyFont="1" applyFill="1" applyProtection="1">
      <protection locked="0"/>
    </xf>
    <xf numFmtId="0" fontId="48" fillId="0" borderId="49" xfId="6" applyFont="1" applyBorder="1" applyAlignment="1">
      <alignment vertical="center"/>
    </xf>
    <xf numFmtId="0" fontId="108" fillId="14" borderId="49" xfId="6" applyFont="1" applyFill="1" applyBorder="1" applyAlignment="1" applyProtection="1">
      <alignment vertical="center"/>
      <protection locked="0"/>
    </xf>
    <xf numFmtId="0" fontId="328" fillId="14" borderId="49" xfId="6" applyFont="1" applyFill="1" applyBorder="1" applyAlignment="1" applyProtection="1">
      <alignment horizontal="right" vertical="center"/>
      <protection locked="0"/>
    </xf>
    <xf numFmtId="0" fontId="330" fillId="63" borderId="23" xfId="6" applyFont="1" applyFill="1"/>
    <xf numFmtId="0" fontId="48" fillId="0" borderId="231" xfId="6" applyFont="1" applyBorder="1" applyAlignment="1" applyProtection="1">
      <alignment vertical="center"/>
      <protection locked="0"/>
    </xf>
    <xf numFmtId="0" fontId="48" fillId="0" borderId="52" xfId="6" applyFont="1" applyBorder="1" applyAlignment="1" applyProtection="1">
      <alignment vertical="center"/>
      <protection locked="0"/>
    </xf>
    <xf numFmtId="0" fontId="325" fillId="63" borderId="23" xfId="6" applyFont="1" applyFill="1"/>
    <xf numFmtId="0" fontId="49" fillId="63" borderId="248" xfId="6" applyFont="1" applyFill="1" applyBorder="1" applyAlignment="1">
      <alignment vertical="center"/>
    </xf>
    <xf numFmtId="0" fontId="48" fillId="63" borderId="146" xfId="6" applyFont="1" applyFill="1" applyBorder="1" applyAlignment="1" applyProtection="1">
      <alignment vertical="center"/>
      <protection locked="0"/>
    </xf>
    <xf numFmtId="0" fontId="48" fillId="63" borderId="254" xfId="6" applyFont="1" applyFill="1" applyBorder="1" applyAlignment="1" applyProtection="1">
      <alignment vertical="center"/>
      <protection locked="0"/>
    </xf>
    <xf numFmtId="166" fontId="48" fillId="23" borderId="243" xfId="6" applyNumberFormat="1" applyFont="1" applyFill="1" applyBorder="1" applyAlignment="1" applyProtection="1">
      <alignment horizontal="center" vertical="center"/>
      <protection locked="0"/>
    </xf>
    <xf numFmtId="0" fontId="48" fillId="16" borderId="51" xfId="6" applyFont="1" applyFill="1" applyBorder="1" applyAlignment="1">
      <alignment horizontal="left"/>
    </xf>
    <xf numFmtId="0" fontId="48" fillId="16" borderId="231" xfId="6" applyFont="1" applyFill="1" applyBorder="1" applyProtection="1">
      <protection locked="0"/>
    </xf>
    <xf numFmtId="0" fontId="48" fillId="16" borderId="52" xfId="6" applyFont="1" applyFill="1" applyBorder="1" applyProtection="1">
      <protection locked="0"/>
    </xf>
    <xf numFmtId="10" fontId="48" fillId="16" borderId="49" xfId="6" applyNumberFormat="1" applyFont="1" applyFill="1" applyBorder="1" applyAlignment="1">
      <alignment horizontal="center"/>
    </xf>
    <xf numFmtId="10" fontId="48" fillId="14" borderId="243" xfId="6" applyNumberFormat="1" applyFont="1" applyFill="1" applyBorder="1" applyAlignment="1" applyProtection="1">
      <alignment horizontal="center"/>
      <protection locked="0"/>
    </xf>
    <xf numFmtId="0" fontId="308" fillId="63" borderId="23" xfId="6" applyFont="1" applyFill="1" applyProtection="1">
      <protection locked="0"/>
    </xf>
    <xf numFmtId="0" fontId="47" fillId="16" borderId="23" xfId="6" applyFont="1" applyFill="1" applyAlignment="1" applyProtection="1">
      <alignment vertical="center"/>
      <protection locked="0"/>
    </xf>
    <xf numFmtId="0" fontId="71" fillId="16" borderId="23" xfId="6" applyFont="1" applyFill="1" applyAlignment="1" applyProtection="1">
      <alignment vertical="center"/>
      <protection locked="0"/>
    </xf>
    <xf numFmtId="0" fontId="48" fillId="14" borderId="23" xfId="6" applyFont="1" applyFill="1" applyProtection="1">
      <protection locked="0"/>
    </xf>
    <xf numFmtId="0" fontId="48" fillId="63" borderId="23" xfId="6" applyFont="1" applyFill="1" applyAlignment="1">
      <alignment vertical="top"/>
    </xf>
    <xf numFmtId="0" fontId="49" fillId="63" borderId="233" xfId="6" applyFont="1" applyFill="1" applyBorder="1" applyAlignment="1" applyProtection="1">
      <alignment horizontal="center" vertical="center"/>
      <protection locked="0"/>
    </xf>
    <xf numFmtId="0" fontId="48" fillId="63" borderId="234" xfId="6" applyFont="1" applyFill="1" applyBorder="1" applyAlignment="1" applyProtection="1">
      <alignment horizontal="center" vertical="center"/>
      <protection locked="0"/>
    </xf>
    <xf numFmtId="9" fontId="48" fillId="63" borderId="49" xfId="6" applyNumberFormat="1" applyFont="1" applyFill="1" applyBorder="1" applyAlignment="1">
      <alignment horizontal="center" vertical="center"/>
    </xf>
    <xf numFmtId="9" fontId="48" fillId="63" borderId="23" xfId="6" applyNumberFormat="1" applyFont="1" applyFill="1" applyAlignment="1" applyProtection="1">
      <alignment horizontal="center"/>
      <protection locked="0"/>
    </xf>
    <xf numFmtId="9" fontId="48" fillId="23" borderId="49" xfId="6" applyNumberFormat="1" applyFont="1" applyFill="1" applyBorder="1" applyAlignment="1" applyProtection="1">
      <alignment horizontal="center"/>
      <protection locked="0"/>
    </xf>
    <xf numFmtId="9" fontId="48" fillId="63" borderId="23" xfId="6" applyNumberFormat="1" applyFont="1" applyFill="1" applyProtection="1">
      <protection locked="0"/>
    </xf>
    <xf numFmtId="0" fontId="327" fillId="63" borderId="23" xfId="6" quotePrefix="1" applyFont="1" applyFill="1" applyProtection="1">
      <protection locked="0"/>
    </xf>
    <xf numFmtId="0" fontId="331" fillId="63" borderId="23" xfId="6" applyFont="1" applyFill="1" applyProtection="1">
      <protection locked="0"/>
    </xf>
    <xf numFmtId="9" fontId="48" fillId="16" borderId="231" xfId="6" applyNumberFormat="1" applyFont="1" applyFill="1" applyBorder="1" applyProtection="1">
      <protection locked="0"/>
    </xf>
    <xf numFmtId="9" fontId="48" fillId="16" borderId="52" xfId="6" applyNumberFormat="1" applyFont="1" applyFill="1" applyBorder="1" applyAlignment="1" applyProtection="1">
      <alignment horizontal="center"/>
      <protection locked="0"/>
    </xf>
    <xf numFmtId="0" fontId="48" fillId="63" borderId="147" xfId="6" applyFont="1" applyFill="1" applyBorder="1" applyProtection="1">
      <protection locked="0"/>
    </xf>
    <xf numFmtId="0" fontId="58" fillId="0" borderId="51" xfId="6" applyFont="1" applyBorder="1" applyAlignment="1">
      <alignment horizontal="left" vertical="center"/>
    </xf>
    <xf numFmtId="9" fontId="48" fillId="63" borderId="231" xfId="6" applyNumberFormat="1" applyFont="1" applyFill="1" applyBorder="1" applyAlignment="1" applyProtection="1">
      <alignment vertical="center"/>
      <protection locked="0"/>
    </xf>
    <xf numFmtId="9" fontId="48" fillId="63" borderId="52" xfId="6" applyNumberFormat="1" applyFont="1" applyFill="1" applyBorder="1" applyAlignment="1" applyProtection="1">
      <alignment vertical="center"/>
      <protection locked="0"/>
    </xf>
    <xf numFmtId="0" fontId="58" fillId="63" borderId="51" xfId="6" applyFont="1" applyFill="1" applyBorder="1" applyAlignment="1">
      <alignment horizontal="left" vertical="center"/>
    </xf>
    <xf numFmtId="9" fontId="48" fillId="23" borderId="232" xfId="6" applyNumberFormat="1" applyFont="1" applyFill="1" applyBorder="1" applyAlignment="1" applyProtection="1">
      <alignment horizontal="center" vertical="center"/>
      <protection locked="0"/>
    </xf>
    <xf numFmtId="0" fontId="48" fillId="16" borderId="52" xfId="6" applyFont="1" applyFill="1" applyBorder="1" applyAlignment="1" applyProtection="1">
      <alignment vertical="center"/>
      <protection locked="0"/>
    </xf>
    <xf numFmtId="10" fontId="48" fillId="14" borderId="23" xfId="6" applyNumberFormat="1" applyFont="1" applyFill="1" applyAlignment="1" applyProtection="1">
      <alignment horizontal="center" vertical="center"/>
      <protection locked="0"/>
    </xf>
    <xf numFmtId="0" fontId="48" fillId="63" borderId="23" xfId="6" applyFont="1" applyFill="1" applyAlignment="1">
      <alignment horizontal="left"/>
    </xf>
    <xf numFmtId="10" fontId="48" fillId="63" borderId="23" xfId="6" applyNumberFormat="1" applyFont="1" applyFill="1" applyAlignment="1">
      <alignment horizontal="center"/>
    </xf>
    <xf numFmtId="10" fontId="48" fillId="63" borderId="23" xfId="6" applyNumberFormat="1" applyFont="1" applyFill="1" applyAlignment="1" applyProtection="1">
      <alignment horizontal="center"/>
      <protection locked="0"/>
    </xf>
    <xf numFmtId="0" fontId="48" fillId="0" borderId="23" xfId="6" applyFont="1" applyAlignment="1">
      <alignment vertical="top"/>
    </xf>
    <xf numFmtId="0" fontId="48" fillId="0" borderId="23" xfId="6" applyFont="1" applyAlignment="1" applyProtection="1">
      <alignment vertical="top"/>
      <protection locked="0"/>
    </xf>
    <xf numFmtId="0" fontId="48" fillId="63" borderId="23" xfId="6" applyFont="1" applyFill="1" applyAlignment="1" applyProtection="1">
      <alignment vertical="top"/>
      <protection locked="0"/>
    </xf>
    <xf numFmtId="0" fontId="33" fillId="63" borderId="23" xfId="6" applyFill="1" applyAlignment="1" applyProtection="1">
      <alignment vertical="top"/>
      <protection locked="0"/>
    </xf>
    <xf numFmtId="0" fontId="33" fillId="63" borderId="23" xfId="6" applyFill="1" applyAlignment="1">
      <alignment vertical="top"/>
    </xf>
    <xf numFmtId="0" fontId="48" fillId="0" borderId="231" xfId="6" applyFont="1" applyBorder="1" applyAlignment="1">
      <alignment vertical="center"/>
    </xf>
    <xf numFmtId="0" fontId="48" fillId="0" borderId="231" xfId="6" applyFont="1" applyBorder="1" applyAlignment="1">
      <alignment horizontal="right" vertical="center"/>
    </xf>
    <xf numFmtId="0" fontId="58" fillId="0" borderId="234" xfId="6" applyFont="1" applyBorder="1" applyAlignment="1">
      <alignment vertical="center"/>
    </xf>
    <xf numFmtId="9" fontId="48" fillId="0" borderId="147" xfId="6" applyNumberFormat="1" applyFont="1" applyBorder="1" applyAlignment="1">
      <alignment vertical="center"/>
    </xf>
    <xf numFmtId="9" fontId="48" fillId="0" borderId="49" xfId="6" applyNumberFormat="1" applyFont="1" applyBorder="1" applyAlignment="1" applyProtection="1">
      <alignment horizontal="center" vertical="center"/>
      <protection locked="0"/>
    </xf>
    <xf numFmtId="9" fontId="48" fillId="0" borderId="23" xfId="6" applyNumberFormat="1" applyFont="1" applyAlignment="1" applyProtection="1">
      <alignment horizontal="center" vertical="center"/>
      <protection locked="0"/>
    </xf>
    <xf numFmtId="0" fontId="48" fillId="0" borderId="23" xfId="6" applyFont="1" applyAlignment="1">
      <alignment horizontal="left"/>
    </xf>
    <xf numFmtId="0" fontId="99" fillId="16" borderId="23" xfId="6" applyFont="1" applyFill="1" applyAlignment="1">
      <alignment horizontal="left" vertical="center"/>
    </xf>
    <xf numFmtId="0" fontId="99" fillId="16" borderId="23" xfId="6" applyFont="1" applyFill="1" applyAlignment="1" applyProtection="1">
      <alignment vertical="center"/>
      <protection locked="0"/>
    </xf>
    <xf numFmtId="0" fontId="48" fillId="0" borderId="23" xfId="6" applyFont="1" applyAlignment="1">
      <alignment horizontal="left" vertical="center"/>
    </xf>
    <xf numFmtId="9" fontId="48" fillId="16" borderId="231" xfId="6" applyNumberFormat="1" applyFont="1" applyFill="1" applyBorder="1" applyAlignment="1" applyProtection="1">
      <alignment vertical="center"/>
      <protection locked="0"/>
    </xf>
    <xf numFmtId="9" fontId="48" fillId="16" borderId="52" xfId="6" applyNumberFormat="1" applyFont="1" applyFill="1" applyBorder="1" applyAlignment="1" applyProtection="1">
      <alignment horizontal="center" vertical="center"/>
      <protection locked="0"/>
    </xf>
    <xf numFmtId="0" fontId="58" fillId="0" borderId="51" xfId="6" applyFont="1" applyBorder="1" applyAlignment="1">
      <alignment vertical="center"/>
    </xf>
    <xf numFmtId="9" fontId="48" fillId="0" borderId="231" xfId="6" applyNumberFormat="1" applyFont="1" applyBorder="1" applyAlignment="1" applyProtection="1">
      <alignment vertical="center"/>
      <protection locked="0"/>
    </xf>
    <xf numFmtId="9" fontId="48" fillId="0" borderId="52" xfId="6" applyNumberFormat="1" applyFont="1" applyBorder="1" applyAlignment="1" applyProtection="1">
      <alignment vertical="center"/>
      <protection locked="0"/>
    </xf>
    <xf numFmtId="9" fontId="48" fillId="0" borderId="23" xfId="6" applyNumberFormat="1" applyFont="1" applyAlignment="1" applyProtection="1">
      <alignment horizontal="center"/>
      <protection locked="0"/>
    </xf>
    <xf numFmtId="0" fontId="33" fillId="63" borderId="23" xfId="6" applyFill="1" applyAlignment="1">
      <alignment vertical="center"/>
    </xf>
    <xf numFmtId="0" fontId="58" fillId="63" borderId="49" xfId="6" applyFont="1" applyFill="1" applyBorder="1" applyAlignment="1">
      <alignment horizontal="left" vertical="center"/>
    </xf>
    <xf numFmtId="0" fontId="322" fillId="63" borderId="23" xfId="6" applyFont="1" applyFill="1"/>
    <xf numFmtId="0" fontId="33" fillId="0" borderId="23" xfId="6" applyProtection="1">
      <protection locked="0"/>
    </xf>
    <xf numFmtId="0" fontId="33" fillId="0" borderId="23" xfId="6"/>
    <xf numFmtId="0" fontId="324" fillId="14" borderId="23" xfId="6" applyFont="1" applyFill="1" applyProtection="1">
      <protection locked="0"/>
    </xf>
    <xf numFmtId="0" fontId="333" fillId="14" borderId="23" xfId="6" applyFont="1" applyFill="1" applyProtection="1">
      <protection locked="0"/>
    </xf>
    <xf numFmtId="0" fontId="62" fillId="16" borderId="49" xfId="6" applyFont="1" applyFill="1" applyBorder="1"/>
    <xf numFmtId="3" fontId="42" fillId="16" borderId="49" xfId="6" applyNumberFormat="1" applyFont="1" applyFill="1" applyBorder="1" applyAlignment="1">
      <alignment horizontal="center"/>
    </xf>
    <xf numFmtId="3" fontId="33" fillId="63" borderId="23" xfId="6" applyNumberFormat="1" applyFill="1" applyProtection="1">
      <protection locked="0"/>
    </xf>
    <xf numFmtId="0" fontId="42" fillId="63" borderId="49" xfId="6" applyFont="1" applyFill="1" applyBorder="1" applyProtection="1">
      <protection locked="0"/>
    </xf>
    <xf numFmtId="1" fontId="42" fillId="63" borderId="49" xfId="6" applyNumberFormat="1" applyFont="1" applyFill="1" applyBorder="1" applyAlignment="1" applyProtection="1">
      <alignment horizontal="center"/>
      <protection locked="0"/>
    </xf>
    <xf numFmtId="1" fontId="33" fillId="63" borderId="23" xfId="6" applyNumberFormat="1" applyFill="1" applyProtection="1">
      <protection locked="0"/>
    </xf>
    <xf numFmtId="0" fontId="334" fillId="63" borderId="23" xfId="6" applyFont="1" applyFill="1" applyProtection="1">
      <protection locked="0"/>
    </xf>
    <xf numFmtId="0" fontId="64" fillId="63" borderId="49" xfId="6" applyFont="1" applyFill="1" applyBorder="1" applyAlignment="1">
      <alignment horizontal="center"/>
    </xf>
    <xf numFmtId="3" fontId="42" fillId="63" borderId="49" xfId="6" applyNumberFormat="1" applyFont="1" applyFill="1" applyBorder="1" applyAlignment="1" applyProtection="1">
      <alignment horizontal="center"/>
      <protection locked="0"/>
    </xf>
    <xf numFmtId="0" fontId="58" fillId="63" borderId="49" xfId="6" applyFont="1" applyFill="1" applyBorder="1" applyAlignment="1">
      <alignment horizontal="left"/>
    </xf>
    <xf numFmtId="3" fontId="42" fillId="63" borderId="49" xfId="6" applyNumberFormat="1" applyFont="1" applyFill="1" applyBorder="1" applyAlignment="1">
      <alignment horizontal="center"/>
    </xf>
    <xf numFmtId="0" fontId="337" fillId="63" borderId="23" xfId="6" applyFont="1" applyFill="1" applyProtection="1">
      <protection locked="0"/>
    </xf>
    <xf numFmtId="0" fontId="278" fillId="63" borderId="23" xfId="6" applyFont="1" applyFill="1" applyAlignment="1">
      <alignment horizontal="right" vertical="center"/>
    </xf>
    <xf numFmtId="3" fontId="338" fillId="64" borderId="49" xfId="6" applyNumberFormat="1" applyFont="1" applyFill="1" applyBorder="1" applyAlignment="1">
      <alignment horizontal="center" vertical="center"/>
    </xf>
    <xf numFmtId="9" fontId="338" fillId="63" borderId="23" xfId="9" applyFont="1" applyFill="1" applyAlignment="1" applyProtection="1">
      <alignment horizontal="left" vertical="center"/>
    </xf>
    <xf numFmtId="9" fontId="338" fillId="63" borderId="23" xfId="9" applyFont="1" applyFill="1" applyProtection="1"/>
    <xf numFmtId="3" fontId="338" fillId="69" borderId="49" xfId="6" applyNumberFormat="1" applyFont="1" applyFill="1" applyBorder="1" applyAlignment="1">
      <alignment horizontal="center" vertical="center"/>
    </xf>
    <xf numFmtId="0" fontId="339" fillId="63" borderId="23" xfId="6" applyFont="1" applyFill="1"/>
    <xf numFmtId="0" fontId="279" fillId="63" borderId="23" xfId="6" applyFont="1" applyFill="1" applyAlignment="1" applyProtection="1">
      <alignment vertical="center"/>
      <protection locked="0"/>
    </xf>
    <xf numFmtId="3" fontId="334" fillId="63" borderId="23" xfId="6" applyNumberFormat="1" applyFont="1" applyFill="1" applyAlignment="1" applyProtection="1">
      <alignment vertical="center"/>
      <protection locked="0"/>
    </xf>
    <xf numFmtId="0" fontId="334" fillId="63" borderId="23" xfId="6" applyFont="1" applyFill="1" applyAlignment="1" applyProtection="1">
      <alignment vertical="center"/>
      <protection locked="0"/>
    </xf>
    <xf numFmtId="3" fontId="334" fillId="63" borderId="23" xfId="6" applyNumberFormat="1" applyFont="1" applyFill="1" applyAlignment="1" applyProtection="1">
      <alignment horizontal="center" vertical="center"/>
      <protection locked="0"/>
    </xf>
    <xf numFmtId="0" fontId="279" fillId="63" borderId="23" xfId="6" applyFont="1" applyFill="1" applyProtection="1">
      <protection locked="0"/>
    </xf>
    <xf numFmtId="3" fontId="334" fillId="64" borderId="49" xfId="6" applyNumberFormat="1" applyFont="1" applyFill="1" applyBorder="1" applyAlignment="1">
      <alignment horizontal="center" vertical="center"/>
    </xf>
    <xf numFmtId="9" fontId="334" fillId="63" borderId="23" xfId="9" applyFont="1" applyFill="1" applyAlignment="1" applyProtection="1">
      <alignment horizontal="left" vertical="center"/>
    </xf>
    <xf numFmtId="9" fontId="334" fillId="63" borderId="23" xfId="9" applyFont="1" applyFill="1" applyProtection="1"/>
    <xf numFmtId="3" fontId="334" fillId="69" borderId="49" xfId="6" applyNumberFormat="1" applyFont="1" applyFill="1" applyBorder="1" applyAlignment="1">
      <alignment horizontal="center" vertical="center"/>
    </xf>
    <xf numFmtId="0" fontId="58" fillId="63" borderId="49" xfId="6" applyFont="1" applyFill="1" applyBorder="1" applyProtection="1">
      <protection locked="0"/>
    </xf>
    <xf numFmtId="0" fontId="62" fillId="16" borderId="49" xfId="6" applyFont="1" applyFill="1" applyBorder="1" applyAlignment="1">
      <alignment horizontal="left"/>
    </xf>
    <xf numFmtId="9" fontId="334" fillId="63" borderId="23" xfId="6" applyNumberFormat="1" applyFont="1" applyFill="1" applyProtection="1">
      <protection locked="0"/>
    </xf>
    <xf numFmtId="0" fontId="340" fillId="63" borderId="23" xfId="6" applyFont="1" applyFill="1" applyProtection="1">
      <protection locked="0"/>
    </xf>
    <xf numFmtId="0" fontId="58" fillId="63" borderId="55" xfId="6" applyFont="1" applyFill="1" applyBorder="1" applyAlignment="1">
      <alignment horizontal="left"/>
    </xf>
    <xf numFmtId="0" fontId="58" fillId="0" borderId="49" xfId="6" applyFont="1" applyBorder="1" applyAlignment="1">
      <alignment horizontal="left" wrapText="1"/>
    </xf>
    <xf numFmtId="3" fontId="42" fillId="63" borderId="52" xfId="6" applyNumberFormat="1" applyFont="1" applyFill="1" applyBorder="1" applyAlignment="1">
      <alignment horizontal="center"/>
    </xf>
    <xf numFmtId="0" fontId="60" fillId="16" borderId="23" xfId="6" applyFont="1" applyFill="1" applyAlignment="1" applyProtection="1">
      <alignment vertical="center"/>
      <protection locked="0"/>
    </xf>
    <xf numFmtId="0" fontId="341" fillId="63" borderId="23" xfId="6" applyFont="1" applyFill="1" applyProtection="1">
      <protection locked="0"/>
    </xf>
    <xf numFmtId="0" fontId="42" fillId="63" borderId="233" xfId="6" applyFont="1" applyFill="1" applyBorder="1" applyProtection="1">
      <protection locked="0"/>
    </xf>
    <xf numFmtId="3" fontId="62" fillId="16" borderId="49" xfId="6" applyNumberFormat="1" applyFont="1" applyFill="1" applyBorder="1" applyAlignment="1">
      <alignment horizontal="center" vertical="center"/>
    </xf>
    <xf numFmtId="0" fontId="62" fillId="16" borderId="49" xfId="6" applyFont="1" applyFill="1" applyBorder="1" applyAlignment="1">
      <alignment horizontal="center" vertical="center"/>
    </xf>
    <xf numFmtId="0" fontId="311" fillId="63" borderId="23" xfId="6" applyFont="1" applyFill="1" applyProtection="1">
      <protection locked="0"/>
    </xf>
    <xf numFmtId="0" fontId="62" fillId="16" borderId="49" xfId="6" applyFont="1" applyFill="1" applyBorder="1" applyAlignment="1">
      <alignment vertical="center"/>
    </xf>
    <xf numFmtId="3" fontId="42" fillId="63" borderId="49" xfId="6" applyNumberFormat="1" applyFont="1" applyFill="1" applyBorder="1" applyProtection="1">
      <protection locked="0"/>
    </xf>
    <xf numFmtId="0" fontId="42" fillId="63" borderId="49" xfId="6" applyFont="1" applyFill="1" applyBorder="1" applyAlignment="1" applyProtection="1">
      <alignment vertical="center"/>
      <protection locked="0"/>
    </xf>
    <xf numFmtId="0" fontId="42" fillId="63" borderId="49" xfId="6" applyFont="1" applyFill="1" applyBorder="1" applyAlignment="1" applyProtection="1">
      <alignment horizontal="center"/>
      <protection locked="0"/>
    </xf>
    <xf numFmtId="0" fontId="42" fillId="63" borderId="231" xfId="6" applyFont="1" applyFill="1" applyBorder="1" applyAlignment="1" applyProtection="1">
      <alignment vertical="center"/>
      <protection locked="0"/>
    </xf>
    <xf numFmtId="3" fontId="42" fillId="63" borderId="146" xfId="6" applyNumberFormat="1" applyFont="1" applyFill="1" applyBorder="1" applyAlignment="1" applyProtection="1">
      <alignment horizontal="center"/>
      <protection locked="0"/>
    </xf>
    <xf numFmtId="0" fontId="62" fillId="16" borderId="49" xfId="6" applyFont="1" applyFill="1" applyBorder="1" applyAlignment="1">
      <alignment horizontal="left" vertical="center"/>
    </xf>
    <xf numFmtId="3" fontId="42" fillId="63" borderId="234" xfId="6" applyNumberFormat="1" applyFont="1" applyFill="1" applyBorder="1" applyAlignment="1" applyProtection="1">
      <alignment horizontal="center"/>
      <protection locked="0"/>
    </xf>
    <xf numFmtId="3" fontId="42" fillId="63" borderId="147" xfId="6" applyNumberFormat="1" applyFont="1" applyFill="1" applyBorder="1" applyAlignment="1" applyProtection="1">
      <alignment horizontal="center"/>
      <protection locked="0"/>
    </xf>
    <xf numFmtId="0" fontId="342" fillId="63" borderId="23" xfId="6" applyFont="1" applyFill="1" applyAlignment="1" applyProtection="1">
      <alignment horizontal="right"/>
      <protection locked="0"/>
    </xf>
    <xf numFmtId="0" fontId="342" fillId="63" borderId="23" xfId="6" applyFont="1" applyFill="1" applyProtection="1">
      <protection locked="0"/>
    </xf>
    <xf numFmtId="0" fontId="40" fillId="16" borderId="51" xfId="6" applyFont="1" applyFill="1" applyBorder="1" applyAlignment="1" applyProtection="1">
      <alignment horizontal="center" vertical="center"/>
      <protection locked="0"/>
    </xf>
    <xf numFmtId="0" fontId="40" fillId="16" borderId="52" xfId="6" applyFont="1" applyFill="1" applyBorder="1" applyAlignment="1">
      <alignment horizontal="right" vertical="center"/>
    </xf>
    <xf numFmtId="0" fontId="40" fillId="16" borderId="49" xfId="6" applyFont="1" applyFill="1" applyBorder="1" applyAlignment="1">
      <alignment horizontal="center" vertical="center"/>
    </xf>
    <xf numFmtId="3" fontId="46" fillId="63" borderId="49" xfId="6" applyNumberFormat="1" applyFont="1" applyFill="1" applyBorder="1" applyAlignment="1">
      <alignment horizontal="center" vertical="center"/>
    </xf>
    <xf numFmtId="0" fontId="42" fillId="63" borderId="231" xfId="6" applyFont="1" applyFill="1" applyBorder="1" applyProtection="1">
      <protection locked="0"/>
    </xf>
    <xf numFmtId="3" fontId="42" fillId="63" borderId="231" xfId="6" applyNumberFormat="1" applyFont="1" applyFill="1" applyBorder="1" applyAlignment="1" applyProtection="1">
      <alignment horizontal="center"/>
      <protection locked="0"/>
    </xf>
    <xf numFmtId="3" fontId="62" fillId="16" borderId="49" xfId="6" applyNumberFormat="1" applyFont="1" applyFill="1" applyBorder="1" applyAlignment="1">
      <alignment horizontal="center"/>
    </xf>
    <xf numFmtId="3" fontId="342" fillId="63" borderId="23" xfId="6" applyNumberFormat="1" applyFont="1" applyFill="1" applyProtection="1">
      <protection locked="0"/>
    </xf>
    <xf numFmtId="0" fontId="60" fillId="16" borderId="23" xfId="6" applyFont="1" applyFill="1" applyAlignment="1">
      <alignment horizontal="left" vertical="center"/>
    </xf>
    <xf numFmtId="0" fontId="33" fillId="0" borderId="231" xfId="6" applyBorder="1"/>
    <xf numFmtId="0" fontId="324" fillId="63" borderId="23" xfId="6" applyFont="1" applyFill="1" applyProtection="1">
      <protection locked="0"/>
    </xf>
    <xf numFmtId="3" fontId="62" fillId="63" borderId="233" xfId="6" applyNumberFormat="1" applyFont="1" applyFill="1" applyBorder="1" applyAlignment="1" applyProtection="1">
      <alignment horizontal="right"/>
      <protection locked="0"/>
    </xf>
    <xf numFmtId="0" fontId="42" fillId="63" borderId="49" xfId="6" applyFont="1" applyFill="1" applyBorder="1"/>
    <xf numFmtId="0" fontId="42" fillId="63" borderId="233" xfId="6" applyFont="1" applyFill="1" applyBorder="1" applyAlignment="1" applyProtection="1">
      <alignment horizontal="right"/>
      <protection locked="0"/>
    </xf>
    <xf numFmtId="0" fontId="42" fillId="63" borderId="49" xfId="6" applyFont="1" applyFill="1" applyBorder="1" applyAlignment="1">
      <alignment horizontal="right"/>
    </xf>
    <xf numFmtId="0" fontId="58" fillId="63" borderId="49" xfId="6" applyFont="1" applyFill="1" applyBorder="1" applyAlignment="1">
      <alignment horizontal="right"/>
    </xf>
    <xf numFmtId="3" fontId="42" fillId="63" borderId="49" xfId="6" applyNumberFormat="1" applyFont="1" applyFill="1" applyBorder="1" applyAlignment="1">
      <alignment horizontal="center" vertical="center"/>
    </xf>
    <xf numFmtId="3" fontId="58" fillId="63" borderId="49" xfId="6" applyNumberFormat="1" applyFont="1" applyFill="1" applyBorder="1" applyAlignment="1">
      <alignment horizontal="right" vertical="center"/>
    </xf>
    <xf numFmtId="3" fontId="42" fillId="63" borderId="49" xfId="6" applyNumberFormat="1" applyFont="1" applyFill="1" applyBorder="1" applyAlignment="1" applyProtection="1">
      <alignment horizontal="center" vertical="center"/>
      <protection locked="0"/>
    </xf>
    <xf numFmtId="3" fontId="58" fillId="63" borderId="49" xfId="6" applyNumberFormat="1" applyFont="1" applyFill="1" applyBorder="1" applyAlignment="1">
      <alignment horizontal="right"/>
    </xf>
    <xf numFmtId="0" fontId="58" fillId="63" borderId="49" xfId="6" applyFont="1" applyFill="1" applyBorder="1" applyAlignment="1">
      <alignment horizontal="right" vertical="center"/>
    </xf>
    <xf numFmtId="0" fontId="62" fillId="63" borderId="49" xfId="6" applyFont="1" applyFill="1" applyBorder="1" applyAlignment="1">
      <alignment horizontal="right"/>
    </xf>
    <xf numFmtId="0" fontId="61" fillId="14" borderId="23" xfId="6" applyFont="1" applyFill="1" applyAlignment="1" applyProtection="1">
      <alignment vertical="center"/>
      <protection locked="0"/>
    </xf>
    <xf numFmtId="0" fontId="49" fillId="16" borderId="49" xfId="6" applyFont="1" applyFill="1" applyBorder="1" applyAlignment="1">
      <alignment vertical="center"/>
    </xf>
    <xf numFmtId="3" fontId="48" fillId="16" borderId="49" xfId="6" applyNumberFormat="1" applyFont="1" applyFill="1" applyBorder="1" applyAlignment="1">
      <alignment horizontal="center" vertical="center"/>
    </xf>
    <xf numFmtId="3" fontId="48" fillId="63" borderId="231" xfId="6" applyNumberFormat="1" applyFont="1" applyFill="1" applyBorder="1" applyAlignment="1" applyProtection="1">
      <alignment horizontal="center" vertical="center"/>
      <protection locked="0"/>
    </xf>
    <xf numFmtId="0" fontId="343" fillId="63" borderId="23" xfId="6" applyFont="1" applyFill="1" applyProtection="1">
      <protection locked="0"/>
    </xf>
    <xf numFmtId="0" fontId="132" fillId="63" borderId="49" xfId="6" applyFont="1" applyFill="1" applyBorder="1" applyAlignment="1">
      <alignment horizontal="left" vertical="center"/>
    </xf>
    <xf numFmtId="3" fontId="48" fillId="63" borderId="49" xfId="6" applyNumberFormat="1" applyFont="1" applyFill="1" applyBorder="1" applyAlignment="1" applyProtection="1">
      <alignment horizontal="center" vertical="center"/>
      <protection locked="0"/>
    </xf>
    <xf numFmtId="3" fontId="48" fillId="63" borderId="49" xfId="6" applyNumberFormat="1" applyFont="1" applyFill="1" applyBorder="1" applyAlignment="1">
      <alignment horizontal="center" vertical="center"/>
    </xf>
    <xf numFmtId="0" fontId="42" fillId="63" borderId="23" xfId="6" applyFont="1" applyFill="1" applyAlignment="1" applyProtection="1">
      <alignment vertical="center"/>
      <protection locked="0"/>
    </xf>
    <xf numFmtId="3" fontId="62" fillId="64" borderId="49" xfId="6" applyNumberFormat="1" applyFont="1" applyFill="1" applyBorder="1" applyAlignment="1">
      <alignment horizontal="center" vertical="center"/>
    </xf>
    <xf numFmtId="9" fontId="62" fillId="63" borderId="23" xfId="9" applyFont="1" applyFill="1" applyAlignment="1" applyProtection="1">
      <alignment horizontal="left" vertical="center"/>
    </xf>
    <xf numFmtId="9" fontId="62" fillId="63" borderId="23" xfId="9" applyFont="1" applyFill="1" applyAlignment="1" applyProtection="1">
      <alignment vertical="center"/>
    </xf>
    <xf numFmtId="3" fontId="62" fillId="69" borderId="49" xfId="6" applyNumberFormat="1" applyFont="1" applyFill="1" applyBorder="1" applyAlignment="1">
      <alignment horizontal="center" vertical="center"/>
    </xf>
    <xf numFmtId="0" fontId="58" fillId="63" borderId="23" xfId="6" applyFont="1" applyFill="1" applyAlignment="1">
      <alignment vertical="center"/>
    </xf>
    <xf numFmtId="0" fontId="132" fillId="63" borderId="23" xfId="6" applyFont="1" applyFill="1" applyAlignment="1" applyProtection="1">
      <alignment vertical="center"/>
      <protection locked="0"/>
    </xf>
    <xf numFmtId="3" fontId="42" fillId="63" borderId="23" xfId="6" applyNumberFormat="1" applyFont="1" applyFill="1" applyAlignment="1" applyProtection="1">
      <alignment horizontal="center" vertical="center"/>
      <protection locked="0"/>
    </xf>
    <xf numFmtId="3" fontId="42" fillId="64" borderId="49" xfId="6" applyNumberFormat="1" applyFont="1" applyFill="1" applyBorder="1" applyAlignment="1">
      <alignment horizontal="center" vertical="center"/>
    </xf>
    <xf numFmtId="9" fontId="42" fillId="63" borderId="23" xfId="9" applyFont="1" applyFill="1" applyAlignment="1" applyProtection="1">
      <alignment horizontal="left" vertical="center"/>
    </xf>
    <xf numFmtId="9" fontId="42" fillId="63" borderId="23" xfId="9" applyFont="1" applyFill="1" applyAlignment="1" applyProtection="1">
      <alignment vertical="center"/>
    </xf>
    <xf numFmtId="3" fontId="42" fillId="69" borderId="49" xfId="6" applyNumberFormat="1" applyFont="1" applyFill="1" applyBorder="1" applyAlignment="1">
      <alignment horizontal="center" vertical="center"/>
    </xf>
    <xf numFmtId="9" fontId="42" fillId="63" borderId="23" xfId="6" applyNumberFormat="1" applyFont="1" applyFill="1" applyAlignment="1" applyProtection="1">
      <alignment vertical="center"/>
      <protection locked="0"/>
    </xf>
    <xf numFmtId="0" fontId="58" fillId="63" borderId="55" xfId="6" applyFont="1" applyFill="1" applyBorder="1" applyAlignment="1">
      <alignment horizontal="left" vertical="center"/>
    </xf>
    <xf numFmtId="0" fontId="58" fillId="0" borderId="49" xfId="6" applyFont="1" applyBorder="1" applyAlignment="1">
      <alignment horizontal="left" vertical="center" wrapText="1"/>
    </xf>
    <xf numFmtId="3" fontId="48" fillId="63" borderId="52" xfId="6" applyNumberFormat="1" applyFont="1" applyFill="1" applyBorder="1" applyAlignment="1">
      <alignment horizontal="center" vertical="center"/>
    </xf>
    <xf numFmtId="0" fontId="25" fillId="16" borderId="23" xfId="6" applyFont="1" applyFill="1" applyAlignment="1" applyProtection="1">
      <alignment vertical="center"/>
      <protection locked="0"/>
    </xf>
    <xf numFmtId="0" fontId="35" fillId="16" borderId="23" xfId="6" applyFont="1" applyFill="1" applyAlignment="1" applyProtection="1">
      <alignment vertical="center"/>
      <protection locked="0"/>
    </xf>
    <xf numFmtId="0" fontId="128" fillId="63" borderId="233" xfId="6" applyFont="1" applyFill="1" applyBorder="1" applyAlignment="1" applyProtection="1">
      <alignment vertical="center"/>
      <protection locked="0"/>
    </xf>
    <xf numFmtId="3" fontId="49" fillId="16" borderId="49" xfId="6" applyNumberFormat="1" applyFont="1" applyFill="1" applyBorder="1" applyAlignment="1">
      <alignment horizontal="center" vertical="center"/>
    </xf>
    <xf numFmtId="0" fontId="94" fillId="63" borderId="23" xfId="6" applyFont="1" applyFill="1" applyProtection="1">
      <protection locked="0"/>
    </xf>
    <xf numFmtId="0" fontId="344" fillId="63" borderId="23" xfId="6" applyFont="1" applyFill="1" applyProtection="1">
      <protection locked="0"/>
    </xf>
    <xf numFmtId="0" fontId="129" fillId="16" borderId="49" xfId="6" applyFont="1" applyFill="1" applyBorder="1" applyAlignment="1">
      <alignment vertical="center"/>
    </xf>
    <xf numFmtId="3" fontId="128" fillId="63" borderId="49" xfId="6" applyNumberFormat="1" applyFont="1" applyFill="1" applyBorder="1" applyAlignment="1" applyProtection="1">
      <alignment horizontal="center" vertical="center"/>
      <protection locked="0"/>
    </xf>
    <xf numFmtId="0" fontId="128" fillId="63" borderId="49" xfId="6" applyFont="1" applyFill="1" applyBorder="1" applyAlignment="1" applyProtection="1">
      <alignment horizontal="center" vertical="center"/>
      <protection locked="0"/>
    </xf>
    <xf numFmtId="0" fontId="128" fillId="63" borderId="49" xfId="6" applyFont="1" applyFill="1" applyBorder="1" applyAlignment="1" applyProtection="1">
      <alignment vertical="center"/>
      <protection locked="0"/>
    </xf>
    <xf numFmtId="3" fontId="128" fillId="63" borderId="49" xfId="6" applyNumberFormat="1" applyFont="1" applyFill="1" applyBorder="1" applyAlignment="1">
      <alignment horizontal="center" vertical="center"/>
    </xf>
    <xf numFmtId="0" fontId="128" fillId="63" borderId="231" xfId="6" applyFont="1" applyFill="1" applyBorder="1" applyAlignment="1" applyProtection="1">
      <alignment vertical="center"/>
      <protection locked="0"/>
    </xf>
    <xf numFmtId="3" fontId="128" fillId="63" borderId="146" xfId="6" applyNumberFormat="1" applyFont="1" applyFill="1" applyBorder="1" applyAlignment="1" applyProtection="1">
      <alignment horizontal="center" vertical="center"/>
      <protection locked="0"/>
    </xf>
    <xf numFmtId="0" fontId="128" fillId="63" borderId="146" xfId="6" applyFont="1" applyFill="1" applyBorder="1" applyAlignment="1" applyProtection="1">
      <alignment horizontal="center" vertical="center"/>
      <protection locked="0"/>
    </xf>
    <xf numFmtId="0" fontId="129" fillId="16" borderId="49" xfId="6" applyFont="1" applyFill="1" applyBorder="1" applyAlignment="1">
      <alignment horizontal="left" vertical="center"/>
    </xf>
    <xf numFmtId="3" fontId="128" fillId="63" borderId="234" xfId="6" applyNumberFormat="1" applyFont="1" applyFill="1" applyBorder="1" applyAlignment="1" applyProtection="1">
      <alignment horizontal="center" vertical="center"/>
      <protection locked="0"/>
    </xf>
    <xf numFmtId="3" fontId="128" fillId="63" borderId="147" xfId="6" applyNumberFormat="1" applyFont="1" applyFill="1" applyBorder="1" applyAlignment="1" applyProtection="1">
      <alignment horizontal="center" vertical="center"/>
      <protection locked="0"/>
    </xf>
    <xf numFmtId="0" fontId="345" fillId="63" borderId="23" xfId="6" applyFont="1" applyFill="1" applyAlignment="1" applyProtection="1">
      <alignment horizontal="right"/>
      <protection locked="0"/>
    </xf>
    <xf numFmtId="0" fontId="345" fillId="63" borderId="23" xfId="6" applyFont="1" applyFill="1" applyProtection="1">
      <protection locked="0"/>
    </xf>
    <xf numFmtId="0" fontId="94" fillId="14" borderId="49" xfId="6" applyFont="1" applyFill="1" applyBorder="1" applyAlignment="1" applyProtection="1">
      <alignment horizontal="center" vertical="center"/>
      <protection locked="0"/>
    </xf>
    <xf numFmtId="0" fontId="118" fillId="16" borderId="49" xfId="6" applyFont="1" applyFill="1" applyBorder="1" applyAlignment="1">
      <alignment horizontal="right" vertical="center"/>
    </xf>
    <xf numFmtId="0" fontId="118" fillId="16" borderId="49" xfId="6" applyFont="1" applyFill="1" applyBorder="1" applyAlignment="1">
      <alignment horizontal="center" vertical="center"/>
    </xf>
    <xf numFmtId="0" fontId="103" fillId="63" borderId="49" xfId="6" applyFont="1" applyFill="1" applyBorder="1" applyAlignment="1">
      <alignment vertical="center"/>
    </xf>
    <xf numFmtId="3" fontId="94" fillId="63" borderId="49" xfId="6" applyNumberFormat="1" applyFont="1" applyFill="1" applyBorder="1" applyAlignment="1">
      <alignment horizontal="center" vertical="center"/>
    </xf>
    <xf numFmtId="3" fontId="128" fillId="63" borderId="231" xfId="6" applyNumberFormat="1" applyFont="1" applyFill="1" applyBorder="1" applyAlignment="1" applyProtection="1">
      <alignment horizontal="center" vertical="center"/>
      <protection locked="0"/>
    </xf>
    <xf numFmtId="0" fontId="128" fillId="63" borderId="231" xfId="6" applyFont="1" applyFill="1" applyBorder="1" applyAlignment="1" applyProtection="1">
      <alignment horizontal="center" vertical="center"/>
      <protection locked="0"/>
    </xf>
    <xf numFmtId="3" fontId="129" fillId="16" borderId="49" xfId="6" applyNumberFormat="1" applyFont="1" applyFill="1" applyBorder="1" applyAlignment="1">
      <alignment horizontal="center" vertical="center"/>
    </xf>
    <xf numFmtId="3" fontId="345" fillId="63" borderId="23" xfId="6" applyNumberFormat="1" applyFont="1" applyFill="1" applyProtection="1">
      <protection locked="0"/>
    </xf>
    <xf numFmtId="0" fontId="61" fillId="16" borderId="23" xfId="6" applyFont="1" applyFill="1" applyAlignment="1" applyProtection="1">
      <alignment horizontal="left" vertical="center"/>
      <protection locked="0"/>
    </xf>
    <xf numFmtId="0" fontId="61" fillId="16" borderId="23" xfId="6" applyFont="1" applyFill="1"/>
    <xf numFmtId="0" fontId="62" fillId="16" borderId="49" xfId="6" applyFont="1" applyFill="1" applyBorder="1" applyAlignment="1">
      <alignment horizontal="center"/>
    </xf>
    <xf numFmtId="0" fontId="42" fillId="14" borderId="49" xfId="6" applyFont="1" applyFill="1" applyBorder="1" applyAlignment="1" applyProtection="1">
      <alignment horizontal="right"/>
      <protection locked="0"/>
    </xf>
    <xf numFmtId="0" fontId="62" fillId="16" borderId="49" xfId="6" applyFont="1" applyFill="1" applyBorder="1" applyAlignment="1">
      <alignment horizontal="right"/>
    </xf>
    <xf numFmtId="0" fontId="33" fillId="63" borderId="23" xfId="6" applyFill="1" applyAlignment="1">
      <alignment horizontal="right"/>
    </xf>
    <xf numFmtId="0" fontId="49" fillId="63" borderId="49" xfId="6" applyFont="1" applyFill="1" applyBorder="1" applyAlignment="1">
      <alignment horizontal="right" vertical="center"/>
    </xf>
    <xf numFmtId="0" fontId="49" fillId="63" borderId="49" xfId="6" applyFont="1" applyFill="1" applyBorder="1" applyAlignment="1">
      <alignment horizontal="right"/>
    </xf>
    <xf numFmtId="0" fontId="62" fillId="63" borderId="49" xfId="6" applyFont="1" applyFill="1" applyBorder="1" applyAlignment="1">
      <alignment horizontal="right" vertical="center"/>
    </xf>
    <xf numFmtId="0" fontId="25" fillId="16" borderId="23" xfId="6" applyFont="1" applyFill="1" applyAlignment="1">
      <alignment horizontal="left" vertical="center"/>
    </xf>
    <xf numFmtId="0" fontId="35" fillId="16" borderId="23" xfId="6" applyFont="1" applyFill="1" applyAlignment="1" applyProtection="1">
      <alignment horizontal="left" vertical="center"/>
      <protection locked="0"/>
    </xf>
    <xf numFmtId="3" fontId="42" fillId="16" borderId="49" xfId="6" applyNumberFormat="1" applyFont="1" applyFill="1" applyBorder="1" applyAlignment="1">
      <alignment horizontal="center" vertical="center"/>
    </xf>
    <xf numFmtId="0" fontId="132" fillId="63" borderId="231" xfId="6" applyFont="1" applyFill="1" applyBorder="1" applyAlignment="1" applyProtection="1">
      <alignment horizontal="left" vertical="center"/>
      <protection locked="0"/>
    </xf>
    <xf numFmtId="9" fontId="62" fillId="63" borderId="23" xfId="9" applyFont="1" applyFill="1" applyAlignment="1" applyProtection="1">
      <alignment horizontal="left"/>
    </xf>
    <xf numFmtId="9" fontId="42" fillId="63" borderId="23" xfId="9" applyFont="1" applyFill="1" applyAlignment="1" applyProtection="1">
      <alignment horizontal="left"/>
    </xf>
    <xf numFmtId="3" fontId="42" fillId="63" borderId="231" xfId="6" applyNumberFormat="1" applyFont="1" applyFill="1" applyBorder="1" applyAlignment="1" applyProtection="1">
      <alignment horizontal="center" vertical="center"/>
      <protection locked="0"/>
    </xf>
    <xf numFmtId="0" fontId="42" fillId="63" borderId="23" xfId="6" applyFont="1" applyFill="1" applyAlignment="1" applyProtection="1">
      <alignment horizontal="center" vertical="center"/>
      <protection locked="0"/>
    </xf>
    <xf numFmtId="9" fontId="42" fillId="63" borderId="23" xfId="6" applyNumberFormat="1" applyFont="1" applyFill="1" applyProtection="1">
      <protection locked="0"/>
    </xf>
    <xf numFmtId="0" fontId="42" fillId="63" borderId="23" xfId="6" applyFont="1" applyFill="1" applyAlignment="1" applyProtection="1">
      <alignment horizontal="center"/>
      <protection locked="0"/>
    </xf>
    <xf numFmtId="3" fontId="42" fillId="63" borderId="52" xfId="6" applyNumberFormat="1" applyFont="1" applyFill="1" applyBorder="1" applyAlignment="1">
      <alignment horizontal="center" vertical="center"/>
    </xf>
    <xf numFmtId="3" fontId="49" fillId="16" borderId="49" xfId="6" applyNumberFormat="1" applyFont="1" applyFill="1" applyBorder="1" applyAlignment="1">
      <alignment vertical="center"/>
    </xf>
    <xf numFmtId="0" fontId="311" fillId="63" borderId="23" xfId="6" applyFont="1" applyFill="1" applyAlignment="1" applyProtection="1">
      <alignment vertical="center"/>
      <protection locked="0"/>
    </xf>
    <xf numFmtId="0" fontId="48" fillId="63" borderId="49" xfId="6" applyFont="1" applyFill="1" applyBorder="1" applyAlignment="1" applyProtection="1">
      <alignment horizontal="center" vertical="center"/>
      <protection locked="0"/>
    </xf>
    <xf numFmtId="0" fontId="48" fillId="63" borderId="49" xfId="6" applyFont="1" applyFill="1" applyBorder="1" applyAlignment="1" applyProtection="1">
      <alignment vertical="center"/>
      <protection locked="0"/>
    </xf>
    <xf numFmtId="3" fontId="48" fillId="63" borderId="146" xfId="6" applyNumberFormat="1" applyFont="1" applyFill="1" applyBorder="1" applyAlignment="1" applyProtection="1">
      <alignment horizontal="center" vertical="center"/>
      <protection locked="0"/>
    </xf>
    <xf numFmtId="3" fontId="48" fillId="63" borderId="234" xfId="6" applyNumberFormat="1" applyFont="1" applyFill="1" applyBorder="1" applyAlignment="1" applyProtection="1">
      <alignment horizontal="center" vertical="center"/>
      <protection locked="0"/>
    </xf>
    <xf numFmtId="3" fontId="48" fillId="63" borderId="147" xfId="6" applyNumberFormat="1" applyFont="1" applyFill="1" applyBorder="1" applyAlignment="1" applyProtection="1">
      <alignment horizontal="center" vertical="center"/>
      <protection locked="0"/>
    </xf>
    <xf numFmtId="0" fontId="346" fillId="63" borderId="23" xfId="6" applyFont="1" applyFill="1" applyAlignment="1" applyProtection="1">
      <alignment horizontal="right" vertical="center"/>
      <protection locked="0"/>
    </xf>
    <xf numFmtId="0" fontId="346" fillId="63" borderId="23" xfId="6" applyFont="1" applyFill="1" applyAlignment="1" applyProtection="1">
      <alignment vertical="center"/>
      <protection locked="0"/>
    </xf>
    <xf numFmtId="0" fontId="62" fillId="14" borderId="49" xfId="6" applyFont="1" applyFill="1" applyBorder="1" applyAlignment="1" applyProtection="1">
      <alignment vertical="center"/>
      <protection locked="0"/>
    </xf>
    <xf numFmtId="0" fontId="62" fillId="16" borderId="49" xfId="6" applyFont="1" applyFill="1" applyBorder="1" applyAlignment="1">
      <alignment horizontal="right" vertical="center"/>
    </xf>
    <xf numFmtId="0" fontId="342" fillId="63" borderId="23" xfId="6" applyFont="1" applyFill="1" applyAlignment="1" applyProtection="1">
      <alignment horizontal="right" vertical="center"/>
      <protection locked="0"/>
    </xf>
    <xf numFmtId="3" fontId="342" fillId="63" borderId="23" xfId="6" applyNumberFormat="1" applyFont="1" applyFill="1" applyAlignment="1" applyProtection="1">
      <alignment vertical="center"/>
      <protection locked="0"/>
    </xf>
    <xf numFmtId="0" fontId="312" fillId="16" borderId="23" xfId="6" applyFont="1" applyFill="1" applyAlignment="1" applyProtection="1">
      <alignment vertical="center"/>
      <protection locked="0"/>
    </xf>
    <xf numFmtId="0" fontId="33" fillId="14" borderId="23" xfId="6" applyFill="1" applyAlignment="1" applyProtection="1">
      <alignment vertical="center"/>
      <protection locked="0"/>
    </xf>
    <xf numFmtId="0" fontId="312" fillId="16" borderId="23" xfId="6" applyFont="1" applyFill="1" applyAlignment="1">
      <alignment vertical="center"/>
    </xf>
    <xf numFmtId="0" fontId="33" fillId="14" borderId="23" xfId="6" applyFill="1" applyAlignment="1">
      <alignment vertical="center"/>
    </xf>
    <xf numFmtId="0" fontId="33" fillId="0" borderId="23" xfId="6" applyAlignment="1">
      <alignment vertical="center"/>
    </xf>
    <xf numFmtId="3" fontId="62" fillId="63" borderId="233" xfId="6" applyNumberFormat="1" applyFont="1" applyFill="1" applyBorder="1" applyAlignment="1" applyProtection="1">
      <alignment horizontal="right" vertical="center"/>
      <protection locked="0"/>
    </xf>
    <xf numFmtId="0" fontId="42" fillId="63" borderId="49" xfId="6" applyFont="1" applyFill="1" applyBorder="1" applyAlignment="1" applyProtection="1">
      <alignment horizontal="right" vertical="center"/>
      <protection locked="0"/>
    </xf>
    <xf numFmtId="0" fontId="33" fillId="63" borderId="23" xfId="6" applyFill="1" applyAlignment="1">
      <alignment horizontal="right" wrapText="1"/>
    </xf>
    <xf numFmtId="0" fontId="33" fillId="63" borderId="23" xfId="6" applyFill="1" applyAlignment="1" applyProtection="1">
      <alignment horizontal="right"/>
      <protection locked="0"/>
    </xf>
    <xf numFmtId="0" fontId="33" fillId="63" borderId="23" xfId="6" applyFill="1" applyAlignment="1" applyProtection="1">
      <alignment horizontal="center" vertical="center"/>
      <protection locked="0"/>
    </xf>
    <xf numFmtId="0" fontId="99" fillId="16" borderId="23" xfId="6" applyFont="1" applyFill="1" applyAlignment="1" applyProtection="1">
      <alignment horizontal="center" vertical="center"/>
      <protection locked="0"/>
    </xf>
    <xf numFmtId="0" fontId="324" fillId="0" borderId="23" xfId="6" applyFont="1" applyProtection="1">
      <protection locked="0"/>
    </xf>
    <xf numFmtId="0" fontId="333" fillId="63" borderId="23" xfId="6" applyFont="1" applyFill="1" applyProtection="1">
      <protection locked="0"/>
    </xf>
    <xf numFmtId="1" fontId="42" fillId="63" borderId="231" xfId="6" applyNumberFormat="1" applyFont="1" applyFill="1" applyBorder="1" applyAlignment="1" applyProtection="1">
      <alignment horizontal="center"/>
      <protection locked="0"/>
    </xf>
    <xf numFmtId="0" fontId="132" fillId="63" borderId="49" xfId="6" applyFont="1" applyFill="1" applyBorder="1" applyAlignment="1">
      <alignment horizontal="left"/>
    </xf>
    <xf numFmtId="0" fontId="347" fillId="63" borderId="23" xfId="6" applyFont="1" applyFill="1" applyProtection="1">
      <protection locked="0"/>
    </xf>
    <xf numFmtId="3" fontId="42" fillId="23" borderId="49" xfId="6" applyNumberFormat="1" applyFont="1" applyFill="1" applyBorder="1" applyAlignment="1" applyProtection="1">
      <alignment horizontal="center" vertical="center"/>
      <protection locked="0"/>
    </xf>
    <xf numFmtId="0" fontId="62" fillId="16" borderId="23" xfId="6" applyFont="1" applyFill="1" applyAlignment="1" applyProtection="1">
      <alignment horizontal="left" vertical="center"/>
      <protection locked="0"/>
    </xf>
    <xf numFmtId="0" fontId="42" fillId="16" borderId="23" xfId="6" applyFont="1" applyFill="1" applyAlignment="1" applyProtection="1">
      <alignment horizontal="left" vertical="center"/>
      <protection locked="0"/>
    </xf>
    <xf numFmtId="3" fontId="62" fillId="63" borderId="49" xfId="6" applyNumberFormat="1" applyFont="1" applyFill="1" applyBorder="1" applyAlignment="1" applyProtection="1">
      <alignment horizontal="right" vertical="center"/>
      <protection locked="0"/>
    </xf>
    <xf numFmtId="0" fontId="42" fillId="63" borderId="51" xfId="6" applyFont="1" applyFill="1" applyBorder="1" applyAlignment="1" applyProtection="1">
      <alignment vertical="center"/>
      <protection locked="0"/>
    </xf>
    <xf numFmtId="0" fontId="42" fillId="63" borderId="52" xfId="6" applyFont="1" applyFill="1" applyBorder="1" applyAlignment="1" applyProtection="1">
      <alignment horizontal="right" vertical="center"/>
      <protection locked="0"/>
    </xf>
    <xf numFmtId="3" fontId="58" fillId="63" borderId="52" xfId="6" applyNumberFormat="1" applyFont="1" applyFill="1" applyBorder="1" applyAlignment="1">
      <alignment horizontal="right" vertical="center"/>
    </xf>
    <xf numFmtId="3" fontId="48" fillId="63" borderId="49" xfId="6" applyNumberFormat="1" applyFont="1" applyFill="1" applyBorder="1" applyAlignment="1">
      <alignment vertical="center"/>
    </xf>
    <xf numFmtId="0" fontId="42" fillId="63" borderId="51" xfId="6" applyFont="1" applyFill="1" applyBorder="1" applyAlignment="1">
      <alignment horizontal="right" vertical="center"/>
    </xf>
    <xf numFmtId="0" fontId="62" fillId="63" borderId="52" xfId="6" applyFont="1" applyFill="1" applyBorder="1" applyAlignment="1">
      <alignment horizontal="right" vertical="center"/>
    </xf>
    <xf numFmtId="3" fontId="48" fillId="63" borderId="49" xfId="6" applyNumberFormat="1" applyFont="1" applyFill="1" applyBorder="1" applyAlignment="1">
      <alignment horizontal="right" vertical="center"/>
    </xf>
    <xf numFmtId="3" fontId="48" fillId="63" borderId="49" xfId="6" applyNumberFormat="1" applyFont="1" applyFill="1" applyBorder="1" applyAlignment="1">
      <alignment horizontal="left" vertical="center"/>
    </xf>
    <xf numFmtId="0" fontId="62" fillId="16" borderId="49" xfId="6" applyFont="1" applyFill="1" applyBorder="1" applyAlignment="1">
      <alignment horizontal="center" vertical="center" wrapText="1"/>
    </xf>
    <xf numFmtId="0" fontId="42" fillId="63" borderId="231" xfId="6" applyFont="1" applyFill="1" applyBorder="1" applyAlignment="1" applyProtection="1">
      <alignment horizontal="center"/>
      <protection locked="0"/>
    </xf>
    <xf numFmtId="0" fontId="64" fillId="63" borderId="49" xfId="6" applyFont="1" applyFill="1" applyBorder="1" applyAlignment="1">
      <alignment horizontal="left" vertical="center"/>
    </xf>
    <xf numFmtId="166" fontId="42" fillId="63" borderId="231" xfId="9" applyNumberFormat="1" applyFont="1" applyFill="1" applyBorder="1" applyAlignment="1" applyProtection="1">
      <alignment horizontal="center" vertical="center"/>
      <protection locked="0"/>
    </xf>
    <xf numFmtId="0" fontId="348" fillId="63" borderId="23" xfId="6" applyFont="1" applyFill="1" applyProtection="1">
      <protection locked="0"/>
    </xf>
    <xf numFmtId="0" fontId="25" fillId="16" borderId="23" xfId="6" applyFont="1" applyFill="1" applyProtection="1">
      <protection locked="0"/>
    </xf>
    <xf numFmtId="0" fontId="42" fillId="63" borderId="147" xfId="6" applyFont="1" applyFill="1" applyBorder="1" applyAlignment="1" applyProtection="1">
      <alignment vertical="center"/>
      <protection locked="0"/>
    </xf>
    <xf numFmtId="0" fontId="42" fillId="63" borderId="233" xfId="6" applyFont="1" applyFill="1" applyBorder="1" applyAlignment="1" applyProtection="1">
      <alignment vertical="center"/>
      <protection locked="0"/>
    </xf>
    <xf numFmtId="0" fontId="62" fillId="63" borderId="49" xfId="6" applyFont="1" applyFill="1" applyBorder="1" applyAlignment="1">
      <alignment vertical="center"/>
    </xf>
    <xf numFmtId="0" fontId="62" fillId="63" borderId="23" xfId="6" applyFont="1" applyFill="1" applyProtection="1">
      <protection locked="0"/>
    </xf>
    <xf numFmtId="0" fontId="132" fillId="63" borderId="49" xfId="6" applyFont="1" applyFill="1" applyBorder="1" applyAlignment="1" applyProtection="1">
      <alignment vertical="center"/>
      <protection locked="0"/>
    </xf>
    <xf numFmtId="0" fontId="349" fillId="15" borderId="23" xfId="6" applyFont="1" applyFill="1" applyAlignment="1">
      <alignment vertical="center"/>
    </xf>
    <xf numFmtId="0" fontId="350" fillId="15" borderId="23" xfId="6" applyFont="1" applyFill="1" applyAlignment="1" applyProtection="1">
      <alignment vertical="center"/>
      <protection locked="0"/>
    </xf>
    <xf numFmtId="0" fontId="349" fillId="15" borderId="23" xfId="6" applyFont="1" applyFill="1" applyAlignment="1" applyProtection="1">
      <alignment vertical="center"/>
      <protection locked="0"/>
    </xf>
    <xf numFmtId="0" fontId="350" fillId="15" borderId="23" xfId="6" applyFont="1" applyFill="1" applyAlignment="1">
      <alignment vertical="center"/>
    </xf>
    <xf numFmtId="0" fontId="327" fillId="70" borderId="23" xfId="6" applyFont="1" applyFill="1" applyProtection="1">
      <protection locked="0"/>
    </xf>
    <xf numFmtId="0" fontId="42" fillId="14" borderId="23" xfId="6" applyFont="1" applyFill="1" applyAlignment="1" applyProtection="1">
      <alignment vertical="center"/>
      <protection locked="0"/>
    </xf>
    <xf numFmtId="0" fontId="33" fillId="70" borderId="23" xfId="6" applyFill="1" applyProtection="1">
      <protection locked="0"/>
    </xf>
    <xf numFmtId="0" fontId="48" fillId="15" borderId="23" xfId="6" applyFont="1" applyFill="1" applyAlignment="1">
      <alignment horizontal="right" vertical="center"/>
    </xf>
    <xf numFmtId="0" fontId="48" fillId="15" borderId="23" xfId="6" applyFont="1" applyFill="1" applyAlignment="1">
      <alignment vertical="center"/>
    </xf>
    <xf numFmtId="0" fontId="33" fillId="70" borderId="23" xfId="6" applyFill="1"/>
    <xf numFmtId="0" fontId="49" fillId="14" borderId="23" xfId="6" applyFont="1" applyFill="1" applyAlignment="1" applyProtection="1">
      <alignment vertical="center"/>
      <protection locked="0"/>
    </xf>
    <xf numFmtId="0" fontId="48" fillId="14" borderId="23" xfId="6" applyFont="1" applyFill="1" applyAlignment="1">
      <alignment horizontal="right" vertical="center"/>
    </xf>
    <xf numFmtId="0" fontId="48" fillId="14" borderId="23" xfId="6" applyFont="1" applyFill="1" applyAlignment="1">
      <alignment horizontal="left" vertical="center"/>
    </xf>
    <xf numFmtId="0" fontId="48" fillId="0" borderId="231" xfId="6" applyFont="1" applyBorder="1" applyAlignment="1">
      <alignment horizontal="center" vertical="center"/>
    </xf>
    <xf numFmtId="165" fontId="48" fillId="0" borderId="231" xfId="6" applyNumberFormat="1" applyFont="1" applyBorder="1" applyAlignment="1">
      <alignment horizontal="center" vertical="center"/>
    </xf>
    <xf numFmtId="180" fontId="48" fillId="0" borderId="231" xfId="6" applyNumberFormat="1" applyFont="1" applyBorder="1" applyAlignment="1" applyProtection="1">
      <alignment vertical="center"/>
      <protection locked="0"/>
    </xf>
    <xf numFmtId="0" fontId="48" fillId="0" borderId="52" xfId="6" applyFont="1" applyBorder="1" applyAlignment="1">
      <alignment vertical="center"/>
    </xf>
    <xf numFmtId="0" fontId="327" fillId="70" borderId="23" xfId="6" applyFont="1" applyFill="1"/>
    <xf numFmtId="0" fontId="49" fillId="0" borderId="49" xfId="6" applyFont="1" applyBorder="1" applyAlignment="1">
      <alignment horizontal="center" vertical="center"/>
    </xf>
    <xf numFmtId="0" fontId="48" fillId="0" borderId="49" xfId="6" applyFont="1" applyBorder="1" applyAlignment="1">
      <alignment horizontal="center" vertical="center"/>
    </xf>
    <xf numFmtId="0" fontId="48" fillId="0" borderId="49" xfId="6" applyFont="1" applyBorder="1" applyAlignment="1" applyProtection="1">
      <alignment vertical="center"/>
      <protection locked="0"/>
    </xf>
    <xf numFmtId="0" fontId="58" fillId="0" borderId="49" xfId="6" applyFont="1" applyBorder="1" applyAlignment="1">
      <alignment horizontal="left" vertical="center"/>
    </xf>
    <xf numFmtId="3" fontId="48" fillId="0" borderId="49" xfId="6" applyNumberFormat="1" applyFont="1" applyBorder="1" applyAlignment="1">
      <alignment horizontal="center" vertical="center"/>
    </xf>
    <xf numFmtId="0" fontId="58" fillId="0" borderId="51" xfId="6" applyFont="1" applyBorder="1" applyAlignment="1" applyProtection="1">
      <alignment vertical="center"/>
      <protection locked="0"/>
    </xf>
    <xf numFmtId="0" fontId="48" fillId="0" borderId="231" xfId="6" applyFont="1" applyBorder="1" applyAlignment="1" applyProtection="1">
      <alignment horizontal="center" vertical="center"/>
      <protection locked="0"/>
    </xf>
    <xf numFmtId="0" fontId="58" fillId="0" borderId="49" xfId="6" applyFont="1" applyBorder="1" applyAlignment="1">
      <alignment vertical="center"/>
    </xf>
    <xf numFmtId="1" fontId="48" fillId="0" borderId="49" xfId="6" applyNumberFormat="1" applyFont="1" applyBorder="1" applyAlignment="1" applyProtection="1">
      <alignment horizontal="center" vertical="center"/>
      <protection locked="0"/>
    </xf>
    <xf numFmtId="0" fontId="350" fillId="15" borderId="23" xfId="6" applyFont="1" applyFill="1" applyAlignment="1" applyProtection="1">
      <alignment horizontal="left" vertical="center"/>
      <protection locked="0"/>
    </xf>
    <xf numFmtId="0" fontId="350" fillId="15" borderId="23" xfId="6" applyFont="1" applyFill="1" applyAlignment="1" applyProtection="1">
      <alignment horizontal="center" vertical="center"/>
      <protection locked="0"/>
    </xf>
    <xf numFmtId="1" fontId="49" fillId="16" borderId="49" xfId="6" applyNumberFormat="1" applyFont="1" applyFill="1" applyBorder="1" applyAlignment="1">
      <alignment horizontal="center" vertical="center"/>
    </xf>
    <xf numFmtId="0" fontId="48" fillId="14" borderId="147" xfId="6" applyFont="1" applyFill="1" applyBorder="1" applyAlignment="1" applyProtection="1">
      <alignment horizontal="left" vertical="center"/>
      <protection locked="0"/>
    </xf>
    <xf numFmtId="0" fontId="48" fillId="14" borderId="147" xfId="6" applyFont="1" applyFill="1" applyBorder="1" applyAlignment="1">
      <alignment vertical="center"/>
    </xf>
    <xf numFmtId="0" fontId="48" fillId="14" borderId="147" xfId="6" applyFont="1" applyFill="1" applyBorder="1" applyAlignment="1" applyProtection="1">
      <alignment vertical="center"/>
      <protection locked="0"/>
    </xf>
    <xf numFmtId="0" fontId="49" fillId="16" borderId="49" xfId="6" applyFont="1" applyFill="1" applyBorder="1" applyAlignment="1" applyProtection="1">
      <alignment horizontal="center" vertical="center"/>
      <protection locked="0"/>
    </xf>
    <xf numFmtId="0" fontId="47" fillId="16" borderId="49" xfId="6" applyFont="1" applyFill="1" applyBorder="1" applyAlignment="1">
      <alignment horizontal="left" vertical="center"/>
    </xf>
    <xf numFmtId="0" fontId="48" fillId="14" borderId="55" xfId="6" applyFont="1" applyFill="1" applyBorder="1" applyAlignment="1">
      <alignment vertical="center"/>
    </xf>
    <xf numFmtId="0" fontId="58" fillId="14" borderId="51" xfId="6" applyFont="1" applyFill="1" applyBorder="1" applyAlignment="1">
      <alignment vertical="center"/>
    </xf>
    <xf numFmtId="0" fontId="48" fillId="14" borderId="231" xfId="6" applyFont="1" applyFill="1" applyBorder="1" applyAlignment="1" applyProtection="1">
      <alignment vertical="center"/>
      <protection locked="0"/>
    </xf>
    <xf numFmtId="166" fontId="48" fillId="0" borderId="49" xfId="6" applyNumberFormat="1" applyFont="1" applyBorder="1" applyAlignment="1">
      <alignment horizontal="center" vertical="center"/>
    </xf>
    <xf numFmtId="9" fontId="48" fillId="0" borderId="49" xfId="6" applyNumberFormat="1" applyFont="1" applyBorder="1" applyAlignment="1">
      <alignment horizontal="center" vertical="center"/>
    </xf>
    <xf numFmtId="0" fontId="48" fillId="14" borderId="255" xfId="6" applyFont="1" applyFill="1" applyBorder="1" applyAlignment="1" applyProtection="1">
      <alignment horizontal="left" vertical="center"/>
      <protection locked="0"/>
    </xf>
    <xf numFmtId="9" fontId="48" fillId="14" borderId="23" xfId="6" applyNumberFormat="1" applyFont="1" applyFill="1" applyAlignment="1" applyProtection="1">
      <alignment vertical="center"/>
      <protection locked="0"/>
    </xf>
    <xf numFmtId="0" fontId="48" fillId="16" borderId="49" xfId="6" applyFont="1" applyFill="1" applyBorder="1" applyAlignment="1">
      <alignment horizontal="right" vertical="center"/>
    </xf>
    <xf numFmtId="0" fontId="48" fillId="0" borderId="49" xfId="6" applyFont="1" applyBorder="1" applyAlignment="1" applyProtection="1">
      <alignment horizontal="center" vertical="center"/>
      <protection locked="0"/>
    </xf>
    <xf numFmtId="0" fontId="49" fillId="14" borderId="23" xfId="6" applyFont="1" applyFill="1" applyAlignment="1">
      <alignment vertical="center"/>
    </xf>
    <xf numFmtId="0" fontId="48" fillId="14" borderId="52" xfId="6" applyFont="1" applyFill="1" applyBorder="1" applyAlignment="1" applyProtection="1">
      <alignment vertical="center"/>
      <protection locked="0"/>
    </xf>
    <xf numFmtId="0" fontId="132" fillId="14" borderId="51" xfId="6" applyFont="1" applyFill="1" applyBorder="1" applyAlignment="1">
      <alignment vertical="center"/>
    </xf>
    <xf numFmtId="166" fontId="48" fillId="0" borderId="49" xfId="9" applyNumberFormat="1" applyFont="1" applyBorder="1" applyAlignment="1" applyProtection="1">
      <alignment horizontal="center" vertical="center"/>
    </xf>
    <xf numFmtId="0" fontId="49" fillId="14" borderId="231" xfId="6" applyFont="1" applyFill="1" applyBorder="1" applyAlignment="1" applyProtection="1">
      <alignment vertical="center"/>
      <protection locked="0"/>
    </xf>
    <xf numFmtId="0" fontId="49" fillId="14" borderId="52" xfId="6" applyFont="1" applyFill="1" applyBorder="1" applyAlignment="1" applyProtection="1">
      <alignment vertical="center"/>
      <protection locked="0"/>
    </xf>
    <xf numFmtId="165" fontId="49" fillId="0" borderId="49" xfId="6" applyNumberFormat="1" applyFont="1" applyBorder="1" applyAlignment="1">
      <alignment horizontal="center" vertical="center"/>
    </xf>
    <xf numFmtId="0" fontId="58" fillId="14" borderId="231" xfId="6" applyFont="1" applyFill="1" applyBorder="1" applyAlignment="1" applyProtection="1">
      <alignment vertical="center"/>
      <protection locked="0"/>
    </xf>
    <xf numFmtId="0" fontId="58" fillId="14" borderId="52" xfId="6" applyFont="1" applyFill="1" applyBorder="1" applyAlignment="1" applyProtection="1">
      <alignment vertical="center"/>
      <protection locked="0"/>
    </xf>
    <xf numFmtId="0" fontId="48" fillId="0" borderId="49" xfId="6" applyFont="1" applyBorder="1" applyAlignment="1">
      <alignment horizontal="left" vertical="center"/>
    </xf>
    <xf numFmtId="0" fontId="48" fillId="14" borderId="23" xfId="6" applyFont="1" applyFill="1" applyAlignment="1" applyProtection="1">
      <alignment horizontal="left" vertical="center"/>
      <protection locked="0"/>
    </xf>
    <xf numFmtId="165" fontId="48" fillId="0" borderId="49" xfId="6" applyNumberFormat="1" applyFont="1" applyBorder="1" applyAlignment="1">
      <alignment horizontal="center" vertical="center"/>
    </xf>
    <xf numFmtId="0" fontId="48" fillId="16" borderId="23" xfId="6" applyFont="1" applyFill="1" applyAlignment="1" applyProtection="1">
      <alignment vertical="center"/>
      <protection locked="0"/>
    </xf>
    <xf numFmtId="165" fontId="48" fillId="14" borderId="23" xfId="6" applyNumberFormat="1" applyFont="1" applyFill="1" applyAlignment="1" applyProtection="1">
      <alignment vertical="center"/>
      <protection locked="0"/>
    </xf>
    <xf numFmtId="0" fontId="132" fillId="14" borderId="231" xfId="6" applyFont="1" applyFill="1" applyBorder="1" applyAlignment="1" applyProtection="1">
      <alignment vertical="center"/>
      <protection locked="0"/>
    </xf>
    <xf numFmtId="0" fontId="132" fillId="14" borderId="52" xfId="6" applyFont="1" applyFill="1" applyBorder="1" applyAlignment="1" applyProtection="1">
      <alignment vertical="center"/>
      <protection locked="0"/>
    </xf>
    <xf numFmtId="0" fontId="48" fillId="14" borderId="51" xfId="6" applyFont="1" applyFill="1" applyBorder="1" applyAlignment="1">
      <alignment vertical="center"/>
    </xf>
    <xf numFmtId="0" fontId="48" fillId="14" borderId="255" xfId="6" applyFont="1" applyFill="1" applyBorder="1" applyAlignment="1">
      <alignment vertical="center"/>
    </xf>
    <xf numFmtId="0" fontId="48" fillId="14" borderId="231" xfId="6" applyFont="1" applyFill="1" applyBorder="1" applyAlignment="1">
      <alignment horizontal="center" vertical="center"/>
    </xf>
    <xf numFmtId="0" fontId="42" fillId="0" borderId="51" xfId="6" applyFont="1" applyBorder="1" applyAlignment="1">
      <alignment vertical="center"/>
    </xf>
    <xf numFmtId="0" fontId="351" fillId="0" borderId="23" xfId="6" applyFont="1" applyAlignment="1">
      <alignment horizontal="center" vertical="center"/>
    </xf>
    <xf numFmtId="0" fontId="42" fillId="0" borderId="23" xfId="6" applyFont="1" applyAlignment="1" applyProtection="1">
      <alignment vertical="center"/>
      <protection locked="0"/>
    </xf>
    <xf numFmtId="165" fontId="352" fillId="0" borderId="49" xfId="6" applyNumberFormat="1" applyFont="1" applyBorder="1" applyAlignment="1">
      <alignment horizontal="center" vertical="center"/>
    </xf>
    <xf numFmtId="0" fontId="42" fillId="14" borderId="23" xfId="6" applyFont="1" applyFill="1" applyAlignment="1">
      <alignment vertical="center"/>
    </xf>
    <xf numFmtId="0" fontId="48" fillId="14" borderId="23" xfId="6" applyFont="1" applyFill="1" applyAlignment="1" applyProtection="1">
      <alignment horizontal="center" vertical="center"/>
      <protection locked="0"/>
    </xf>
    <xf numFmtId="3" fontId="48" fillId="14" borderId="23" xfId="6" applyNumberFormat="1" applyFont="1" applyFill="1" applyAlignment="1">
      <alignment vertical="center"/>
    </xf>
    <xf numFmtId="0" fontId="49" fillId="16" borderId="55" xfId="6" applyFont="1" applyFill="1" applyBorder="1" applyAlignment="1">
      <alignment vertical="center"/>
    </xf>
    <xf numFmtId="0" fontId="49" fillId="16" borderId="55" xfId="6" applyFont="1" applyFill="1" applyBorder="1" applyAlignment="1">
      <alignment horizontal="center" vertical="center"/>
    </xf>
    <xf numFmtId="3" fontId="48" fillId="14" borderId="23" xfId="6" applyNumberFormat="1" applyFont="1" applyFill="1" applyAlignment="1" applyProtection="1">
      <alignment vertical="center"/>
      <protection locked="0"/>
    </xf>
    <xf numFmtId="0" fontId="132" fillId="0" borderId="49" xfId="6" applyFont="1" applyBorder="1" applyAlignment="1">
      <alignment vertical="center"/>
    </xf>
    <xf numFmtId="3" fontId="48" fillId="0" borderId="49" xfId="6" applyNumberFormat="1" applyFont="1" applyBorder="1" applyAlignment="1" applyProtection="1">
      <alignment horizontal="center" vertical="center"/>
      <protection locked="0"/>
    </xf>
    <xf numFmtId="0" fontId="49" fillId="14" borderId="23" xfId="6" applyFont="1" applyFill="1" applyAlignment="1">
      <alignment horizontal="right" vertical="center"/>
    </xf>
    <xf numFmtId="9" fontId="48" fillId="0" borderId="49" xfId="9" applyFont="1" applyFill="1" applyBorder="1" applyAlignment="1" applyProtection="1">
      <alignment horizontal="center" vertical="center"/>
    </xf>
    <xf numFmtId="0" fontId="49" fillId="16" borderId="52" xfId="6" applyFont="1" applyFill="1" applyBorder="1" applyAlignment="1" applyProtection="1">
      <alignment vertical="center"/>
      <protection locked="0"/>
    </xf>
    <xf numFmtId="165" fontId="49" fillId="16" borderId="49" xfId="6" applyNumberFormat="1" applyFont="1" applyFill="1" applyBorder="1" applyAlignment="1">
      <alignment horizontal="center" vertical="center"/>
    </xf>
    <xf numFmtId="0" fontId="49" fillId="14" borderId="255" xfId="6" applyFont="1" applyFill="1" applyBorder="1" applyAlignment="1">
      <alignment vertical="center"/>
    </xf>
    <xf numFmtId="0" fontId="49" fillId="16" borderId="49" xfId="6" applyFont="1" applyFill="1" applyBorder="1" applyAlignment="1">
      <alignment horizontal="right" vertical="center"/>
    </xf>
    <xf numFmtId="0" fontId="49" fillId="16" borderId="49" xfId="6" applyFont="1" applyFill="1" applyBorder="1" applyAlignment="1" applyProtection="1">
      <alignment vertical="center"/>
      <protection locked="0"/>
    </xf>
    <xf numFmtId="0" fontId="48" fillId="0" borderId="49" xfId="6" applyFont="1" applyBorder="1" applyAlignment="1">
      <alignment horizontal="right" vertical="center"/>
    </xf>
    <xf numFmtId="1" fontId="49" fillId="14" borderId="23" xfId="6" applyNumberFormat="1" applyFont="1" applyFill="1" applyAlignment="1" applyProtection="1">
      <alignment vertical="center"/>
      <protection locked="0"/>
    </xf>
    <xf numFmtId="0" fontId="49" fillId="71" borderId="49" xfId="6" applyFont="1" applyFill="1" applyBorder="1" applyAlignment="1">
      <alignment vertical="center"/>
    </xf>
    <xf numFmtId="0" fontId="48" fillId="71" borderId="49" xfId="6" applyFont="1" applyFill="1" applyBorder="1" applyAlignment="1" applyProtection="1">
      <alignment vertical="center"/>
      <protection locked="0"/>
    </xf>
    <xf numFmtId="0" fontId="48" fillId="71" borderId="51" xfId="6" applyFont="1" applyFill="1" applyBorder="1" applyAlignment="1">
      <alignment vertical="center"/>
    </xf>
    <xf numFmtId="0" fontId="48" fillId="71" borderId="231" xfId="6" applyFont="1" applyFill="1" applyBorder="1" applyAlignment="1" applyProtection="1">
      <alignment vertical="center"/>
      <protection locked="0"/>
    </xf>
    <xf numFmtId="0" fontId="48" fillId="71" borderId="52" xfId="6" applyFont="1" applyFill="1" applyBorder="1" applyAlignment="1" applyProtection="1">
      <alignment vertical="center"/>
      <protection locked="0"/>
    </xf>
    <xf numFmtId="9" fontId="48" fillId="71" borderId="231" xfId="6" applyNumberFormat="1" applyFont="1" applyFill="1" applyBorder="1" applyAlignment="1" applyProtection="1">
      <alignment vertical="center"/>
      <protection locked="0"/>
    </xf>
    <xf numFmtId="165" fontId="48" fillId="71" borderId="52" xfId="6" applyNumberFormat="1" applyFont="1" applyFill="1" applyBorder="1" applyAlignment="1" applyProtection="1">
      <alignment vertical="center"/>
      <protection locked="0"/>
    </xf>
    <xf numFmtId="166" fontId="48" fillId="71" borderId="49" xfId="6" applyNumberFormat="1" applyFont="1" applyFill="1" applyBorder="1" applyAlignment="1">
      <alignment horizontal="center" vertical="center"/>
    </xf>
    <xf numFmtId="0" fontId="49" fillId="71" borderId="234" xfId="6" applyFont="1" applyFill="1" applyBorder="1" applyAlignment="1">
      <alignment vertical="center"/>
    </xf>
    <xf numFmtId="9" fontId="49" fillId="71" borderId="147" xfId="6" applyNumberFormat="1" applyFont="1" applyFill="1" applyBorder="1" applyAlignment="1" applyProtection="1">
      <alignment vertical="center"/>
      <protection locked="0"/>
    </xf>
    <xf numFmtId="0" fontId="49" fillId="71" borderId="233" xfId="6" applyFont="1" applyFill="1" applyBorder="1" applyAlignment="1" applyProtection="1">
      <alignment vertical="center"/>
      <protection locked="0"/>
    </xf>
    <xf numFmtId="165" fontId="49" fillId="71" borderId="49" xfId="6" applyNumberFormat="1" applyFont="1" applyFill="1" applyBorder="1" applyAlignment="1">
      <alignment horizontal="center" vertical="center"/>
    </xf>
    <xf numFmtId="1" fontId="48" fillId="71" borderId="49" xfId="6" applyNumberFormat="1" applyFont="1" applyFill="1" applyBorder="1" applyAlignment="1">
      <alignment horizontal="center" vertical="center"/>
    </xf>
    <xf numFmtId="165" fontId="48" fillId="71" borderId="49" xfId="6" applyNumberFormat="1" applyFont="1" applyFill="1" applyBorder="1" applyAlignment="1">
      <alignment horizontal="center" vertical="center"/>
    </xf>
    <xf numFmtId="165" fontId="48" fillId="71" borderId="231" xfId="6" applyNumberFormat="1" applyFont="1" applyFill="1" applyBorder="1" applyAlignment="1" applyProtection="1">
      <alignment vertical="center"/>
      <protection locked="0"/>
    </xf>
    <xf numFmtId="0" fontId="49" fillId="71" borderId="51" xfId="6" applyFont="1" applyFill="1" applyBorder="1" applyAlignment="1">
      <alignment vertical="center"/>
    </xf>
    <xf numFmtId="0" fontId="50" fillId="16" borderId="49" xfId="6" applyFont="1" applyFill="1" applyBorder="1" applyAlignment="1">
      <alignment horizontal="right" vertical="center"/>
    </xf>
    <xf numFmtId="3" fontId="50" fillId="16" borderId="49" xfId="6" applyNumberFormat="1" applyFont="1" applyFill="1" applyBorder="1" applyAlignment="1">
      <alignment vertical="center"/>
    </xf>
    <xf numFmtId="0" fontId="49" fillId="16" borderId="51" xfId="6" applyFont="1" applyFill="1" applyBorder="1" applyAlignment="1">
      <alignment horizontal="left" vertical="center"/>
    </xf>
    <xf numFmtId="9" fontId="48" fillId="16" borderId="49" xfId="6" applyNumberFormat="1" applyFont="1" applyFill="1" applyBorder="1" applyAlignment="1">
      <alignment horizontal="center" vertical="center"/>
    </xf>
    <xf numFmtId="0" fontId="48" fillId="0" borderId="23" xfId="6" applyFont="1" applyAlignment="1">
      <alignment horizontal="right" vertical="center"/>
    </xf>
    <xf numFmtId="165" fontId="353" fillId="14" borderId="23" xfId="6" applyNumberFormat="1" applyFont="1" applyFill="1" applyAlignment="1">
      <alignment horizontal="center" vertical="center"/>
    </xf>
    <xf numFmtId="0" fontId="49" fillId="72" borderId="51" xfId="6" applyFont="1" applyFill="1" applyBorder="1" applyAlignment="1">
      <alignment vertical="center"/>
    </xf>
    <xf numFmtId="165" fontId="48" fillId="72" borderId="231" xfId="6" applyNumberFormat="1" applyFont="1" applyFill="1" applyBorder="1" applyAlignment="1" applyProtection="1">
      <alignment vertical="center"/>
      <protection locked="0"/>
    </xf>
    <xf numFmtId="0" fontId="48" fillId="72" borderId="52" xfId="6" applyFont="1" applyFill="1" applyBorder="1" applyAlignment="1" applyProtection="1">
      <alignment vertical="center"/>
      <protection locked="0"/>
    </xf>
    <xf numFmtId="0" fontId="49" fillId="0" borderId="49" xfId="6" applyFont="1" applyBorder="1" applyAlignment="1">
      <alignment horizontal="left" vertical="center"/>
    </xf>
    <xf numFmtId="0" fontId="50" fillId="72" borderId="51" xfId="6" applyFont="1" applyFill="1" applyBorder="1" applyAlignment="1">
      <alignment vertical="center"/>
    </xf>
    <xf numFmtId="0" fontId="50" fillId="72" borderId="231" xfId="6" applyFont="1" applyFill="1" applyBorder="1" applyAlignment="1">
      <alignment vertical="center"/>
    </xf>
    <xf numFmtId="0" fontId="48" fillId="72" borderId="52" xfId="6" applyFont="1" applyFill="1" applyBorder="1" applyAlignment="1">
      <alignment vertical="center"/>
    </xf>
    <xf numFmtId="0" fontId="48" fillId="72" borderId="51" xfId="6" applyFont="1" applyFill="1" applyBorder="1" applyAlignment="1">
      <alignment vertical="center"/>
    </xf>
    <xf numFmtId="0" fontId="48" fillId="72" borderId="231" xfId="6" applyFont="1" applyFill="1" applyBorder="1" applyAlignment="1">
      <alignment vertical="center"/>
    </xf>
    <xf numFmtId="9" fontId="48" fillId="72" borderId="49" xfId="6" applyNumberFormat="1" applyFont="1" applyFill="1" applyBorder="1" applyAlignment="1">
      <alignment horizontal="center" vertical="center"/>
    </xf>
    <xf numFmtId="165" fontId="48" fillId="72" borderId="49" xfId="6" applyNumberFormat="1" applyFont="1" applyFill="1" applyBorder="1" applyAlignment="1" applyProtection="1">
      <alignment horizontal="center" vertical="center"/>
      <protection locked="0"/>
    </xf>
    <xf numFmtId="165" fontId="48" fillId="72" borderId="49" xfId="6" applyNumberFormat="1" applyFont="1" applyFill="1" applyBorder="1" applyAlignment="1">
      <alignment horizontal="center" vertical="center"/>
    </xf>
    <xf numFmtId="165" fontId="48" fillId="72" borderId="231" xfId="6" applyNumberFormat="1" applyFont="1" applyFill="1" applyBorder="1" applyAlignment="1">
      <alignment vertical="center"/>
    </xf>
    <xf numFmtId="167" fontId="48" fillId="0" borderId="49" xfId="6" applyNumberFormat="1" applyFont="1" applyBorder="1" applyAlignment="1">
      <alignment horizontal="center" vertical="center"/>
    </xf>
    <xf numFmtId="0" fontId="48" fillId="14" borderId="146" xfId="6" applyFont="1" applyFill="1" applyBorder="1" applyAlignment="1">
      <alignment vertical="center"/>
    </xf>
    <xf numFmtId="164" fontId="48" fillId="72" borderId="49" xfId="6" applyNumberFormat="1" applyFont="1" applyFill="1" applyBorder="1" applyAlignment="1">
      <alignment horizontal="center" vertical="center"/>
    </xf>
    <xf numFmtId="0" fontId="58" fillId="14" borderId="51" xfId="6" applyFont="1" applyFill="1" applyBorder="1" applyAlignment="1">
      <alignment horizontal="left" vertical="center"/>
    </xf>
    <xf numFmtId="3" fontId="48" fillId="0" borderId="49" xfId="6" applyNumberFormat="1" applyFont="1" applyBorder="1" applyAlignment="1">
      <alignment vertical="center"/>
    </xf>
    <xf numFmtId="0" fontId="48" fillId="72" borderId="49" xfId="6" applyFont="1" applyFill="1" applyBorder="1" applyAlignment="1">
      <alignment horizontal="center" vertical="center"/>
    </xf>
    <xf numFmtId="0" fontId="50" fillId="72" borderId="49" xfId="6" applyFont="1" applyFill="1" applyBorder="1" applyAlignment="1">
      <alignment horizontal="center" vertical="center"/>
    </xf>
    <xf numFmtId="165" fontId="50" fillId="72" borderId="49" xfId="6" applyNumberFormat="1" applyFont="1" applyFill="1" applyBorder="1" applyAlignment="1">
      <alignment horizontal="center" vertical="center"/>
    </xf>
    <xf numFmtId="0" fontId="50" fillId="14" borderId="255" xfId="6" applyFont="1" applyFill="1" applyBorder="1" applyAlignment="1">
      <alignment vertical="center"/>
    </xf>
    <xf numFmtId="166" fontId="50" fillId="72" borderId="49" xfId="9" applyNumberFormat="1" applyFont="1" applyFill="1" applyBorder="1" applyAlignment="1" applyProtection="1">
      <alignment horizontal="center" vertical="center"/>
    </xf>
    <xf numFmtId="0" fontId="48" fillId="72" borderId="231" xfId="6" applyFont="1" applyFill="1" applyBorder="1" applyAlignment="1" applyProtection="1">
      <alignment vertical="center"/>
      <protection locked="0"/>
    </xf>
    <xf numFmtId="9" fontId="50" fillId="72" borderId="49" xfId="6" applyNumberFormat="1" applyFont="1" applyFill="1" applyBorder="1" applyAlignment="1">
      <alignment horizontal="center" vertical="center"/>
    </xf>
    <xf numFmtId="0" fontId="49" fillId="73" borderId="51" xfId="6" applyFont="1" applyFill="1" applyBorder="1" applyAlignment="1">
      <alignment vertical="center"/>
    </xf>
    <xf numFmtId="0" fontId="48" fillId="73" borderId="231" xfId="6" applyFont="1" applyFill="1" applyBorder="1" applyAlignment="1" applyProtection="1">
      <alignment vertical="center"/>
      <protection locked="0"/>
    </xf>
    <xf numFmtId="0" fontId="48" fillId="73" borderId="52" xfId="6" applyFont="1" applyFill="1" applyBorder="1" applyAlignment="1" applyProtection="1">
      <alignment vertical="center"/>
      <protection locked="0"/>
    </xf>
    <xf numFmtId="0" fontId="49" fillId="73" borderId="51" xfId="6" applyFont="1" applyFill="1" applyBorder="1" applyAlignment="1" applyProtection="1">
      <alignment vertical="center"/>
      <protection locked="0"/>
    </xf>
    <xf numFmtId="0" fontId="49" fillId="57" borderId="51" xfId="6" applyFont="1" applyFill="1" applyBorder="1" applyAlignment="1">
      <alignment vertical="center"/>
    </xf>
    <xf numFmtId="0" fontId="48" fillId="57" borderId="231" xfId="6" applyFont="1" applyFill="1" applyBorder="1" applyAlignment="1" applyProtection="1">
      <alignment vertical="center"/>
      <protection locked="0"/>
    </xf>
    <xf numFmtId="0" fontId="48" fillId="57" borderId="52" xfId="6" applyFont="1" applyFill="1" applyBorder="1" applyAlignment="1" applyProtection="1">
      <alignment vertical="center"/>
      <protection locked="0"/>
    </xf>
    <xf numFmtId="0" fontId="48" fillId="57" borderId="51" xfId="6" applyFont="1" applyFill="1" applyBorder="1" applyAlignment="1">
      <alignment vertical="center"/>
    </xf>
    <xf numFmtId="165" fontId="48" fillId="57" borderId="49" xfId="6" applyNumberFormat="1" applyFont="1" applyFill="1" applyBorder="1" applyAlignment="1">
      <alignment horizontal="center" vertical="center"/>
    </xf>
    <xf numFmtId="0" fontId="48" fillId="57" borderId="51" xfId="6" applyFont="1" applyFill="1" applyBorder="1" applyAlignment="1" applyProtection="1">
      <alignment vertical="center"/>
      <protection locked="0"/>
    </xf>
    <xf numFmtId="0" fontId="48" fillId="57" borderId="231" xfId="6" applyFont="1" applyFill="1" applyBorder="1" applyAlignment="1">
      <alignment vertical="center"/>
    </xf>
    <xf numFmtId="165" fontId="48" fillId="57" borderId="49" xfId="10" applyNumberFormat="1" applyFont="1" applyFill="1" applyBorder="1" applyAlignment="1">
      <alignment horizontal="center" vertical="center"/>
    </xf>
    <xf numFmtId="0" fontId="33" fillId="14" borderId="23" xfId="6" applyFill="1" applyAlignment="1">
      <alignment horizontal="right"/>
    </xf>
    <xf numFmtId="165" fontId="48" fillId="57" borderId="51" xfId="6" applyNumberFormat="1" applyFont="1" applyFill="1" applyBorder="1" applyAlignment="1">
      <alignment horizontal="center" vertical="center"/>
    </xf>
    <xf numFmtId="3" fontId="33" fillId="14" borderId="23" xfId="6" applyNumberFormat="1" applyFill="1"/>
    <xf numFmtId="1" fontId="49" fillId="57" borderId="49" xfId="6" applyNumberFormat="1" applyFont="1" applyFill="1" applyBorder="1" applyAlignment="1">
      <alignment horizontal="center" vertical="center"/>
    </xf>
    <xf numFmtId="0" fontId="48" fillId="74" borderId="51" xfId="6" applyFont="1" applyFill="1" applyBorder="1" applyAlignment="1">
      <alignment vertical="center"/>
    </xf>
    <xf numFmtId="0" fontId="48" fillId="74" borderId="231" xfId="6" applyFont="1" applyFill="1" applyBorder="1" applyAlignment="1">
      <alignment vertical="center"/>
    </xf>
    <xf numFmtId="0" fontId="48" fillId="74" borderId="52" xfId="6" applyFont="1" applyFill="1" applyBorder="1" applyAlignment="1">
      <alignment vertical="center"/>
    </xf>
    <xf numFmtId="1" fontId="48" fillId="57" borderId="49" xfId="6" applyNumberFormat="1" applyFont="1" applyFill="1" applyBorder="1" applyAlignment="1">
      <alignment horizontal="center" vertical="center"/>
    </xf>
    <xf numFmtId="0" fontId="49" fillId="75" borderId="51" xfId="6" applyFont="1" applyFill="1" applyBorder="1" applyAlignment="1">
      <alignment vertical="center"/>
    </xf>
    <xf numFmtId="0" fontId="48" fillId="75" borderId="231" xfId="6" applyFont="1" applyFill="1" applyBorder="1" applyAlignment="1" applyProtection="1">
      <alignment vertical="center"/>
      <protection locked="0"/>
    </xf>
    <xf numFmtId="0" fontId="48" fillId="75" borderId="52" xfId="6" applyFont="1" applyFill="1" applyBorder="1" applyAlignment="1" applyProtection="1">
      <alignment vertical="center"/>
      <protection locked="0"/>
    </xf>
    <xf numFmtId="0" fontId="48" fillId="75" borderId="51" xfId="6" applyFont="1" applyFill="1" applyBorder="1" applyAlignment="1">
      <alignment vertical="center"/>
    </xf>
    <xf numFmtId="165" fontId="48" fillId="75" borderId="49" xfId="6" applyNumberFormat="1" applyFont="1" applyFill="1" applyBorder="1" applyAlignment="1">
      <alignment horizontal="center" vertical="center"/>
    </xf>
    <xf numFmtId="0" fontId="48" fillId="75" borderId="51" xfId="6" applyFont="1" applyFill="1" applyBorder="1" applyAlignment="1" applyProtection="1">
      <alignment vertical="center"/>
      <protection locked="0"/>
    </xf>
    <xf numFmtId="165" fontId="48" fillId="75" borderId="49" xfId="6" applyNumberFormat="1" applyFont="1" applyFill="1" applyBorder="1" applyAlignment="1" applyProtection="1">
      <alignment horizontal="center" vertical="center"/>
      <protection locked="0"/>
    </xf>
    <xf numFmtId="0" fontId="50" fillId="75" borderId="51" xfId="6" applyFont="1" applyFill="1" applyBorder="1" applyAlignment="1">
      <alignment vertical="center"/>
    </xf>
    <xf numFmtId="0" fontId="50" fillId="75" borderId="231" xfId="6" applyFont="1" applyFill="1" applyBorder="1" applyAlignment="1">
      <alignment vertical="center"/>
    </xf>
    <xf numFmtId="0" fontId="48" fillId="75" borderId="52" xfId="6" applyFont="1" applyFill="1" applyBorder="1" applyAlignment="1">
      <alignment vertical="center"/>
    </xf>
    <xf numFmtId="0" fontId="48" fillId="75" borderId="49" xfId="6" applyFont="1" applyFill="1" applyBorder="1" applyAlignment="1">
      <alignment horizontal="center" vertical="center"/>
    </xf>
    <xf numFmtId="0" fontId="48" fillId="75" borderId="231" xfId="6" applyFont="1" applyFill="1" applyBorder="1" applyAlignment="1">
      <alignment vertical="center"/>
    </xf>
    <xf numFmtId="9" fontId="48" fillId="75" borderId="49" xfId="6" applyNumberFormat="1" applyFont="1" applyFill="1" applyBorder="1" applyAlignment="1">
      <alignment horizontal="center" vertical="center"/>
    </xf>
    <xf numFmtId="165" fontId="48" fillId="75" borderId="231" xfId="6" applyNumberFormat="1" applyFont="1" applyFill="1" applyBorder="1" applyAlignment="1" applyProtection="1">
      <alignment vertical="center"/>
      <protection locked="0"/>
    </xf>
    <xf numFmtId="165" fontId="48" fillId="75" borderId="231" xfId="6" applyNumberFormat="1" applyFont="1" applyFill="1" applyBorder="1" applyAlignment="1">
      <alignment vertical="center"/>
    </xf>
    <xf numFmtId="166" fontId="48" fillId="0" borderId="51" xfId="6" applyNumberFormat="1" applyFont="1" applyBorder="1" applyAlignment="1">
      <alignment horizontal="center" vertical="center"/>
    </xf>
    <xf numFmtId="166" fontId="49" fillId="16" borderId="49" xfId="6" applyNumberFormat="1" applyFont="1" applyFill="1" applyBorder="1" applyAlignment="1">
      <alignment horizontal="center" vertical="center"/>
    </xf>
    <xf numFmtId="166" fontId="49" fillId="16" borderId="51" xfId="6" applyNumberFormat="1" applyFont="1" applyFill="1" applyBorder="1" applyAlignment="1">
      <alignment horizontal="center" vertical="center"/>
    </xf>
    <xf numFmtId="164" fontId="48" fillId="75" borderId="49" xfId="6" applyNumberFormat="1" applyFont="1" applyFill="1" applyBorder="1" applyAlignment="1">
      <alignment horizontal="center" vertical="center"/>
    </xf>
    <xf numFmtId="0" fontId="48" fillId="16" borderId="254" xfId="6" applyFont="1" applyFill="1" applyBorder="1" applyAlignment="1" applyProtection="1">
      <alignment vertical="center"/>
      <protection locked="0"/>
    </xf>
    <xf numFmtId="0" fontId="49" fillId="16" borderId="51" xfId="6" applyFont="1" applyFill="1" applyBorder="1" applyAlignment="1">
      <alignment horizontal="right" vertical="center"/>
    </xf>
    <xf numFmtId="166" fontId="48" fillId="0" borderId="49" xfId="9" applyNumberFormat="1" applyFont="1" applyFill="1" applyBorder="1" applyAlignment="1" applyProtection="1">
      <alignment horizontal="center" vertical="center"/>
    </xf>
    <xf numFmtId="0" fontId="48" fillId="14" borderId="51" xfId="6" applyFont="1" applyFill="1" applyBorder="1" applyAlignment="1" applyProtection="1">
      <alignment vertical="center"/>
      <protection locked="0"/>
    </xf>
    <xf numFmtId="0" fontId="58" fillId="14" borderId="231" xfId="6" applyFont="1" applyFill="1" applyBorder="1" applyAlignment="1">
      <alignment horizontal="right" vertical="center"/>
    </xf>
    <xf numFmtId="165" fontId="48" fillId="0" borderId="52" xfId="6" applyNumberFormat="1" applyFont="1" applyBorder="1" applyAlignment="1">
      <alignment horizontal="center" vertical="center"/>
    </xf>
    <xf numFmtId="0" fontId="50" fillId="75" borderId="49" xfId="6" applyFont="1" applyFill="1" applyBorder="1" applyAlignment="1">
      <alignment horizontal="center" vertical="center"/>
    </xf>
    <xf numFmtId="166" fontId="50" fillId="75" borderId="49" xfId="9" applyNumberFormat="1" applyFont="1" applyFill="1" applyBorder="1" applyAlignment="1">
      <alignment horizontal="center" vertical="center"/>
    </xf>
    <xf numFmtId="165" fontId="50" fillId="75" borderId="49" xfId="6" applyNumberFormat="1" applyFont="1" applyFill="1" applyBorder="1" applyAlignment="1">
      <alignment horizontal="center" vertical="center"/>
    </xf>
    <xf numFmtId="9" fontId="48" fillId="14" borderId="49" xfId="9" applyFont="1" applyFill="1" applyBorder="1" applyAlignment="1" applyProtection="1">
      <alignment horizontal="center" vertical="center"/>
      <protection locked="0"/>
    </xf>
    <xf numFmtId="0" fontId="48" fillId="14" borderId="255" xfId="6" applyFont="1" applyFill="1" applyBorder="1" applyAlignment="1">
      <alignment horizontal="left" vertical="center"/>
    </xf>
    <xf numFmtId="0" fontId="49" fillId="75" borderId="231" xfId="6" applyFont="1" applyFill="1" applyBorder="1" applyAlignment="1" applyProtection="1">
      <alignment vertical="center"/>
      <protection locked="0"/>
    </xf>
    <xf numFmtId="0" fontId="49" fillId="75" borderId="52" xfId="6" applyFont="1" applyFill="1" applyBorder="1" applyAlignment="1" applyProtection="1">
      <alignment vertical="center"/>
      <protection locked="0"/>
    </xf>
    <xf numFmtId="165" fontId="49" fillId="75" borderId="49" xfId="6" applyNumberFormat="1" applyFont="1" applyFill="1" applyBorder="1" applyAlignment="1">
      <alignment horizontal="center" vertical="center"/>
    </xf>
    <xf numFmtId="1" fontId="48" fillId="75" borderId="49" xfId="6" applyNumberFormat="1" applyFont="1" applyFill="1" applyBorder="1" applyAlignment="1">
      <alignment horizontal="center" vertical="center"/>
    </xf>
    <xf numFmtId="1" fontId="49" fillId="75" borderId="49" xfId="6" applyNumberFormat="1" applyFont="1" applyFill="1" applyBorder="1" applyAlignment="1">
      <alignment horizontal="center" vertical="center"/>
    </xf>
    <xf numFmtId="0" fontId="49" fillId="62" borderId="51" xfId="6" applyFont="1" applyFill="1" applyBorder="1" applyAlignment="1" applyProtection="1">
      <alignment vertical="center"/>
      <protection locked="0"/>
    </xf>
    <xf numFmtId="0" fontId="48" fillId="62" borderId="231" xfId="6" applyFont="1" applyFill="1" applyBorder="1" applyAlignment="1" applyProtection="1">
      <alignment vertical="center"/>
      <protection locked="0"/>
    </xf>
    <xf numFmtId="0" fontId="48" fillId="62" borderId="52" xfId="6" applyFont="1" applyFill="1" applyBorder="1" applyAlignment="1" applyProtection="1">
      <alignment vertical="center"/>
      <protection locked="0"/>
    </xf>
    <xf numFmtId="0" fontId="48" fillId="62" borderId="51" xfId="6" applyFont="1" applyFill="1" applyBorder="1" applyAlignment="1">
      <alignment vertical="center"/>
    </xf>
    <xf numFmtId="165" fontId="48" fillId="62" borderId="49" xfId="6" applyNumberFormat="1" applyFont="1" applyFill="1" applyBorder="1" applyAlignment="1">
      <alignment horizontal="center" vertical="center"/>
    </xf>
    <xf numFmtId="0" fontId="48" fillId="62" borderId="51" xfId="6" applyFont="1" applyFill="1" applyBorder="1" applyAlignment="1" applyProtection="1">
      <alignment vertical="center"/>
      <protection locked="0"/>
    </xf>
    <xf numFmtId="165" fontId="48" fillId="62" borderId="49" xfId="6" applyNumberFormat="1" applyFont="1" applyFill="1" applyBorder="1" applyAlignment="1" applyProtection="1">
      <alignment horizontal="center" vertical="center"/>
      <protection locked="0"/>
    </xf>
    <xf numFmtId="0" fontId="48" fillId="62" borderId="231" xfId="6" applyFont="1" applyFill="1" applyBorder="1" applyAlignment="1">
      <alignment vertical="center"/>
    </xf>
    <xf numFmtId="0" fontId="48" fillId="62" borderId="52" xfId="6" applyFont="1" applyFill="1" applyBorder="1" applyAlignment="1">
      <alignment vertical="center"/>
    </xf>
    <xf numFmtId="9" fontId="48" fillId="62" borderId="49" xfId="9" applyFont="1" applyFill="1" applyBorder="1" applyAlignment="1">
      <alignment horizontal="center" vertical="center"/>
    </xf>
    <xf numFmtId="166" fontId="48" fillId="62" borderId="49" xfId="9" applyNumberFormat="1" applyFont="1" applyFill="1" applyBorder="1" applyAlignment="1">
      <alignment horizontal="center" vertical="center"/>
    </xf>
    <xf numFmtId="166" fontId="48" fillId="62" borderId="49" xfId="6" applyNumberFormat="1" applyFont="1" applyFill="1" applyBorder="1" applyAlignment="1">
      <alignment horizontal="center" vertical="center"/>
    </xf>
    <xf numFmtId="0" fontId="48" fillId="62" borderId="49" xfId="6" applyFont="1" applyFill="1" applyBorder="1" applyAlignment="1">
      <alignment horizontal="center" vertical="center"/>
    </xf>
    <xf numFmtId="165" fontId="48" fillId="62" borderId="52" xfId="6" applyNumberFormat="1" applyFont="1" applyFill="1" applyBorder="1" applyAlignment="1">
      <alignment vertical="center"/>
    </xf>
    <xf numFmtId="165" fontId="48" fillId="62" borderId="49" xfId="9" applyNumberFormat="1" applyFont="1" applyFill="1" applyBorder="1" applyAlignment="1">
      <alignment horizontal="center" vertical="center"/>
    </xf>
    <xf numFmtId="0" fontId="49" fillId="16" borderId="234" xfId="6" applyFont="1" applyFill="1" applyBorder="1" applyAlignment="1">
      <alignment horizontal="right" vertical="center"/>
    </xf>
    <xf numFmtId="10" fontId="48" fillId="0" borderId="49" xfId="9" applyNumberFormat="1" applyFont="1" applyFill="1" applyBorder="1" applyAlignment="1" applyProtection="1">
      <alignment horizontal="center" vertical="center"/>
    </xf>
    <xf numFmtId="0" fontId="49" fillId="62" borderId="51" xfId="6" applyFont="1" applyFill="1" applyBorder="1" applyAlignment="1">
      <alignment vertical="center"/>
    </xf>
    <xf numFmtId="0" fontId="49" fillId="62" borderId="231" xfId="6" applyFont="1" applyFill="1" applyBorder="1" applyAlignment="1" applyProtection="1">
      <alignment vertical="center"/>
      <protection locked="0"/>
    </xf>
    <xf numFmtId="0" fontId="49" fillId="62" borderId="52" xfId="6" applyFont="1" applyFill="1" applyBorder="1" applyAlignment="1" applyProtection="1">
      <alignment vertical="center"/>
      <protection locked="0"/>
    </xf>
    <xf numFmtId="165" fontId="49" fillId="62" borderId="49" xfId="6" applyNumberFormat="1" applyFont="1" applyFill="1" applyBorder="1" applyAlignment="1">
      <alignment horizontal="center" vertical="center"/>
    </xf>
    <xf numFmtId="0" fontId="48" fillId="16" borderId="51" xfId="6" applyFont="1" applyFill="1" applyBorder="1" applyAlignment="1" applyProtection="1">
      <alignment vertical="center"/>
      <protection locked="0"/>
    </xf>
    <xf numFmtId="0" fontId="49" fillId="16" borderId="231" xfId="6" applyFont="1" applyFill="1" applyBorder="1" applyAlignment="1">
      <alignment horizontal="right" vertical="center"/>
    </xf>
    <xf numFmtId="1" fontId="48" fillId="62" borderId="49" xfId="6" applyNumberFormat="1" applyFont="1" applyFill="1" applyBorder="1" applyAlignment="1">
      <alignment horizontal="center" vertical="center"/>
    </xf>
    <xf numFmtId="1" fontId="49" fillId="62" borderId="49" xfId="6" applyNumberFormat="1" applyFont="1" applyFill="1" applyBorder="1" applyAlignment="1">
      <alignment horizontal="center" vertical="center"/>
    </xf>
    <xf numFmtId="9" fontId="48" fillId="14" borderId="52" xfId="9" applyFont="1" applyFill="1" applyBorder="1" applyAlignment="1" applyProtection="1">
      <alignment vertical="center"/>
      <protection locked="0"/>
    </xf>
    <xf numFmtId="166" fontId="48" fillId="14" borderId="23" xfId="6" applyNumberFormat="1" applyFont="1" applyFill="1" applyAlignment="1">
      <alignment vertical="center"/>
    </xf>
    <xf numFmtId="0" fontId="33" fillId="0" borderId="23" xfId="6" applyAlignment="1">
      <alignment horizontal="right"/>
    </xf>
    <xf numFmtId="0" fontId="136" fillId="0" borderId="0" xfId="0" applyFont="1" applyAlignment="1">
      <alignment horizontal="left" vertical="top" wrapText="1"/>
    </xf>
    <xf numFmtId="0" fontId="136" fillId="0" borderId="23" xfId="0" applyFont="1" applyBorder="1" applyAlignment="1">
      <alignment horizontal="left" vertical="top" wrapText="1"/>
    </xf>
    <xf numFmtId="0" fontId="136" fillId="0" borderId="0" xfId="0" applyFont="1"/>
    <xf numFmtId="0" fontId="134" fillId="15" borderId="0" xfId="0" applyFont="1" applyFill="1" applyAlignment="1">
      <alignment horizontal="center"/>
    </xf>
    <xf numFmtId="0" fontId="135" fillId="15" borderId="0" xfId="0" applyFont="1" applyFill="1"/>
    <xf numFmtId="0" fontId="134" fillId="15" borderId="0" xfId="0" applyFont="1" applyFill="1" applyAlignment="1">
      <alignment horizontal="center" vertical="top" wrapText="1"/>
    </xf>
    <xf numFmtId="0" fontId="135" fillId="15" borderId="0" xfId="0" applyFont="1" applyFill="1" applyAlignment="1">
      <alignment vertical="top"/>
    </xf>
    <xf numFmtId="0" fontId="124" fillId="15" borderId="0" xfId="0" applyFont="1" applyFill="1" applyAlignment="1">
      <alignment horizontal="center" vertical="center"/>
    </xf>
    <xf numFmtId="0" fontId="55" fillId="15" borderId="0" xfId="0" applyFont="1" applyFill="1"/>
    <xf numFmtId="0" fontId="48" fillId="24" borderId="31" xfId="0" applyFont="1" applyFill="1" applyBorder="1" applyAlignment="1" applyProtection="1">
      <alignment horizontal="left" vertical="center"/>
      <protection locked="0"/>
    </xf>
    <xf numFmtId="0" fontId="48" fillId="23" borderId="28" xfId="0" applyFont="1" applyFill="1" applyBorder="1" applyProtection="1">
      <protection locked="0"/>
    </xf>
    <xf numFmtId="0" fontId="48" fillId="23" borderId="29" xfId="0" applyFont="1" applyFill="1" applyBorder="1" applyProtection="1">
      <protection locked="0"/>
    </xf>
    <xf numFmtId="0" fontId="49" fillId="22" borderId="37" xfId="0" applyFont="1" applyFill="1" applyBorder="1" applyAlignment="1">
      <alignment horizontal="center" vertical="center" wrapText="1"/>
    </xf>
    <xf numFmtId="0" fontId="49" fillId="23" borderId="35" xfId="0" applyFont="1" applyFill="1" applyBorder="1" applyAlignment="1">
      <alignment vertical="center"/>
    </xf>
    <xf numFmtId="0" fontId="49" fillId="23" borderId="36" xfId="0" applyFont="1" applyFill="1" applyBorder="1" applyAlignment="1">
      <alignment vertical="center"/>
    </xf>
    <xf numFmtId="0" fontId="49" fillId="23" borderId="40" xfId="0" applyFont="1" applyFill="1" applyBorder="1" applyAlignment="1">
      <alignment vertical="center"/>
    </xf>
    <xf numFmtId="0" fontId="49" fillId="23" borderId="27" xfId="0" applyFont="1" applyFill="1" applyBorder="1" applyAlignment="1">
      <alignment vertical="center"/>
    </xf>
    <xf numFmtId="0" fontId="49" fillId="23" borderId="33" xfId="0" applyFont="1" applyFill="1" applyBorder="1" applyAlignment="1">
      <alignment vertical="center"/>
    </xf>
    <xf numFmtId="0" fontId="70" fillId="20" borderId="30" xfId="0" applyFont="1" applyFill="1" applyBorder="1" applyAlignment="1">
      <alignment horizontal="center" vertical="center"/>
    </xf>
    <xf numFmtId="0" fontId="71" fillId="16" borderId="30" xfId="0" applyFont="1" applyFill="1" applyBorder="1"/>
    <xf numFmtId="0" fontId="70" fillId="20" borderId="30" xfId="0" applyFont="1" applyFill="1" applyBorder="1" applyAlignment="1">
      <alignment horizontal="center" vertical="center" wrapText="1"/>
    </xf>
    <xf numFmtId="0" fontId="70" fillId="16" borderId="30" xfId="0" applyFont="1" applyFill="1" applyBorder="1" applyAlignment="1">
      <alignment horizontal="center" vertical="center"/>
    </xf>
    <xf numFmtId="0" fontId="53" fillId="15" borderId="0" xfId="0" applyFont="1" applyFill="1" applyAlignment="1">
      <alignment horizontal="center" vertical="center"/>
    </xf>
    <xf numFmtId="0" fontId="54" fillId="15" borderId="0" xfId="0" applyFont="1" applyFill="1" applyAlignment="1">
      <alignment horizontal="center"/>
    </xf>
    <xf numFmtId="0" fontId="55" fillId="15" borderId="0" xfId="0" applyFont="1" applyFill="1" applyAlignment="1">
      <alignment horizontal="center" vertical="center"/>
    </xf>
    <xf numFmtId="0" fontId="60" fillId="16" borderId="30" xfId="0" applyFont="1" applyFill="1" applyBorder="1" applyAlignment="1">
      <alignment horizontal="center" vertical="center"/>
    </xf>
    <xf numFmtId="0" fontId="61" fillId="16" borderId="30" xfId="0" applyFont="1" applyFill="1" applyBorder="1"/>
    <xf numFmtId="0" fontId="70" fillId="16" borderId="30" xfId="0" applyFont="1" applyFill="1" applyBorder="1" applyAlignment="1">
      <alignment horizontal="center" vertical="center" wrapText="1"/>
    </xf>
    <xf numFmtId="165" fontId="48" fillId="19" borderId="30" xfId="0" applyNumberFormat="1" applyFont="1" applyFill="1" applyBorder="1" applyAlignment="1">
      <alignment horizontal="center" vertical="center"/>
    </xf>
    <xf numFmtId="0" fontId="48" fillId="18" borderId="30" xfId="0" applyFont="1" applyFill="1" applyBorder="1" applyAlignment="1">
      <alignment horizontal="center" vertical="center"/>
    </xf>
    <xf numFmtId="0" fontId="48" fillId="0" borderId="30" xfId="0" applyFont="1" applyBorder="1" applyAlignment="1">
      <alignment horizontal="center" vertical="center"/>
    </xf>
    <xf numFmtId="0" fontId="48" fillId="0" borderId="30" xfId="0" applyFont="1" applyBorder="1"/>
    <xf numFmtId="0" fontId="57" fillId="15" borderId="0" xfId="0" applyFont="1" applyFill="1" applyAlignment="1">
      <alignment vertical="center"/>
    </xf>
    <xf numFmtId="0" fontId="0" fillId="0" borderId="0" xfId="0"/>
    <xf numFmtId="166" fontId="60" fillId="16" borderId="30" xfId="0" applyNumberFormat="1" applyFont="1" applyFill="1" applyBorder="1" applyAlignment="1">
      <alignment horizontal="center" vertical="center"/>
    </xf>
    <xf numFmtId="0" fontId="48" fillId="0" borderId="30" xfId="0" applyFont="1" applyBorder="1" applyAlignment="1">
      <alignment horizontal="center" vertical="center" wrapText="1"/>
    </xf>
    <xf numFmtId="0" fontId="61" fillId="16" borderId="30" xfId="0" applyFont="1" applyFill="1" applyBorder="1" applyAlignment="1">
      <alignment horizontal="center"/>
    </xf>
    <xf numFmtId="0" fontId="60" fillId="16" borderId="34" xfId="0" applyFont="1" applyFill="1" applyBorder="1" applyAlignment="1">
      <alignment horizontal="center" vertical="center"/>
    </xf>
    <xf numFmtId="0" fontId="61" fillId="16" borderId="34" xfId="0" applyFont="1" applyFill="1" applyBorder="1" applyAlignment="1">
      <alignment horizontal="center" vertical="center"/>
    </xf>
    <xf numFmtId="0" fontId="60" fillId="16" borderId="34" xfId="0" applyFont="1" applyFill="1" applyBorder="1" applyAlignment="1">
      <alignment horizontal="center" vertical="center" wrapText="1"/>
    </xf>
    <xf numFmtId="0" fontId="60" fillId="16" borderId="30" xfId="0" applyFont="1" applyFill="1" applyBorder="1" applyAlignment="1">
      <alignment horizontal="center" vertical="center" wrapText="1"/>
    </xf>
    <xf numFmtId="0" fontId="48" fillId="48" borderId="49" xfId="0" applyFont="1" applyFill="1" applyBorder="1" applyAlignment="1">
      <alignment vertical="center"/>
    </xf>
    <xf numFmtId="0" fontId="0" fillId="48" borderId="49" xfId="0" applyFill="1" applyBorder="1"/>
    <xf numFmtId="0" fontId="60" fillId="16" borderId="51" xfId="0" applyFont="1" applyFill="1" applyBorder="1" applyAlignment="1">
      <alignment vertical="center"/>
    </xf>
    <xf numFmtId="0" fontId="0" fillId="0" borderId="52" xfId="0" applyBorder="1" applyAlignment="1">
      <alignment vertical="center"/>
    </xf>
    <xf numFmtId="0" fontId="76"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5" fillId="0" borderId="0" xfId="0" applyFont="1" applyAlignment="1">
      <alignment horizontal="center" vertical="center" wrapText="1"/>
    </xf>
    <xf numFmtId="0" fontId="64" fillId="0" borderId="0" xfId="0" applyFont="1" applyAlignment="1">
      <alignment vertical="center"/>
    </xf>
    <xf numFmtId="0" fontId="25" fillId="16" borderId="30" xfId="0" applyFont="1" applyFill="1" applyBorder="1" applyAlignment="1">
      <alignment horizontal="center" vertical="center"/>
    </xf>
    <xf numFmtId="0" fontId="35" fillId="16" borderId="30" xfId="0" applyFont="1" applyFill="1" applyBorder="1" applyAlignment="1">
      <alignment vertical="center"/>
    </xf>
    <xf numFmtId="0" fontId="48" fillId="3" borderId="30" xfId="0" applyFont="1" applyFill="1" applyBorder="1" applyAlignment="1" applyProtection="1">
      <alignment horizontal="center" vertical="center"/>
      <protection locked="0"/>
    </xf>
    <xf numFmtId="0" fontId="48" fillId="0" borderId="30" xfId="0" applyFont="1" applyBorder="1" applyAlignment="1" applyProtection="1">
      <alignment vertical="center"/>
      <protection locked="0"/>
    </xf>
    <xf numFmtId="166" fontId="25" fillId="16" borderId="30" xfId="0" applyNumberFormat="1" applyFont="1" applyFill="1" applyBorder="1" applyAlignment="1">
      <alignment horizontal="center" vertical="center"/>
    </xf>
    <xf numFmtId="0" fontId="25" fillId="16" borderId="30" xfId="0" applyFont="1" applyFill="1" applyBorder="1" applyAlignment="1">
      <alignment horizontal="center" vertical="center" wrapText="1"/>
    </xf>
    <xf numFmtId="0" fontId="35" fillId="16" borderId="30" xfId="0" applyFont="1" applyFill="1" applyBorder="1" applyAlignment="1">
      <alignment vertical="center" wrapText="1"/>
    </xf>
    <xf numFmtId="166" fontId="70" fillId="16" borderId="30" xfId="0" applyNumberFormat="1" applyFont="1" applyFill="1" applyBorder="1" applyAlignment="1">
      <alignment horizontal="center" vertical="center"/>
    </xf>
    <xf numFmtId="0" fontId="49" fillId="22" borderId="35" xfId="0" applyFont="1" applyFill="1" applyBorder="1" applyAlignment="1">
      <alignment horizontal="center" vertical="center" wrapText="1"/>
    </xf>
    <xf numFmtId="0" fontId="49" fillId="22" borderId="36" xfId="0" applyFont="1" applyFill="1" applyBorder="1" applyAlignment="1">
      <alignment horizontal="center" vertical="center" wrapText="1"/>
    </xf>
    <xf numFmtId="0" fontId="49" fillId="22" borderId="40" xfId="0" applyFont="1" applyFill="1" applyBorder="1" applyAlignment="1">
      <alignment horizontal="center" vertical="center" wrapText="1"/>
    </xf>
    <xf numFmtId="0" fontId="49" fillId="22" borderId="27" xfId="0" applyFont="1" applyFill="1" applyBorder="1" applyAlignment="1">
      <alignment horizontal="center" vertical="center" wrapText="1"/>
    </xf>
    <xf numFmtId="0" fontId="49" fillId="22" borderId="33" xfId="0" applyFont="1" applyFill="1" applyBorder="1" applyAlignment="1">
      <alignment horizontal="center" vertical="center" wrapText="1"/>
    </xf>
    <xf numFmtId="0" fontId="61" fillId="16" borderId="30" xfId="0" applyFont="1" applyFill="1" applyBorder="1" applyAlignment="1">
      <alignment vertical="center"/>
    </xf>
    <xf numFmtId="0" fontId="65" fillId="14" borderId="23" xfId="0" applyFont="1" applyFill="1" applyBorder="1" applyAlignment="1">
      <alignment horizontal="center" vertical="center" wrapText="1"/>
    </xf>
    <xf numFmtId="0" fontId="64" fillId="14" borderId="23" xfId="0" applyFont="1" applyFill="1" applyBorder="1"/>
    <xf numFmtId="0" fontId="61" fillId="16" borderId="30" xfId="0" applyFont="1" applyFill="1" applyBorder="1" applyAlignment="1">
      <alignment vertical="center" wrapText="1"/>
    </xf>
    <xf numFmtId="0" fontId="0" fillId="0" borderId="0" xfId="0" applyAlignment="1">
      <alignment horizontal="center"/>
    </xf>
    <xf numFmtId="0" fontId="73" fillId="15" borderId="0" xfId="0" applyFont="1" applyFill="1" applyAlignment="1">
      <alignment horizontal="left" vertical="center"/>
    </xf>
    <xf numFmtId="0" fontId="42" fillId="48" borderId="49" xfId="0" applyFont="1" applyFill="1" applyBorder="1" applyAlignment="1">
      <alignment horizontal="left" vertical="center"/>
    </xf>
    <xf numFmtId="0" fontId="0" fillId="48" borderId="49" xfId="0" applyFill="1" applyBorder="1" applyAlignment="1">
      <alignment vertical="center"/>
    </xf>
    <xf numFmtId="0" fontId="148" fillId="15" borderId="0" xfId="0" applyFont="1" applyFill="1" applyAlignment="1">
      <alignment horizontal="center" vertical="center"/>
    </xf>
    <xf numFmtId="0" fontId="0" fillId="0" borderId="0" xfId="0" applyAlignment="1">
      <alignment horizontal="center" vertical="center"/>
    </xf>
    <xf numFmtId="0" fontId="58" fillId="0" borderId="30" xfId="0" applyFont="1" applyBorder="1" applyAlignment="1">
      <alignment horizontal="right" vertical="center" wrapText="1"/>
    </xf>
    <xf numFmtId="0" fontId="58" fillId="0" borderId="30" xfId="0" applyFont="1" applyBorder="1" applyAlignment="1">
      <alignment vertical="center"/>
    </xf>
    <xf numFmtId="0" fontId="104" fillId="16" borderId="30" xfId="0" applyFont="1" applyFill="1" applyBorder="1" applyAlignment="1">
      <alignment horizontal="center" vertical="center"/>
    </xf>
    <xf numFmtId="0" fontId="104" fillId="16" borderId="30" xfId="0" applyFont="1" applyFill="1" applyBorder="1" applyAlignment="1">
      <alignment vertical="center"/>
    </xf>
    <xf numFmtId="0" fontId="98" fillId="0" borderId="30" xfId="0" applyFont="1" applyBorder="1" applyAlignment="1">
      <alignment horizontal="right" vertical="center"/>
    </xf>
    <xf numFmtId="0" fontId="106" fillId="0" borderId="30" xfId="0" applyFont="1" applyBorder="1" applyAlignment="1">
      <alignment vertical="center"/>
    </xf>
    <xf numFmtId="0" fontId="58" fillId="0" borderId="30" xfId="0" applyFont="1" applyBorder="1" applyAlignment="1">
      <alignment horizontal="right" vertical="center"/>
    </xf>
    <xf numFmtId="0" fontId="26" fillId="16" borderId="30" xfId="0" applyFont="1" applyFill="1" applyBorder="1" applyAlignment="1">
      <alignment horizontal="right" vertical="center"/>
    </xf>
    <xf numFmtId="0" fontId="37" fillId="0" borderId="30" xfId="0" applyFont="1" applyBorder="1" applyAlignment="1">
      <alignment horizontal="center" vertical="center"/>
    </xf>
    <xf numFmtId="0" fontId="39" fillId="0" borderId="30" xfId="0" applyFont="1" applyBorder="1" applyAlignment="1">
      <alignment vertical="center"/>
    </xf>
    <xf numFmtId="0" fontId="61" fillId="16" borderId="30" xfId="0" applyFont="1" applyFill="1" applyBorder="1" applyAlignment="1">
      <alignment horizontal="center" vertical="center"/>
    </xf>
    <xf numFmtId="0" fontId="96" fillId="16" borderId="31" xfId="0" applyFont="1" applyFill="1" applyBorder="1" applyAlignment="1">
      <alignment horizontal="center" vertical="center"/>
    </xf>
    <xf numFmtId="0" fontId="96" fillId="16" borderId="28" xfId="0" applyFont="1" applyFill="1" applyBorder="1" applyAlignment="1">
      <alignment horizontal="center" vertical="center"/>
    </xf>
    <xf numFmtId="0" fontId="96" fillId="16" borderId="29" xfId="0" applyFont="1" applyFill="1" applyBorder="1" applyAlignment="1">
      <alignment horizontal="center" vertical="center"/>
    </xf>
    <xf numFmtId="0" fontId="42" fillId="16" borderId="30" xfId="0" applyFont="1" applyFill="1" applyBorder="1" applyAlignment="1">
      <alignment horizontal="center" vertical="center" wrapText="1"/>
    </xf>
    <xf numFmtId="0" fontId="42" fillId="16" borderId="30" xfId="0" applyFont="1" applyFill="1" applyBorder="1" applyAlignment="1">
      <alignment vertical="center"/>
    </xf>
    <xf numFmtId="0" fontId="42" fillId="16" borderId="37" xfId="0" applyFont="1" applyFill="1" applyBorder="1" applyAlignment="1">
      <alignment horizontal="center" vertical="center"/>
    </xf>
    <xf numFmtId="0" fontId="42" fillId="16" borderId="36" xfId="0" applyFont="1" applyFill="1" applyBorder="1" applyAlignment="1">
      <alignment horizontal="center" vertical="center"/>
    </xf>
    <xf numFmtId="0" fontId="42" fillId="16" borderId="38" xfId="0" applyFont="1" applyFill="1" applyBorder="1" applyAlignment="1">
      <alignment horizontal="center" vertical="center"/>
    </xf>
    <xf numFmtId="0" fontId="42" fillId="16" borderId="41" xfId="0" applyFont="1" applyFill="1" applyBorder="1" applyAlignment="1">
      <alignment horizontal="center" vertical="center"/>
    </xf>
    <xf numFmtId="0" fontId="42" fillId="16" borderId="40" xfId="0" applyFont="1" applyFill="1" applyBorder="1" applyAlignment="1">
      <alignment horizontal="center" vertical="center"/>
    </xf>
    <xf numFmtId="0" fontId="42" fillId="16" borderId="33" xfId="0" applyFont="1" applyFill="1" applyBorder="1" applyAlignment="1">
      <alignment horizontal="center" vertical="center"/>
    </xf>
    <xf numFmtId="0" fontId="97" fillId="16" borderId="30" xfId="0" applyFont="1" applyFill="1" applyBorder="1" applyAlignment="1">
      <alignment horizontal="center" vertical="center"/>
    </xf>
    <xf numFmtId="0" fontId="99" fillId="16" borderId="30" xfId="0" applyFont="1" applyFill="1" applyBorder="1" applyAlignment="1">
      <alignment vertical="center"/>
    </xf>
    <xf numFmtId="0" fontId="26" fillId="16" borderId="30" xfId="0" applyFont="1" applyFill="1" applyBorder="1" applyAlignment="1">
      <alignment horizontal="center" vertical="center" wrapText="1"/>
    </xf>
    <xf numFmtId="0" fontId="61" fillId="16" borderId="30" xfId="0" applyFont="1" applyFill="1" applyBorder="1" applyAlignment="1">
      <alignment horizontal="center" vertical="center" wrapText="1"/>
    </xf>
    <xf numFmtId="0" fontId="26" fillId="16" borderId="30" xfId="0" applyFont="1" applyFill="1" applyBorder="1" applyAlignment="1">
      <alignment horizontal="center" vertical="center"/>
    </xf>
    <xf numFmtId="164" fontId="40" fillId="5" borderId="17" xfId="0" applyNumberFormat="1" applyFont="1" applyFill="1" applyBorder="1" applyAlignment="1">
      <alignment horizontal="center" vertical="center"/>
    </xf>
    <xf numFmtId="0" fontId="62" fillId="0" borderId="16" xfId="0" applyFont="1" applyBorder="1" applyAlignment="1">
      <alignment vertical="center"/>
    </xf>
    <xf numFmtId="164" fontId="37" fillId="3" borderId="1" xfId="0" applyNumberFormat="1" applyFont="1" applyFill="1" applyBorder="1" applyAlignment="1">
      <alignment horizontal="center" vertical="center"/>
    </xf>
    <xf numFmtId="0" fontId="39" fillId="0" borderId="2" xfId="0" applyFont="1" applyBorder="1" applyAlignment="1">
      <alignment vertical="center"/>
    </xf>
    <xf numFmtId="0" fontId="39" fillId="0" borderId="3" xfId="0" applyFont="1" applyBorder="1" applyAlignment="1">
      <alignment vertical="center"/>
    </xf>
    <xf numFmtId="0" fontId="88" fillId="7" borderId="17" xfId="0" applyFont="1" applyFill="1" applyBorder="1" applyAlignment="1">
      <alignment vertical="center"/>
    </xf>
    <xf numFmtId="0" fontId="39" fillId="0" borderId="15" xfId="0" applyFont="1" applyBorder="1" applyAlignment="1">
      <alignment vertical="center"/>
    </xf>
    <xf numFmtId="0" fontId="39" fillId="0" borderId="16" xfId="0" applyFont="1" applyBorder="1" applyAlignment="1">
      <alignment vertical="center"/>
    </xf>
    <xf numFmtId="0" fontId="88" fillId="7" borderId="17" xfId="0" applyFont="1" applyFill="1" applyBorder="1" applyAlignment="1">
      <alignment horizontal="center" vertical="center" wrapText="1"/>
    </xf>
    <xf numFmtId="164" fontId="39" fillId="3" borderId="1" xfId="0" applyNumberFormat="1" applyFont="1" applyFill="1" applyBorder="1" applyAlignment="1">
      <alignment horizontal="center" vertical="center"/>
    </xf>
    <xf numFmtId="4" fontId="88" fillId="7" borderId="21" xfId="0" applyNumberFormat="1" applyFont="1" applyFill="1" applyBorder="1" applyAlignment="1">
      <alignment horizontal="center" vertical="center" wrapText="1"/>
    </xf>
    <xf numFmtId="0" fontId="39" fillId="0" borderId="22" xfId="0" applyFont="1" applyBorder="1" applyAlignment="1">
      <alignment vertical="center"/>
    </xf>
    <xf numFmtId="0" fontId="39" fillId="0" borderId="23" xfId="0" applyFont="1" applyBorder="1" applyAlignment="1">
      <alignment vertical="center"/>
    </xf>
    <xf numFmtId="0" fontId="39" fillId="0" borderId="22" xfId="0" applyFont="1" applyBorder="1" applyAlignment="1">
      <alignment horizontal="center" vertical="center"/>
    </xf>
    <xf numFmtId="0" fontId="39" fillId="0" borderId="23" xfId="0" applyFont="1" applyBorder="1" applyAlignment="1">
      <alignment horizontal="center" vertical="center"/>
    </xf>
    <xf numFmtId="0" fontId="129" fillId="49" borderId="12" xfId="0" applyFont="1" applyFill="1" applyBorder="1" applyAlignment="1">
      <alignment horizontal="right" vertical="center"/>
    </xf>
    <xf numFmtId="0" fontId="128" fillId="48" borderId="9" xfId="0" applyFont="1" applyFill="1" applyBorder="1" applyAlignment="1">
      <alignment horizontal="right" vertical="center"/>
    </xf>
    <xf numFmtId="0" fontId="88" fillId="7" borderId="17" xfId="0" applyFont="1" applyFill="1" applyBorder="1" applyAlignment="1">
      <alignment vertical="center" wrapText="1"/>
    </xf>
    <xf numFmtId="0" fontId="0" fillId="0" borderId="0" xfId="0" applyAlignment="1">
      <alignment vertical="center"/>
    </xf>
    <xf numFmtId="0" fontId="38" fillId="5" borderId="17" xfId="0" applyFont="1" applyFill="1" applyBorder="1" applyAlignment="1">
      <alignment horizontal="center" vertical="center"/>
    </xf>
    <xf numFmtId="0" fontId="39" fillId="0" borderId="18" xfId="0" applyFont="1" applyBorder="1" applyAlignment="1">
      <alignment vertical="center"/>
    </xf>
    <xf numFmtId="0" fontId="129" fillId="49" borderId="12" xfId="0" applyFont="1" applyFill="1" applyBorder="1" applyAlignment="1">
      <alignment horizontal="left" vertical="center"/>
    </xf>
    <xf numFmtId="0" fontId="128" fillId="48" borderId="9" xfId="0" applyFont="1" applyFill="1" applyBorder="1" applyAlignment="1">
      <alignment vertical="center"/>
    </xf>
    <xf numFmtId="0" fontId="128" fillId="48" borderId="10" xfId="0" applyFont="1" applyFill="1" applyBorder="1" applyAlignment="1">
      <alignment vertical="center"/>
    </xf>
    <xf numFmtId="0" fontId="38" fillId="5" borderId="14" xfId="0" applyFont="1" applyFill="1" applyBorder="1" applyAlignment="1">
      <alignment horizontal="center" vertical="center"/>
    </xf>
    <xf numFmtId="0" fontId="102" fillId="15" borderId="0" xfId="0" applyFont="1" applyFill="1" applyAlignment="1">
      <alignment horizontal="center" vertical="top"/>
    </xf>
    <xf numFmtId="0" fontId="149" fillId="15" borderId="0" xfId="0" applyFont="1" applyFill="1" applyAlignment="1">
      <alignment horizontal="center" vertical="top"/>
    </xf>
    <xf numFmtId="0" fontId="12" fillId="0" borderId="0" xfId="0" applyFont="1" applyAlignment="1">
      <alignment horizontal="center"/>
    </xf>
    <xf numFmtId="0" fontId="57" fillId="26" borderId="8" xfId="0" applyFont="1" applyFill="1" applyBorder="1" applyAlignment="1">
      <alignment horizontal="left" vertical="center" wrapText="1"/>
    </xf>
    <xf numFmtId="0" fontId="59" fillId="15" borderId="12" xfId="0" applyFont="1" applyFill="1" applyBorder="1" applyAlignment="1">
      <alignment horizontal="left" vertical="center"/>
    </xf>
    <xf numFmtId="0" fontId="0" fillId="0" borderId="12" xfId="0" applyBorder="1" applyAlignment="1">
      <alignment vertical="center"/>
    </xf>
    <xf numFmtId="0" fontId="88" fillId="7" borderId="17" xfId="0" applyFont="1" applyFill="1" applyBorder="1" applyAlignment="1">
      <alignment horizontal="center" vertical="center"/>
    </xf>
    <xf numFmtId="0" fontId="39" fillId="0" borderId="15" xfId="0" applyFont="1" applyBorder="1" applyAlignment="1">
      <alignment horizontal="center" vertical="center"/>
    </xf>
    <xf numFmtId="0" fontId="39" fillId="0" borderId="16" xfId="0" applyFont="1" applyBorder="1" applyAlignment="1">
      <alignment horizontal="center" vertical="center"/>
    </xf>
    <xf numFmtId="0" fontId="89" fillId="7" borderId="17" xfId="0" applyFont="1" applyFill="1" applyBorder="1" applyAlignment="1">
      <alignment horizontal="center" vertical="center" wrapText="1"/>
    </xf>
    <xf numFmtId="0" fontId="89" fillId="0" borderId="15" xfId="0" applyFont="1" applyBorder="1" applyAlignment="1">
      <alignment vertical="center"/>
    </xf>
    <xf numFmtId="0" fontId="89" fillId="0" borderId="16" xfId="0" applyFont="1" applyBorder="1" applyAlignment="1">
      <alignment vertical="center"/>
    </xf>
    <xf numFmtId="4" fontId="58" fillId="0" borderId="39" xfId="0" applyNumberFormat="1" applyFont="1" applyBorder="1" applyAlignment="1">
      <alignment horizontal="center" vertical="center"/>
    </xf>
    <xf numFmtId="4" fontId="58" fillId="0" borderId="44" xfId="0" applyNumberFormat="1" applyFont="1" applyBorder="1" applyAlignment="1">
      <alignment horizontal="center" vertical="center"/>
    </xf>
    <xf numFmtId="4" fontId="58" fillId="0" borderId="34" xfId="0" applyNumberFormat="1" applyFont="1" applyBorder="1" applyAlignment="1">
      <alignment horizontal="center" vertical="center"/>
    </xf>
    <xf numFmtId="0" fontId="18" fillId="0" borderId="0" xfId="0" applyFont="1" applyAlignment="1">
      <alignment horizontal="center" vertical="center"/>
    </xf>
    <xf numFmtId="0" fontId="55" fillId="15" borderId="0" xfId="0" applyFont="1" applyFill="1" applyAlignment="1">
      <alignment horizontal="center"/>
    </xf>
    <xf numFmtId="0" fontId="141" fillId="15" borderId="0" xfId="0" applyFont="1" applyFill="1" applyAlignment="1">
      <alignment horizontal="center" vertical="center"/>
    </xf>
    <xf numFmtId="4" fontId="58" fillId="0" borderId="30" xfId="0" applyNumberFormat="1" applyFont="1" applyBorder="1" applyAlignment="1">
      <alignment horizontal="center" vertical="center"/>
    </xf>
    <xf numFmtId="0" fontId="58" fillId="0" borderId="30" xfId="0" applyFont="1" applyBorder="1" applyAlignment="1">
      <alignment horizontal="center" vertical="center"/>
    </xf>
    <xf numFmtId="4" fontId="46" fillId="0" borderId="30" xfId="0" applyNumberFormat="1" applyFont="1" applyBorder="1" applyAlignment="1">
      <alignment horizontal="center" vertical="center"/>
    </xf>
    <xf numFmtId="0" fontId="42" fillId="0" borderId="30" xfId="0" applyFont="1" applyBorder="1" applyAlignment="1">
      <alignment horizontal="center" vertical="center"/>
    </xf>
    <xf numFmtId="0" fontId="46" fillId="0" borderId="30" xfId="0" applyFont="1" applyBorder="1" applyAlignment="1">
      <alignment horizontal="center" vertical="center"/>
    </xf>
    <xf numFmtId="2" fontId="46" fillId="0" borderId="30" xfId="0" applyNumberFormat="1" applyFont="1" applyBorder="1" applyAlignment="1">
      <alignment horizontal="center" vertical="center"/>
    </xf>
    <xf numFmtId="0" fontId="42" fillId="0" borderId="30" xfId="0" applyFont="1" applyBorder="1" applyAlignment="1">
      <alignment vertical="center"/>
    </xf>
    <xf numFmtId="0" fontId="58" fillId="0" borderId="30" xfId="0" applyFont="1" applyBorder="1" applyAlignment="1">
      <alignment horizontal="left" vertical="center" wrapText="1"/>
    </xf>
    <xf numFmtId="0" fontId="58" fillId="0" borderId="30" xfId="0" applyFont="1" applyBorder="1" applyAlignment="1">
      <alignment horizontal="left" vertical="center"/>
    </xf>
    <xf numFmtId="0" fontId="47" fillId="16" borderId="30" xfId="0" applyFont="1" applyFill="1" applyBorder="1" applyAlignment="1">
      <alignment horizontal="center" vertical="center"/>
    </xf>
    <xf numFmtId="0" fontId="99" fillId="16" borderId="30" xfId="0" applyFont="1" applyFill="1" applyBorder="1" applyAlignment="1">
      <alignment horizontal="center" vertical="center"/>
    </xf>
    <xf numFmtId="0" fontId="47" fillId="16" borderId="30" xfId="0" applyFont="1" applyFill="1" applyBorder="1" applyAlignment="1">
      <alignment horizontal="center" vertical="center" wrapText="1"/>
    </xf>
    <xf numFmtId="4" fontId="60" fillId="16" borderId="30" xfId="0" applyNumberFormat="1" applyFont="1" applyFill="1" applyBorder="1" applyAlignment="1">
      <alignment horizontal="center" vertical="center" wrapText="1"/>
    </xf>
    <xf numFmtId="4" fontId="46" fillId="0" borderId="29" xfId="0" applyNumberFormat="1" applyFont="1" applyBorder="1" applyAlignment="1">
      <alignment horizontal="center" vertical="center"/>
    </xf>
    <xf numFmtId="0" fontId="60" fillId="29" borderId="125" xfId="0" applyFont="1" applyFill="1" applyBorder="1" applyAlignment="1">
      <alignment horizontal="center" vertical="center"/>
    </xf>
    <xf numFmtId="0" fontId="60" fillId="29" borderId="137" xfId="0" applyFont="1" applyFill="1" applyBorder="1" applyAlignment="1">
      <alignment horizontal="center" vertical="center"/>
    </xf>
    <xf numFmtId="0" fontId="60" fillId="29" borderId="138" xfId="0" applyFont="1" applyFill="1" applyBorder="1" applyAlignment="1">
      <alignment horizontal="center" vertical="center"/>
    </xf>
    <xf numFmtId="0" fontId="146" fillId="48" borderId="154" xfId="0" applyFont="1" applyFill="1" applyBorder="1" applyAlignment="1">
      <alignment horizontal="left" vertical="center"/>
    </xf>
    <xf numFmtId="0" fontId="146" fillId="48" borderId="155" xfId="0" applyFont="1" applyFill="1" applyBorder="1" applyAlignment="1">
      <alignment horizontal="left" vertical="center"/>
    </xf>
    <xf numFmtId="0" fontId="70" fillId="48" borderId="157" xfId="0" applyFont="1" applyFill="1" applyBorder="1" applyAlignment="1">
      <alignment horizontal="left" vertical="center"/>
    </xf>
    <xf numFmtId="0" fontId="70" fillId="48" borderId="158" xfId="0" applyFont="1" applyFill="1" applyBorder="1" applyAlignment="1">
      <alignment horizontal="left" vertical="center"/>
    </xf>
    <xf numFmtId="2" fontId="47" fillId="16" borderId="61" xfId="0" applyNumberFormat="1" applyFont="1" applyFill="1" applyBorder="1" applyAlignment="1">
      <alignment horizontal="left" vertical="center"/>
    </xf>
    <xf numFmtId="0" fontId="99" fillId="16" borderId="62" xfId="0" applyFont="1" applyFill="1" applyBorder="1" applyAlignment="1">
      <alignment horizontal="left" vertical="center"/>
    </xf>
    <xf numFmtId="3" fontId="47" fillId="41" borderId="30" xfId="0" applyNumberFormat="1" applyFont="1" applyFill="1" applyBorder="1" applyAlignment="1" applyProtection="1">
      <alignment horizontal="center" vertical="center"/>
      <protection locked="0"/>
    </xf>
    <xf numFmtId="0" fontId="99" fillId="16" borderId="60" xfId="0" applyFont="1" applyFill="1" applyBorder="1" applyAlignment="1" applyProtection="1">
      <alignment vertical="center"/>
      <protection locked="0"/>
    </xf>
    <xf numFmtId="0" fontId="124" fillId="15" borderId="0" xfId="0" applyFont="1" applyFill="1" applyAlignment="1">
      <alignment horizontal="left" vertical="center"/>
    </xf>
    <xf numFmtId="0" fontId="126" fillId="53" borderId="0" xfId="0" applyFont="1" applyFill="1" applyAlignment="1">
      <alignment vertical="center"/>
    </xf>
    <xf numFmtId="3" fontId="42" fillId="0" borderId="30" xfId="0" applyNumberFormat="1" applyFont="1" applyBorder="1" applyAlignment="1">
      <alignment horizontal="center" vertical="center"/>
    </xf>
    <xf numFmtId="0" fontId="60" fillId="29" borderId="30" xfId="0" applyFont="1" applyFill="1" applyBorder="1" applyAlignment="1">
      <alignment horizontal="center" vertical="center" wrapText="1"/>
    </xf>
    <xf numFmtId="0" fontId="206" fillId="29" borderId="29" xfId="0" applyFont="1" applyFill="1" applyBorder="1" applyAlignment="1">
      <alignment horizontal="left" vertical="center" wrapText="1"/>
    </xf>
    <xf numFmtId="0" fontId="207" fillId="16" borderId="30" xfId="0" applyFont="1" applyFill="1" applyBorder="1" applyAlignment="1">
      <alignment horizontal="left" vertical="center"/>
    </xf>
    <xf numFmtId="0" fontId="219" fillId="29" borderId="29" xfId="0" applyFont="1" applyFill="1" applyBorder="1" applyAlignment="1">
      <alignment horizontal="center" vertical="center" wrapText="1"/>
    </xf>
    <xf numFmtId="0" fontId="220" fillId="16" borderId="30" xfId="0" applyFont="1" applyFill="1" applyBorder="1" applyAlignment="1">
      <alignment horizontal="center" vertical="center"/>
    </xf>
    <xf numFmtId="0" fontId="220" fillId="16" borderId="31" xfId="0" applyFont="1" applyFill="1" applyBorder="1" applyAlignment="1">
      <alignment horizontal="center" vertical="center"/>
    </xf>
    <xf numFmtId="0" fontId="220" fillId="16" borderId="29" xfId="0" applyFont="1" applyFill="1" applyBorder="1" applyAlignment="1">
      <alignment horizontal="center" vertical="center"/>
    </xf>
    <xf numFmtId="0" fontId="205" fillId="16" borderId="29" xfId="0" applyFont="1" applyFill="1" applyBorder="1" applyAlignment="1">
      <alignment horizontal="center" vertical="center"/>
    </xf>
    <xf numFmtId="0" fontId="205" fillId="16" borderId="30" xfId="0" applyFont="1" applyFill="1" applyBorder="1" applyAlignment="1">
      <alignment vertical="center"/>
    </xf>
    <xf numFmtId="0" fontId="205" fillId="16" borderId="30" xfId="0" applyFont="1" applyFill="1" applyBorder="1" applyAlignment="1">
      <alignment horizontal="center" vertical="center"/>
    </xf>
    <xf numFmtId="0" fontId="227" fillId="29" borderId="30" xfId="0" applyFont="1" applyFill="1" applyBorder="1" applyAlignment="1">
      <alignment horizontal="center" vertical="center" wrapText="1"/>
    </xf>
    <xf numFmtId="0" fontId="228" fillId="16" borderId="30" xfId="0" applyFont="1" applyFill="1" applyBorder="1" applyAlignment="1">
      <alignment horizontal="center" vertical="center"/>
    </xf>
    <xf numFmtId="0" fontId="219" fillId="29" borderId="30" xfId="0" applyFont="1" applyFill="1" applyBorder="1" applyAlignment="1">
      <alignment horizontal="center" vertical="center" wrapText="1"/>
    </xf>
    <xf numFmtId="0" fontId="220" fillId="16" borderId="39" xfId="0" applyFont="1" applyFill="1" applyBorder="1" applyAlignment="1">
      <alignment horizontal="center" vertical="center"/>
    </xf>
    <xf numFmtId="0" fontId="220" fillId="16" borderId="30" xfId="0" applyFont="1" applyFill="1" applyBorder="1" applyAlignment="1">
      <alignment vertical="center"/>
    </xf>
    <xf numFmtId="0" fontId="220" fillId="16" borderId="31" xfId="0" applyFont="1" applyFill="1" applyBorder="1" applyAlignment="1">
      <alignment vertical="center"/>
    </xf>
    <xf numFmtId="3" fontId="42" fillId="0" borderId="39" xfId="0" applyNumberFormat="1" applyFont="1" applyBorder="1" applyAlignment="1">
      <alignment horizontal="center" vertical="center"/>
    </xf>
    <xf numFmtId="0" fontId="42" fillId="0" borderId="34" xfId="0" applyFont="1" applyBorder="1" applyAlignment="1">
      <alignment horizontal="center" vertical="center"/>
    </xf>
    <xf numFmtId="3" fontId="42" fillId="0" borderId="34" xfId="0" applyNumberFormat="1" applyFont="1" applyBorder="1" applyAlignment="1">
      <alignment horizontal="center" vertical="center"/>
    </xf>
    <xf numFmtId="2" fontId="226" fillId="0" borderId="39" xfId="0" applyNumberFormat="1" applyFont="1" applyBorder="1" applyAlignment="1">
      <alignment horizontal="center" vertical="center" wrapText="1"/>
    </xf>
    <xf numFmtId="2" fontId="226" fillId="0" borderId="44" xfId="0" applyNumberFormat="1" applyFont="1" applyBorder="1" applyAlignment="1">
      <alignment horizontal="center" vertical="center" wrapText="1"/>
    </xf>
    <xf numFmtId="2" fontId="226" fillId="0" borderId="34" xfId="0" applyNumberFormat="1" applyFont="1" applyBorder="1" applyAlignment="1">
      <alignment horizontal="center" vertical="center" wrapText="1"/>
    </xf>
    <xf numFmtId="2" fontId="226" fillId="2" borderId="30" xfId="0" applyNumberFormat="1" applyFont="1" applyFill="1" applyBorder="1" applyAlignment="1" applyProtection="1">
      <alignment horizontal="center" vertical="center" wrapText="1"/>
      <protection locked="0"/>
    </xf>
    <xf numFmtId="0" fontId="32" fillId="0" borderId="30" xfId="0" applyFont="1" applyBorder="1" applyAlignment="1" applyProtection="1">
      <alignment vertical="center"/>
      <protection locked="0"/>
    </xf>
    <xf numFmtId="0" fontId="32" fillId="0" borderId="30" xfId="0" applyFont="1" applyBorder="1" applyAlignment="1" applyProtection="1">
      <alignment horizontal="center" vertical="center"/>
      <protection locked="0"/>
    </xf>
    <xf numFmtId="2" fontId="226" fillId="2" borderId="31" xfId="0" applyNumberFormat="1" applyFont="1" applyFill="1" applyBorder="1" applyAlignment="1" applyProtection="1">
      <alignment horizontal="center" vertical="center" wrapText="1"/>
      <protection locked="0"/>
    </xf>
    <xf numFmtId="0" fontId="32" fillId="0" borderId="31" xfId="0" applyFont="1" applyBorder="1" applyAlignment="1" applyProtection="1">
      <alignment vertical="center"/>
      <protection locked="0"/>
    </xf>
    <xf numFmtId="2" fontId="32" fillId="0" borderId="30" xfId="0" applyNumberFormat="1" applyFont="1" applyBorder="1" applyAlignment="1" applyProtection="1">
      <alignment horizontal="center" vertical="center"/>
      <protection locked="0"/>
    </xf>
    <xf numFmtId="2" fontId="32" fillId="0" borderId="31" xfId="0" applyNumberFormat="1" applyFont="1" applyBorder="1" applyAlignment="1" applyProtection="1">
      <alignment vertical="center"/>
      <protection locked="0"/>
    </xf>
    <xf numFmtId="0" fontId="166" fillId="29" borderId="112" xfId="0" applyFont="1" applyFill="1" applyBorder="1" applyAlignment="1">
      <alignment horizontal="center" vertical="center"/>
    </xf>
    <xf numFmtId="0" fontId="166" fillId="29" borderId="116" xfId="0" applyFont="1" applyFill="1" applyBorder="1" applyAlignment="1">
      <alignment horizontal="center" vertical="center"/>
    </xf>
    <xf numFmtId="0" fontId="166" fillId="29" borderId="113" xfId="0" applyFont="1" applyFill="1" applyBorder="1" applyAlignment="1">
      <alignment horizontal="center" vertical="center"/>
    </xf>
    <xf numFmtId="3" fontId="161" fillId="29" borderId="113" xfId="0" applyNumberFormat="1" applyFont="1" applyFill="1" applyBorder="1" applyAlignment="1">
      <alignment horizontal="center" vertical="center" wrapText="1"/>
    </xf>
    <xf numFmtId="3" fontId="161" fillId="29" borderId="60" xfId="0" applyNumberFormat="1" applyFont="1" applyFill="1" applyBorder="1" applyAlignment="1">
      <alignment horizontal="center" vertical="center" wrapText="1"/>
    </xf>
    <xf numFmtId="3" fontId="161" fillId="29" borderId="112" xfId="0" applyNumberFormat="1" applyFont="1" applyFill="1" applyBorder="1" applyAlignment="1">
      <alignment horizontal="center" vertical="center" wrapText="1"/>
    </xf>
    <xf numFmtId="3" fontId="161" fillId="29" borderId="59" xfId="0" applyNumberFormat="1" applyFont="1" applyFill="1" applyBorder="1" applyAlignment="1">
      <alignment horizontal="center" vertical="center" wrapText="1"/>
    </xf>
    <xf numFmtId="0" fontId="42" fillId="14" borderId="23" xfId="0" applyFont="1" applyFill="1" applyBorder="1" applyAlignment="1">
      <alignment horizontal="left" vertical="center"/>
    </xf>
    <xf numFmtId="0" fontId="42" fillId="14" borderId="23" xfId="0" applyFont="1" applyFill="1" applyBorder="1" applyAlignment="1">
      <alignment vertical="center"/>
    </xf>
    <xf numFmtId="0" fontId="192" fillId="28" borderId="29" xfId="0" applyFont="1" applyFill="1" applyBorder="1" applyAlignment="1">
      <alignment horizontal="left" vertical="center" wrapText="1"/>
    </xf>
    <xf numFmtId="0" fontId="224" fillId="15" borderId="30" xfId="0" applyFont="1" applyFill="1" applyBorder="1" applyAlignment="1">
      <alignment horizontal="left" vertical="center"/>
    </xf>
    <xf numFmtId="0" fontId="224" fillId="15" borderId="29" xfId="0" applyFont="1" applyFill="1" applyBorder="1" applyAlignment="1">
      <alignment horizontal="left" vertical="center"/>
    </xf>
    <xf numFmtId="0" fontId="61" fillId="16" borderId="39" xfId="0" applyFont="1" applyFill="1" applyBorder="1" applyAlignment="1">
      <alignment horizontal="center" vertical="center"/>
    </xf>
    <xf numFmtId="0" fontId="219" fillId="29" borderId="31" xfId="0" applyFont="1" applyFill="1" applyBorder="1" applyAlignment="1">
      <alignment horizontal="center" vertical="center"/>
    </xf>
    <xf numFmtId="0" fontId="220" fillId="16" borderId="28" xfId="0" applyFont="1" applyFill="1" applyBorder="1" applyAlignment="1">
      <alignment vertical="center"/>
    </xf>
    <xf numFmtId="0" fontId="220" fillId="16" borderId="29" xfId="0" applyFont="1" applyFill="1" applyBorder="1" applyAlignment="1">
      <alignment vertical="center"/>
    </xf>
    <xf numFmtId="0" fontId="206" fillId="29" borderId="31" xfId="0" applyFont="1" applyFill="1" applyBorder="1" applyAlignment="1">
      <alignment horizontal="center" vertical="center"/>
    </xf>
    <xf numFmtId="0" fontId="207" fillId="16" borderId="28" xfId="0" applyFont="1" applyFill="1" applyBorder="1" applyAlignment="1">
      <alignment vertical="center"/>
    </xf>
    <xf numFmtId="0" fontId="207" fillId="16" borderId="29" xfId="0" applyFont="1" applyFill="1" applyBorder="1" applyAlignment="1">
      <alignment vertical="center"/>
    </xf>
    <xf numFmtId="0" fontId="57" fillId="28" borderId="28" xfId="0" applyFont="1" applyFill="1" applyBorder="1" applyAlignment="1">
      <alignment horizontal="center" vertical="center"/>
    </xf>
    <xf numFmtId="0" fontId="59" fillId="15" borderId="28" xfId="0" applyFont="1" applyFill="1" applyBorder="1" applyAlignment="1">
      <alignment vertical="center"/>
    </xf>
    <xf numFmtId="166" fontId="42" fillId="11" borderId="39" xfId="1" applyNumberFormat="1" applyFont="1" applyFill="1" applyBorder="1" applyAlignment="1" applyProtection="1">
      <alignment horizontal="center" vertical="center"/>
      <protection locked="0"/>
    </xf>
    <xf numFmtId="166" fontId="42" fillId="11" borderId="34" xfId="1" applyNumberFormat="1" applyFont="1" applyFill="1" applyBorder="1" applyAlignment="1" applyProtection="1">
      <alignment horizontal="center" vertical="center"/>
      <protection locked="0"/>
    </xf>
    <xf numFmtId="0" fontId="204" fillId="28" borderId="23" xfId="0" applyFont="1" applyFill="1" applyBorder="1" applyAlignment="1">
      <alignment horizontal="left" vertical="center" wrapText="1"/>
    </xf>
    <xf numFmtId="0" fontId="221" fillId="28" borderId="23" xfId="0" applyFont="1" applyFill="1" applyBorder="1" applyAlignment="1">
      <alignment horizontal="left" vertical="center"/>
    </xf>
    <xf numFmtId="0" fontId="25" fillId="0" borderId="148" xfId="0" applyFont="1" applyBorder="1" applyAlignment="1">
      <alignment horizontal="left" vertical="center" wrapText="1"/>
    </xf>
    <xf numFmtId="0" fontId="25" fillId="0" borderId="121" xfId="0" applyFont="1" applyBorder="1" applyAlignment="1">
      <alignment horizontal="left" vertical="center" wrapText="1"/>
    </xf>
    <xf numFmtId="0" fontId="25" fillId="0" borderId="39" xfId="0" applyFont="1" applyBorder="1" applyAlignment="1">
      <alignment horizontal="center" vertical="center"/>
    </xf>
    <xf numFmtId="0" fontId="25" fillId="0" borderId="97" xfId="0" applyFont="1" applyBorder="1" applyAlignment="1">
      <alignment horizontal="center" vertical="center"/>
    </xf>
    <xf numFmtId="9" fontId="25" fillId="2" borderId="152" xfId="0" applyNumberFormat="1" applyFont="1" applyFill="1" applyBorder="1" applyAlignment="1" applyProtection="1">
      <alignment horizontal="center" vertical="center"/>
      <protection locked="0"/>
    </xf>
    <xf numFmtId="9" fontId="25" fillId="2" borderId="123" xfId="0" applyNumberFormat="1" applyFont="1" applyFill="1" applyBorder="1" applyAlignment="1" applyProtection="1">
      <alignment horizontal="center" vertical="center"/>
      <protection locked="0"/>
    </xf>
    <xf numFmtId="3" fontId="62" fillId="16" borderId="39" xfId="0" applyNumberFormat="1" applyFont="1" applyFill="1" applyBorder="1" applyAlignment="1">
      <alignment horizontal="left" vertical="center" wrapText="1"/>
    </xf>
    <xf numFmtId="3" fontId="62" fillId="16" borderId="34" xfId="0" applyNumberFormat="1" applyFont="1" applyFill="1" applyBorder="1" applyAlignment="1">
      <alignment horizontal="left" vertical="center" wrapText="1"/>
    </xf>
    <xf numFmtId="166" fontId="25" fillId="2" borderId="60" xfId="0" applyNumberFormat="1" applyFont="1" applyFill="1" applyBorder="1" applyAlignment="1" applyProtection="1">
      <alignment horizontal="center" vertical="center"/>
      <protection locked="0"/>
    </xf>
    <xf numFmtId="166" fontId="25" fillId="2" borderId="63" xfId="0" applyNumberFormat="1" applyFont="1" applyFill="1" applyBorder="1" applyAlignment="1" applyProtection="1">
      <alignment horizontal="center" vertical="center"/>
      <protection locked="0"/>
    </xf>
    <xf numFmtId="3" fontId="25" fillId="2" borderId="59" xfId="0" applyNumberFormat="1" applyFont="1" applyFill="1" applyBorder="1" applyAlignment="1" applyProtection="1">
      <alignment horizontal="center" vertical="center"/>
      <protection locked="0"/>
    </xf>
    <xf numFmtId="3" fontId="25" fillId="2" borderId="61" xfId="0" applyNumberFormat="1" applyFont="1" applyFill="1" applyBorder="1" applyAlignment="1" applyProtection="1">
      <alignment horizontal="center" vertical="center"/>
      <protection locked="0"/>
    </xf>
    <xf numFmtId="0" fontId="203" fillId="52" borderId="117" xfId="0" applyFont="1" applyFill="1" applyBorder="1" applyAlignment="1">
      <alignment horizontal="right" vertical="center" wrapText="1"/>
    </xf>
    <xf numFmtId="0" fontId="203" fillId="52" borderId="118" xfId="0" applyFont="1" applyFill="1" applyBorder="1" applyAlignment="1">
      <alignment horizontal="right" vertical="center" wrapText="1"/>
    </xf>
    <xf numFmtId="0" fontId="160" fillId="29" borderId="205" xfId="0" applyFont="1" applyFill="1" applyBorder="1" applyAlignment="1">
      <alignment horizontal="left" vertical="center"/>
    </xf>
    <xf numFmtId="0" fontId="160" fillId="29" borderId="206" xfId="0" applyFont="1" applyFill="1" applyBorder="1" applyAlignment="1">
      <alignment horizontal="left" vertical="center"/>
    </xf>
    <xf numFmtId="0" fontId="160" fillId="29" borderId="191" xfId="0" applyFont="1" applyFill="1" applyBorder="1" applyAlignment="1">
      <alignment horizontal="left" vertical="center"/>
    </xf>
    <xf numFmtId="0" fontId="192" fillId="28" borderId="23" xfId="0" applyFont="1" applyFill="1" applyBorder="1" applyAlignment="1">
      <alignment horizontal="left" vertical="center" wrapText="1"/>
    </xf>
    <xf numFmtId="0" fontId="201" fillId="52" borderId="148" xfId="0" applyFont="1" applyFill="1" applyBorder="1" applyAlignment="1">
      <alignment horizontal="right" vertical="center"/>
    </xf>
    <xf numFmtId="0" fontId="201" fillId="52" borderId="36" xfId="0" applyFont="1" applyFill="1" applyBorder="1" applyAlignment="1">
      <alignment horizontal="right" vertical="center"/>
    </xf>
    <xf numFmtId="0" fontId="201" fillId="61" borderId="207" xfId="0" applyFont="1" applyFill="1" applyBorder="1" applyAlignment="1">
      <alignment horizontal="right" vertical="center" wrapText="1"/>
    </xf>
    <xf numFmtId="0" fontId="201" fillId="61" borderId="208" xfId="0" applyFont="1" applyFill="1" applyBorder="1" applyAlignment="1">
      <alignment horizontal="right" vertical="center" wrapText="1"/>
    </xf>
    <xf numFmtId="0" fontId="201" fillId="52" borderId="150" xfId="0" applyFont="1" applyFill="1" applyBorder="1" applyAlignment="1">
      <alignment horizontal="right" vertical="center" wrapText="1"/>
    </xf>
    <xf numFmtId="0" fontId="201" fillId="52" borderId="149" xfId="0" applyFont="1" applyFill="1" applyBorder="1" applyAlignment="1">
      <alignment horizontal="right" vertical="center" wrapText="1"/>
    </xf>
    <xf numFmtId="0" fontId="201" fillId="52" borderId="31" xfId="0" applyFont="1" applyFill="1" applyBorder="1" applyAlignment="1">
      <alignment horizontal="right" vertical="center"/>
    </xf>
    <xf numFmtId="0" fontId="201" fillId="52" borderId="29" xfId="0" applyFont="1" applyFill="1" applyBorder="1" applyAlignment="1">
      <alignment horizontal="right" vertical="center"/>
    </xf>
    <xf numFmtId="0" fontId="201" fillId="52" borderId="37" xfId="0" applyFont="1" applyFill="1" applyBorder="1" applyAlignment="1">
      <alignment horizontal="right" vertical="center"/>
    </xf>
    <xf numFmtId="0" fontId="201" fillId="52" borderId="120" xfId="0" applyFont="1" applyFill="1" applyBorder="1" applyAlignment="1">
      <alignment horizontal="right" vertical="center"/>
    </xf>
    <xf numFmtId="0" fontId="160" fillId="29" borderId="192" xfId="0" applyFont="1" applyFill="1" applyBorder="1" applyAlignment="1">
      <alignment horizontal="center" vertical="center" wrapText="1"/>
    </xf>
    <xf numFmtId="0" fontId="160" fillId="29" borderId="193" xfId="0" applyFont="1" applyFill="1" applyBorder="1" applyAlignment="1">
      <alignment horizontal="center" vertical="center" wrapText="1"/>
    </xf>
    <xf numFmtId="0" fontId="160" fillId="29" borderId="194" xfId="0" applyFont="1" applyFill="1" applyBorder="1" applyAlignment="1">
      <alignment horizontal="center" vertical="center" wrapText="1"/>
    </xf>
    <xf numFmtId="0" fontId="201" fillId="52" borderId="134" xfId="0" applyFont="1" applyFill="1" applyBorder="1" applyAlignment="1">
      <alignment horizontal="right" vertical="center" wrapText="1"/>
    </xf>
    <xf numFmtId="0" fontId="171" fillId="16" borderId="202" xfId="0" applyFont="1" applyFill="1" applyBorder="1" applyAlignment="1">
      <alignment horizontal="center" vertical="center" wrapText="1"/>
    </xf>
    <xf numFmtId="0" fontId="171" fillId="16" borderId="131" xfId="0" applyFont="1" applyFill="1" applyBorder="1" applyAlignment="1">
      <alignment horizontal="center" vertical="center" wrapText="1"/>
    </xf>
    <xf numFmtId="0" fontId="171" fillId="57" borderId="203" xfId="0" applyFont="1" applyFill="1" applyBorder="1" applyAlignment="1">
      <alignment horizontal="center" vertical="center" wrapText="1"/>
    </xf>
    <xf numFmtId="0" fontId="171" fillId="57" borderId="204" xfId="0" applyFont="1" applyFill="1" applyBorder="1" applyAlignment="1">
      <alignment horizontal="center" vertical="center" wrapText="1"/>
    </xf>
    <xf numFmtId="0" fontId="8" fillId="0" borderId="23" xfId="0" applyFont="1" applyBorder="1" applyAlignment="1">
      <alignment horizontal="center" vertical="center" wrapText="1"/>
    </xf>
    <xf numFmtId="166" fontId="202" fillId="56" borderId="184" xfId="1" applyNumberFormat="1" applyFont="1" applyFill="1" applyBorder="1" applyAlignment="1">
      <alignment horizontal="center" vertical="center"/>
    </xf>
    <xf numFmtId="166" fontId="202" fillId="56" borderId="178" xfId="1" applyNumberFormat="1" applyFont="1" applyFill="1" applyBorder="1" applyAlignment="1">
      <alignment horizontal="center" vertical="center"/>
    </xf>
    <xf numFmtId="166" fontId="202" fillId="56" borderId="179" xfId="1" applyNumberFormat="1" applyFont="1" applyFill="1" applyBorder="1" applyAlignment="1">
      <alignment horizontal="center" vertical="center"/>
    </xf>
    <xf numFmtId="0" fontId="247" fillId="56" borderId="185" xfId="0" applyFont="1" applyFill="1" applyBorder="1" applyAlignment="1">
      <alignment horizontal="left" vertical="center" wrapText="1"/>
    </xf>
    <xf numFmtId="0" fontId="247" fillId="56" borderId="119" xfId="0" applyFont="1" applyFill="1" applyBorder="1" applyAlignment="1">
      <alignment horizontal="left" vertical="center" wrapText="1"/>
    </xf>
    <xf numFmtId="0" fontId="247" fillId="56" borderId="121" xfId="0" applyFont="1" applyFill="1" applyBorder="1" applyAlignment="1">
      <alignment horizontal="left" vertical="center" wrapText="1"/>
    </xf>
    <xf numFmtId="0" fontId="247" fillId="56" borderId="123" xfId="0" applyFont="1" applyFill="1" applyBorder="1" applyAlignment="1">
      <alignment horizontal="left" vertical="center" wrapText="1"/>
    </xf>
    <xf numFmtId="0" fontId="202" fillId="11" borderId="185" xfId="0" applyFont="1" applyFill="1" applyBorder="1" applyAlignment="1" applyProtection="1">
      <alignment horizontal="left" vertical="center" wrapText="1"/>
      <protection locked="0"/>
    </xf>
    <xf numFmtId="0" fontId="202" fillId="11" borderId="117" xfId="0" applyFont="1" applyFill="1" applyBorder="1" applyAlignment="1" applyProtection="1">
      <alignment horizontal="left" vertical="center" wrapText="1"/>
      <protection locked="0"/>
    </xf>
    <xf numFmtId="0" fontId="202" fillId="11" borderId="119" xfId="0" applyFont="1" applyFill="1" applyBorder="1" applyAlignment="1" applyProtection="1">
      <alignment horizontal="left" vertical="center" wrapText="1"/>
      <protection locked="0"/>
    </xf>
    <xf numFmtId="0" fontId="202" fillId="11" borderId="121" xfId="0" applyFont="1" applyFill="1" applyBorder="1" applyAlignment="1" applyProtection="1">
      <alignment horizontal="left" vertical="center" wrapText="1"/>
      <protection locked="0"/>
    </xf>
    <xf numFmtId="0" fontId="202" fillId="11" borderId="122" xfId="0" applyFont="1" applyFill="1" applyBorder="1" applyAlignment="1" applyProtection="1">
      <alignment horizontal="left" vertical="center" wrapText="1"/>
      <protection locked="0"/>
    </xf>
    <xf numFmtId="0" fontId="202" fillId="11" borderId="123" xfId="0" applyFont="1" applyFill="1" applyBorder="1" applyAlignment="1" applyProtection="1">
      <alignment horizontal="left" vertical="center" wrapText="1"/>
      <protection locked="0"/>
    </xf>
    <xf numFmtId="0" fontId="243" fillId="0" borderId="186" xfId="4" applyFont="1" applyBorder="1" applyAlignment="1">
      <alignment horizontal="right" vertical="center"/>
    </xf>
    <xf numFmtId="0" fontId="243" fillId="0" borderId="142" xfId="4" applyFont="1" applyBorder="1" applyAlignment="1">
      <alignment horizontal="right" vertical="center"/>
    </xf>
    <xf numFmtId="0" fontId="243" fillId="0" borderId="187" xfId="4" applyFont="1" applyBorder="1" applyAlignment="1">
      <alignment horizontal="right" vertical="center"/>
    </xf>
    <xf numFmtId="0" fontId="243" fillId="0" borderId="141" xfId="4" applyFont="1" applyBorder="1" applyAlignment="1">
      <alignment horizontal="right" vertical="center"/>
    </xf>
    <xf numFmtId="0" fontId="249" fillId="56" borderId="184" xfId="0" applyFont="1" applyFill="1" applyBorder="1" applyAlignment="1">
      <alignment horizontal="left" vertical="center"/>
    </xf>
    <xf numFmtId="0" fontId="249" fillId="56" borderId="178" xfId="0" applyFont="1" applyFill="1" applyBorder="1" applyAlignment="1">
      <alignment horizontal="left" vertical="center"/>
    </xf>
    <xf numFmtId="0" fontId="249" fillId="56" borderId="179" xfId="0" applyFont="1" applyFill="1" applyBorder="1" applyAlignment="1">
      <alignment horizontal="left" vertical="center"/>
    </xf>
    <xf numFmtId="0" fontId="171" fillId="56" borderId="184" xfId="0" applyFont="1" applyFill="1" applyBorder="1" applyAlignment="1">
      <alignment horizontal="left" vertical="center"/>
    </xf>
    <xf numFmtId="0" fontId="171" fillId="56" borderId="178" xfId="0" applyFont="1" applyFill="1" applyBorder="1" applyAlignment="1">
      <alignment horizontal="left" vertical="center"/>
    </xf>
    <xf numFmtId="0" fontId="171" fillId="56" borderId="179" xfId="0" applyFont="1" applyFill="1" applyBorder="1" applyAlignment="1">
      <alignment horizontal="left" vertical="center"/>
    </xf>
    <xf numFmtId="0" fontId="177" fillId="31" borderId="56" xfId="0" applyFont="1" applyFill="1" applyBorder="1" applyAlignment="1">
      <alignment horizontal="center" vertical="center" wrapText="1"/>
    </xf>
    <xf numFmtId="0" fontId="178" fillId="16" borderId="57" xfId="0" applyFont="1" applyFill="1" applyBorder="1" applyAlignment="1">
      <alignment wrapText="1"/>
    </xf>
    <xf numFmtId="0" fontId="178" fillId="16" borderId="58" xfId="0" applyFont="1" applyFill="1" applyBorder="1" applyAlignment="1">
      <alignment wrapText="1"/>
    </xf>
    <xf numFmtId="0" fontId="171" fillId="32" borderId="94" xfId="0" applyFont="1" applyFill="1" applyBorder="1" applyAlignment="1">
      <alignment horizontal="center" vertical="center"/>
    </xf>
    <xf numFmtId="0" fontId="179" fillId="16" borderId="95" xfId="0" applyFont="1" applyFill="1" applyBorder="1"/>
    <xf numFmtId="0" fontId="179" fillId="16" borderId="96" xfId="0" applyFont="1" applyFill="1" applyBorder="1"/>
    <xf numFmtId="0" fontId="146" fillId="48" borderId="28" xfId="0" applyFont="1" applyFill="1" applyBorder="1" applyAlignment="1">
      <alignment horizontal="left" vertical="center"/>
    </xf>
    <xf numFmtId="0" fontId="146" fillId="48" borderId="29" xfId="0" applyFont="1" applyFill="1" applyBorder="1"/>
    <xf numFmtId="0" fontId="168" fillId="37" borderId="23" xfId="0" applyFont="1" applyFill="1" applyBorder="1" applyAlignment="1">
      <alignment horizontal="left" vertical="center" wrapText="1"/>
    </xf>
    <xf numFmtId="0" fontId="177" fillId="31" borderId="56" xfId="0" applyFont="1" applyFill="1" applyBorder="1" applyAlignment="1">
      <alignment horizontal="center" vertical="center"/>
    </xf>
    <xf numFmtId="0" fontId="178" fillId="16" borderId="57" xfId="0" applyFont="1" applyFill="1" applyBorder="1"/>
    <xf numFmtId="0" fontId="178" fillId="16" borderId="58" xfId="0" applyFont="1" applyFill="1" applyBorder="1"/>
    <xf numFmtId="0" fontId="161" fillId="32" borderId="99" xfId="0" applyFont="1" applyFill="1" applyBorder="1" applyAlignment="1">
      <alignment horizontal="center" vertical="center"/>
    </xf>
    <xf numFmtId="0" fontId="162" fillId="16" borderId="100" xfId="0" applyFont="1" applyFill="1" applyBorder="1"/>
    <xf numFmtId="0" fontId="162" fillId="16" borderId="101" xfId="0" applyFont="1" applyFill="1" applyBorder="1"/>
    <xf numFmtId="0" fontId="169" fillId="37" borderId="23" xfId="0" applyFont="1" applyFill="1" applyBorder="1" applyAlignment="1">
      <alignment horizontal="left" vertical="center" wrapText="1"/>
    </xf>
    <xf numFmtId="0" fontId="58" fillId="16" borderId="23" xfId="6" applyFont="1" applyFill="1" applyAlignment="1">
      <alignment horizontal="right" vertical="center"/>
    </xf>
    <xf numFmtId="0" fontId="280" fillId="0" borderId="23" xfId="6" applyFont="1" applyAlignment="1">
      <alignment horizontal="center"/>
    </xf>
    <xf numFmtId="0" fontId="281" fillId="0" borderId="23" xfId="7" applyFont="1" applyBorder="1" applyAlignment="1">
      <alignment horizontal="center" vertical="top"/>
    </xf>
    <xf numFmtId="0" fontId="270" fillId="14" borderId="23" xfId="6" applyFont="1" applyFill="1" applyAlignment="1">
      <alignment horizontal="right"/>
    </xf>
    <xf numFmtId="0" fontId="58" fillId="16" borderId="23" xfId="6" applyFont="1" applyFill="1" applyAlignment="1">
      <alignment horizontal="center"/>
    </xf>
    <xf numFmtId="0" fontId="58" fillId="16" borderId="23" xfId="6" applyFont="1" applyFill="1" applyAlignment="1">
      <alignment horizontal="right" wrapText="1"/>
    </xf>
    <xf numFmtId="0" fontId="314" fillId="14" borderId="23" xfId="6" applyFont="1" applyFill="1" applyAlignment="1" applyProtection="1">
      <alignment horizontal="center" vertical="center"/>
      <protection locked="0"/>
    </xf>
    <xf numFmtId="0" fontId="62" fillId="16" borderId="244" xfId="6" applyFont="1" applyFill="1" applyBorder="1" applyAlignment="1" applyProtection="1">
      <alignment horizontal="center" vertical="center"/>
      <protection locked="0"/>
    </xf>
    <xf numFmtId="0" fontId="62" fillId="16" borderId="245" xfId="6" applyFont="1" applyFill="1" applyBorder="1" applyAlignment="1" applyProtection="1">
      <alignment horizontal="center" vertical="center"/>
      <protection locked="0"/>
    </xf>
    <xf numFmtId="0" fontId="62" fillId="16" borderId="246" xfId="6" applyFont="1" applyFill="1" applyBorder="1" applyAlignment="1" applyProtection="1">
      <alignment horizontal="center" vertical="center"/>
      <protection locked="0"/>
    </xf>
    <xf numFmtId="0" fontId="48" fillId="0" borderId="51" xfId="6" applyFont="1" applyBorder="1" applyAlignment="1">
      <alignment horizontal="left" vertical="center"/>
    </xf>
    <xf numFmtId="0" fontId="48" fillId="0" borderId="231" xfId="6" applyFont="1" applyBorder="1" applyAlignment="1">
      <alignment horizontal="left" vertical="center"/>
    </xf>
    <xf numFmtId="0" fontId="48" fillId="0" borderId="52" xfId="6" applyFont="1" applyBorder="1" applyAlignment="1">
      <alignment horizontal="left" vertical="center"/>
    </xf>
    <xf numFmtId="0" fontId="326" fillId="63" borderId="55" xfId="6" applyFont="1" applyFill="1" applyBorder="1" applyAlignment="1">
      <alignment horizontal="center" vertical="center" wrapText="1"/>
    </xf>
    <xf numFmtId="0" fontId="326" fillId="63" borderId="232" xfId="6" applyFont="1" applyFill="1" applyBorder="1" applyAlignment="1">
      <alignment horizontal="center" vertical="center" wrapText="1"/>
    </xf>
    <xf numFmtId="0" fontId="58" fillId="63" borderId="243" xfId="6" applyFont="1" applyFill="1" applyBorder="1" applyAlignment="1">
      <alignment horizontal="center" vertical="center" wrapText="1"/>
    </xf>
    <xf numFmtId="0" fontId="58" fillId="63" borderId="232" xfId="6" applyFont="1" applyFill="1" applyBorder="1" applyAlignment="1">
      <alignment horizontal="center" vertical="center" wrapText="1"/>
    </xf>
    <xf numFmtId="0" fontId="58" fillId="63" borderId="55" xfId="6" applyFont="1" applyFill="1" applyBorder="1" applyAlignment="1">
      <alignment horizontal="center" vertical="center" wrapText="1"/>
    </xf>
    <xf numFmtId="0" fontId="335" fillId="68" borderId="23" xfId="6" applyFont="1" applyFill="1" applyAlignment="1">
      <alignment horizontal="center"/>
    </xf>
    <xf numFmtId="0" fontId="336" fillId="68" borderId="23" xfId="6" applyFont="1" applyFill="1"/>
    <xf numFmtId="3" fontId="335" fillId="68" borderId="23" xfId="6" applyNumberFormat="1" applyFont="1" applyFill="1" applyAlignment="1">
      <alignment horizontal="center"/>
    </xf>
    <xf numFmtId="3" fontId="336" fillId="68" borderId="23" xfId="6" applyNumberFormat="1" applyFont="1" applyFill="1"/>
    <xf numFmtId="0" fontId="158" fillId="68" borderId="23" xfId="6" applyFont="1" applyFill="1" applyAlignment="1">
      <alignment horizontal="center"/>
    </xf>
    <xf numFmtId="0" fontId="156" fillId="68" borderId="23" xfId="6" applyFont="1" applyFill="1"/>
    <xf numFmtId="3" fontId="158" fillId="68" borderId="23" xfId="6" applyNumberFormat="1" applyFont="1" applyFill="1" applyAlignment="1">
      <alignment horizontal="center" vertical="center"/>
    </xf>
    <xf numFmtId="3" fontId="156" fillId="68" borderId="23" xfId="6" applyNumberFormat="1" applyFont="1" applyFill="1" applyAlignment="1">
      <alignment vertical="center"/>
    </xf>
    <xf numFmtId="3" fontId="158" fillId="68" borderId="23" xfId="6" applyNumberFormat="1" applyFont="1" applyFill="1" applyAlignment="1">
      <alignment horizontal="center"/>
    </xf>
    <xf numFmtId="3" fontId="156" fillId="68" borderId="23" xfId="6" applyNumberFormat="1" applyFont="1" applyFill="1"/>
    <xf numFmtId="0" fontId="49" fillId="16" borderId="51" xfId="6" applyFont="1" applyFill="1" applyBorder="1" applyAlignment="1">
      <alignment horizontal="center" vertical="center"/>
    </xf>
    <xf numFmtId="0" fontId="49" fillId="16" borderId="231" xfId="6" applyFont="1" applyFill="1" applyBorder="1" applyAlignment="1">
      <alignment horizontal="center" vertical="center"/>
    </xf>
    <xf numFmtId="0" fontId="49" fillId="16" borderId="52" xfId="6" applyFont="1" applyFill="1" applyBorder="1" applyAlignment="1">
      <alignment horizontal="center" vertical="center"/>
    </xf>
    <xf numFmtId="0" fontId="49" fillId="16" borderId="51" xfId="6" applyFont="1" applyFill="1" applyBorder="1" applyAlignment="1" applyProtection="1">
      <alignment horizontal="center" vertical="center"/>
      <protection locked="0"/>
    </xf>
    <xf numFmtId="0" fontId="49" fillId="16" borderId="52" xfId="6" applyFont="1" applyFill="1" applyBorder="1" applyAlignment="1" applyProtection="1">
      <alignment horizontal="center" vertical="center"/>
      <protection locked="0"/>
    </xf>
    <xf numFmtId="0" fontId="49" fillId="16" borderId="51" xfId="6" applyFont="1" applyFill="1" applyBorder="1" applyAlignment="1">
      <alignment horizontal="left" vertical="center"/>
    </xf>
    <xf numFmtId="0" fontId="49" fillId="16" borderId="231" xfId="6" applyFont="1" applyFill="1" applyBorder="1" applyAlignment="1">
      <alignment horizontal="left" vertical="center"/>
    </xf>
    <xf numFmtId="0" fontId="49" fillId="16" borderId="52" xfId="6" applyFont="1" applyFill="1" applyBorder="1" applyAlignment="1">
      <alignment horizontal="left" vertical="center"/>
    </xf>
    <xf numFmtId="0" fontId="58" fillId="14" borderId="51" xfId="6" applyFont="1" applyFill="1" applyBorder="1" applyAlignment="1">
      <alignment horizontal="center" vertical="center"/>
    </xf>
    <xf numFmtId="0" fontId="58" fillId="14" borderId="231" xfId="6" applyFont="1" applyFill="1" applyBorder="1" applyAlignment="1">
      <alignment horizontal="center" vertical="center"/>
    </xf>
    <xf numFmtId="0" fontId="58" fillId="14" borderId="52" xfId="6" applyFont="1" applyFill="1" applyBorder="1" applyAlignment="1">
      <alignment horizontal="center" vertical="center"/>
    </xf>
    <xf numFmtId="10" fontId="298" fillId="0" borderId="23" xfId="11" applyNumberFormat="1" applyFont="1" applyBorder="1" applyAlignment="1">
      <alignment horizontal="center" vertical="center"/>
    </xf>
    <xf numFmtId="3" fontId="46" fillId="76" borderId="49" xfId="6" applyNumberFormat="1" applyFont="1" applyFill="1" applyBorder="1" applyAlignment="1">
      <alignment horizontal="center" vertical="center"/>
    </xf>
    <xf numFmtId="3" fontId="42" fillId="76" borderId="49" xfId="6" applyNumberFormat="1" applyFont="1" applyFill="1" applyBorder="1" applyAlignment="1">
      <alignment horizontal="center" vertical="center"/>
    </xf>
    <xf numFmtId="0" fontId="8" fillId="76" borderId="0" xfId="0" applyFont="1" applyFill="1" applyAlignment="1">
      <alignment horizontal="right" vertical="center"/>
    </xf>
    <xf numFmtId="3" fontId="8" fillId="76" borderId="0" xfId="0" applyNumberFormat="1" applyFont="1" applyFill="1" applyAlignment="1">
      <alignment horizontal="center" vertical="center"/>
    </xf>
    <xf numFmtId="0" fontId="8" fillId="76" borderId="23" xfId="0" applyFont="1" applyFill="1" applyBorder="1" applyAlignment="1">
      <alignment horizontal="right" vertical="center"/>
    </xf>
    <xf numFmtId="3" fontId="8" fillId="76" borderId="23" xfId="1" applyNumberFormat="1" applyFont="1" applyFill="1" applyBorder="1" applyAlignment="1">
      <alignment horizontal="center" vertical="center"/>
    </xf>
  </cellXfs>
  <cellStyles count="12">
    <cellStyle name="Hiperlink 2" xfId="7" xr:uid="{9A4B5802-A5A7-45C8-A5CC-C182B72DD129}"/>
    <cellStyle name="Normal" xfId="0" builtinId="0"/>
    <cellStyle name="Normal 2" xfId="2" xr:uid="{00000000-0005-0000-0000-000001000000}"/>
    <cellStyle name="Normal 3" xfId="4" xr:uid="{00000000-0005-0000-0000-000002000000}"/>
    <cellStyle name="Normal 4" xfId="6" xr:uid="{980467E4-9D3C-4383-8D46-796C5563C48F}"/>
    <cellStyle name="Porcentagem" xfId="1" builtinId="5"/>
    <cellStyle name="Porcentagem 2" xfId="3" xr:uid="{00000000-0005-0000-0000-000004000000}"/>
    <cellStyle name="Porcentagem 2 2" xfId="8" xr:uid="{E2CA1E15-3F13-4D60-8485-FE602CCBAA2A}"/>
    <cellStyle name="Porcentagem 2 3" xfId="11" xr:uid="{732CDB75-7FD3-4E58-B2F7-E6E0ECD3B039}"/>
    <cellStyle name="Porcentagem 3" xfId="5" xr:uid="{00000000-0005-0000-0000-000005000000}"/>
    <cellStyle name="Porcentagem 4" xfId="9" xr:uid="{F68645A5-BE12-459A-9E1D-D97871F4B185}"/>
    <cellStyle name="Vírgula 2" xfId="10" xr:uid="{62FA70A5-BDC4-4F7F-8A56-1ADB3768E5F4}"/>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externalLink" Target="externalLinks/externalLink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533.26842603756552</c:v>
                </c:pt>
                <c:pt idx="3">
                  <c:v>0</c:v>
                </c:pt>
                <c:pt idx="4">
                  <c:v>1005.4870361070574</c:v>
                </c:pt>
                <c:pt idx="5">
                  <c:v>0</c:v>
                </c:pt>
                <c:pt idx="6">
                  <c:v>0</c:v>
                </c:pt>
                <c:pt idx="7">
                  <c:v>0</c:v>
                </c:pt>
                <c:pt idx="8">
                  <c:v>125.5642048956753</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531.56469304703</c:v>
                </c:pt>
                <c:pt idx="3">
                  <c:v>0</c:v>
                </c:pt>
                <c:pt idx="4">
                  <c:v>983.94857524736585</c:v>
                </c:pt>
                <c:pt idx="5">
                  <c:v>0</c:v>
                </c:pt>
                <c:pt idx="6">
                  <c:v>0</c:v>
                </c:pt>
                <c:pt idx="7">
                  <c:v>0</c:v>
                </c:pt>
                <c:pt idx="8">
                  <c:v>261.8259068302545</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82.769105054330879</c:v>
                </c:pt>
                <c:pt idx="3">
                  <c:v>0</c:v>
                </c:pt>
                <c:pt idx="4">
                  <c:v>63.366817417881016</c:v>
                </c:pt>
                <c:pt idx="5">
                  <c:v>0</c:v>
                </c:pt>
                <c:pt idx="6">
                  <c:v>0</c:v>
                </c:pt>
                <c:pt idx="7">
                  <c:v>0</c:v>
                </c:pt>
                <c:pt idx="8">
                  <c:v>48.206703121777636</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82.50466701901351</c:v>
                </c:pt>
                <c:pt idx="3">
                  <c:v>0</c:v>
                </c:pt>
                <c:pt idx="4">
                  <c:v>62.009441670857534</c:v>
                </c:pt>
                <c:pt idx="5">
                  <c:v>0</c:v>
                </c:pt>
                <c:pt idx="6">
                  <c:v>0</c:v>
                </c:pt>
                <c:pt idx="7">
                  <c:v>0</c:v>
                </c:pt>
                <c:pt idx="8" formatCode="0">
                  <c:v>100.52039727916925</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0</c:v>
                </c:pt>
                <c:pt idx="4" formatCode="#,##0">
                  <c:v>36.744715122167278</c:v>
                </c:pt>
                <c:pt idx="5" formatCode="#,##0">
                  <c:v>0</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467.94871794871796</c:v>
                </c:pt>
                <c:pt idx="1">
                  <c:v>0</c:v>
                </c:pt>
                <c:pt idx="2">
                  <c:v>469.44855358316909</c:v>
                </c:pt>
                <c:pt idx="3">
                  <c:v>0</c:v>
                </c:pt>
                <c:pt idx="4">
                  <c:v>478.19203289365544</c:v>
                </c:pt>
                <c:pt idx="5">
                  <c:v>0</c:v>
                </c:pt>
                <c:pt idx="6">
                  <c:v>0</c:v>
                </c:pt>
                <c:pt idx="7">
                  <c:v>0</c:v>
                </c:pt>
                <c:pt idx="8">
                  <c:v>163.69782051282053</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-40.617549978278745</c:v>
                </c:pt>
                <c:pt idx="1">
                  <c:v>-119.11952532067805</c:v>
                </c:pt>
                <c:pt idx="2">
                  <c:v>-188.645428204864</c:v>
                </c:pt>
                <c:pt idx="3">
                  <c:v>-184.55153473788803</c:v>
                </c:pt>
                <c:pt idx="4">
                  <c:v>-180.34787806351193</c:v>
                </c:pt>
                <c:pt idx="5">
                  <c:v>-176.0339422946609</c:v>
                </c:pt>
                <c:pt idx="6">
                  <c:v>-171.60920911959096</c:v>
                </c:pt>
                <c:pt idx="7">
                  <c:v>-167.07315779049284</c:v>
                </c:pt>
                <c:pt idx="8">
                  <c:v>-162.42526511204261</c:v>
                </c:pt>
                <c:pt idx="9">
                  <c:v>-157.66500542989832</c:v>
                </c:pt>
                <c:pt idx="10">
                  <c:v>-152.79185061914262</c:v>
                </c:pt>
                <c:pt idx="11">
                  <c:v>-147.80527007267102</c:v>
                </c:pt>
                <c:pt idx="12">
                  <c:v>-142.70473068952566</c:v>
                </c:pt>
                <c:pt idx="13">
                  <c:v>-137.4896968631742</c:v>
                </c:pt>
                <c:pt idx="14">
                  <c:v>-132.15963046973354</c:v>
                </c:pt>
                <c:pt idx="15">
                  <c:v>-126.71399085613837</c:v>
                </c:pt>
                <c:pt idx="16">
                  <c:v>-121.15223482825395</c:v>
                </c:pt>
                <c:pt idx="17">
                  <c:v>-115.47381663893314</c:v>
                </c:pt>
                <c:pt idx="18">
                  <c:v>-109.67818797601718</c:v>
                </c:pt>
                <c:pt idx="19">
                  <c:v>-103.76479795028018</c:v>
                </c:pt>
                <c:pt idx="20">
                  <c:v>-97.733093083316888</c:v>
                </c:pt>
                <c:pt idx="21">
                  <c:v>-91.58251729537352</c:v>
                </c:pt>
                <c:pt idx="22">
                  <c:v>-85.312511893121481</c:v>
                </c:pt>
                <c:pt idx="23">
                  <c:v>-78.922515557373515</c:v>
                </c:pt>
                <c:pt idx="24">
                  <c:v>-72.411964330742194</c:v>
                </c:pt>
                <c:pt idx="25">
                  <c:v>-65.780291605240365</c:v>
                </c:pt>
                <c:pt idx="26">
                  <c:v>-59.026928109823338</c:v>
                </c:pt>
                <c:pt idx="27">
                  <c:v>-52.151301897872514</c:v>
                </c:pt>
                <c:pt idx="28">
                  <c:v>-45.152838334620178</c:v>
                </c:pt>
                <c:pt idx="29">
                  <c:v>-38.030960084515222</c:v>
                </c:pt>
                <c:pt idx="30">
                  <c:v>-30.785087098529431</c:v>
                </c:pt>
                <c:pt idx="31">
                  <c:v>-23.414636601404162</c:v>
                </c:pt>
                <c:pt idx="32">
                  <c:v>-15.919023078837068</c:v>
                </c:pt>
                <c:pt idx="33">
                  <c:v>-8.2976582646085681</c:v>
                </c:pt>
                <c:pt idx="34">
                  <c:v>-0.54995112764785592</c:v>
                </c:pt>
                <c:pt idx="35">
                  <c:v>7.3246921409619121</c:v>
                </c:pt>
                <c:pt idx="36">
                  <c:v>15.326868141039483</c:v>
                </c:pt>
                <c:pt idx="37">
                  <c:v>23.457176276422768</c:v>
                </c:pt>
                <c:pt idx="38">
                  <c:v>31.716218768147687</c:v>
                </c:pt>
                <c:pt idx="39">
                  <c:v>40.104600667689056</c:v>
                </c:pt>
                <c:pt idx="40">
                  <c:v>48.622929870263604</c:v>
                </c:pt>
                <c:pt idx="41">
                  <c:v>57.271817128195593</c:v>
                </c:pt>
                <c:pt idx="42">
                  <c:v>66.051876064345208</c:v>
                </c:pt>
                <c:pt idx="43">
                  <c:v>74.96372318560006</c:v>
                </c:pt>
                <c:pt idx="44">
                  <c:v>84.007977896430162</c:v>
                </c:pt>
                <c:pt idx="45">
                  <c:v>93.185262512506498</c:v>
                </c:pt>
                <c:pt idx="46">
                  <c:v>102.49620227438373</c:v>
                </c:pt>
                <c:pt idx="47">
                  <c:v>111.94142536124714</c:v>
                </c:pt>
                <c:pt idx="48">
                  <c:v>121.52156290472415</c:v>
                </c:pt>
                <c:pt idx="49">
                  <c:v>131.23724900276082</c:v>
                </c:pt>
                <c:pt idx="50">
                  <c:v>141.08912073356362</c:v>
                </c:pt>
                <c:pt idx="51">
                  <c:v>151.07781816960653</c:v>
                </c:pt>
                <c:pt idx="52">
                  <c:v>161.20398439170418</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13.375608355112105</c:v>
                </c:pt>
                <c:pt idx="1">
                  <c:v>12.84772281212571</c:v>
                </c:pt>
                <c:pt idx="2">
                  <c:v>11.764125380890814</c:v>
                </c:pt>
                <c:pt idx="3">
                  <c:v>-1.4748113041218129</c:v>
                </c:pt>
                <c:pt idx="4">
                  <c:v>-14.071182411678141</c:v>
                </c:pt>
                <c:pt idx="5">
                  <c:v>-26.024385637158844</c:v>
                </c:pt>
                <c:pt idx="6">
                  <c:v>-37.333815845112916</c:v>
                </c:pt>
                <c:pt idx="7">
                  <c:v>-47.998865055952727</c:v>
                </c:pt>
                <c:pt idx="8">
                  <c:v>-58.018922432586571</c:v>
                </c:pt>
                <c:pt idx="9">
                  <c:v>-67.393374266988431</c:v>
                </c:pt>
                <c:pt idx="10">
                  <c:v>-76.121603966704555</c:v>
                </c:pt>
                <c:pt idx="11">
                  <c:v>-84.202992041296682</c:v>
                </c:pt>
                <c:pt idx="12">
                  <c:v>-91.636916088721449</c:v>
                </c:pt>
                <c:pt idx="13">
                  <c:v>-98.422750781645917</c:v>
                </c:pt>
                <c:pt idx="14">
                  <c:v>-104.55986785369869</c:v>
                </c:pt>
                <c:pt idx="15">
                  <c:v>-110.04763608565641</c:v>
                </c:pt>
                <c:pt idx="16">
                  <c:v>-114.88542129156535</c:v>
                </c:pt>
                <c:pt idx="17">
                  <c:v>-119.07258630479784</c:v>
                </c:pt>
                <c:pt idx="18">
                  <c:v>-122.60849096404304</c:v>
                </c:pt>
                <c:pt idx="19">
                  <c:v>-125.49249209923195</c:v>
                </c:pt>
                <c:pt idx="20">
                  <c:v>-127.72394351739626</c:v>
                </c:pt>
                <c:pt idx="21">
                  <c:v>-129.30219598846068</c:v>
                </c:pt>
                <c:pt idx="22">
                  <c:v>-130.22659723096859</c:v>
                </c:pt>
                <c:pt idx="23">
                  <c:v>-120.20817872862477</c:v>
                </c:pt>
                <c:pt idx="24">
                  <c:v>-110.04901088168954</c:v>
                </c:pt>
                <c:pt idx="25">
                  <c:v>-99.748432168243312</c:v>
                </c:pt>
                <c:pt idx="26">
                  <c:v>-89.305777957213508</c:v>
                </c:pt>
                <c:pt idx="27">
                  <c:v>-78.720380493761454</c:v>
                </c:pt>
                <c:pt idx="28">
                  <c:v>-67.991568884600781</c:v>
                </c:pt>
                <c:pt idx="29">
                  <c:v>-57.118669083246658</c:v>
                </c:pt>
                <c:pt idx="30">
                  <c:v>-46.101003875195772</c:v>
                </c:pt>
                <c:pt idx="31">
                  <c:v>-34.937892863036637</c:v>
                </c:pt>
                <c:pt idx="32">
                  <c:v>-23.628652451489963</c:v>
                </c:pt>
                <c:pt idx="33">
                  <c:v>-12.172595832378624</c:v>
                </c:pt>
                <c:pt idx="34">
                  <c:v>-0.56903296952705951</c:v>
                </c:pt>
                <c:pt idx="35">
                  <c:v>11.182729416410311</c:v>
                </c:pt>
                <c:pt idx="36">
                  <c:v>23.083387863191977</c:v>
                </c:pt>
                <c:pt idx="37">
                  <c:v>35.133642182303916</c:v>
                </c:pt>
                <c:pt idx="38">
                  <c:v>47.334195474346089</c:v>
                </c:pt>
                <c:pt idx="39">
                  <c:v>59.685754144491248</c:v>
                </c:pt>
                <c:pt idx="40">
                  <c:v>72.189027918016478</c:v>
                </c:pt>
                <c:pt idx="41">
                  <c:v>84.844729855907687</c:v>
                </c:pt>
                <c:pt idx="42">
                  <c:v>97.65357637053738</c:v>
                </c:pt>
                <c:pt idx="43">
                  <c:v>110.61628724141623</c:v>
                </c:pt>
                <c:pt idx="44">
                  <c:v>123.73358563101861</c:v>
                </c:pt>
                <c:pt idx="45">
                  <c:v>137.00619810068252</c:v>
                </c:pt>
                <c:pt idx="46">
                  <c:v>150.43485462658424</c:v>
                </c:pt>
                <c:pt idx="47">
                  <c:v>164.0202886157881</c:v>
                </c:pt>
                <c:pt idx="48">
                  <c:v>177.76323692237162</c:v>
                </c:pt>
                <c:pt idx="49">
                  <c:v>191.66443986362648</c:v>
                </c:pt>
                <c:pt idx="50">
                  <c:v>205.72464123633563</c:v>
                </c:pt>
                <c:pt idx="51">
                  <c:v>219.94458833312692</c:v>
                </c:pt>
                <c:pt idx="52">
                  <c:v>234.32503195890351</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-44.573699346163096</c:v>
                </c:pt>
                <c:pt idx="1">
                  <c:v>-130.72176708691208</c:v>
                </c:pt>
                <c:pt idx="2">
                  <c:v>-207.01949291201777</c:v>
                </c:pt>
                <c:pt idx="3">
                  <c:v>-202.52685422135832</c:v>
                </c:pt>
                <c:pt idx="4">
                  <c:v>-197.91376138689799</c:v>
                </c:pt>
                <c:pt idx="5">
                  <c:v>-193.17964827416088</c:v>
                </c:pt>
                <c:pt idx="6">
                  <c:v>-188.32394608783912</c:v>
                </c:pt>
                <c:pt idx="7">
                  <c:v>-183.34608335928684</c:v>
                </c:pt>
                <c:pt idx="8">
                  <c:v>-178.24548593395556</c:v>
                </c:pt>
                <c:pt idx="9">
                  <c:v>-173.02157695877042</c:v>
                </c:pt>
                <c:pt idx="10">
                  <c:v>-167.67377686944712</c:v>
                </c:pt>
                <c:pt idx="11">
                  <c:v>-162.20150337774919</c:v>
                </c:pt>
                <c:pt idx="12">
                  <c:v>-156.60417145868547</c:v>
                </c:pt>
                <c:pt idx="13">
                  <c:v>-150.88119333764737</c:v>
                </c:pt>
                <c:pt idx="14">
                  <c:v>-145.03197847748561</c:v>
                </c:pt>
                <c:pt idx="15">
                  <c:v>-139.05593356552626</c:v>
                </c:pt>
                <c:pt idx="16">
                  <c:v>-132.95246250052591</c:v>
                </c:pt>
                <c:pt idx="17">
                  <c:v>-126.72096637956525</c:v>
                </c:pt>
                <c:pt idx="18">
                  <c:v>-120.36084348488129</c:v>
                </c:pt>
                <c:pt idx="19">
                  <c:v>-113.87148927063751</c:v>
                </c:pt>
                <c:pt idx="20">
                  <c:v>-107.25229634963199</c:v>
                </c:pt>
                <c:pt idx="21">
                  <c:v>-100.50265447994293</c:v>
                </c:pt>
                <c:pt idx="22">
                  <c:v>-93.621950551511546</c:v>
                </c:pt>
                <c:pt idx="23">
                  <c:v>-86.609568572661729</c:v>
                </c:pt>
                <c:pt idx="24">
                  <c:v>-79.464889656556522</c:v>
                </c:pt>
                <c:pt idx="25">
                  <c:v>-72.187292007590813</c:v>
                </c:pt>
                <c:pt idx="26">
                  <c:v>-64.776150907720165</c:v>
                </c:pt>
                <c:pt idx="27">
                  <c:v>-57.230838702725329</c:v>
                </c:pt>
                <c:pt idx="28">
                  <c:v>-49.550724788412218</c:v>
                </c:pt>
                <c:pt idx="29">
                  <c:v>-41.735175596747041</c:v>
                </c:pt>
                <c:pt idx="30">
                  <c:v>-33.783554581926239</c:v>
                </c:pt>
                <c:pt idx="31">
                  <c:v>-25.695222206380969</c:v>
                </c:pt>
                <c:pt idx="32">
                  <c:v>-17.469535926715839</c:v>
                </c:pt>
                <c:pt idx="33">
                  <c:v>-9.1058501795814841</c:v>
                </c:pt>
                <c:pt idx="34">
                  <c:v>-0.60351636748079862</c:v>
                </c:pt>
                <c:pt idx="35">
                  <c:v>8.0381171554915607</c:v>
                </c:pt>
                <c:pt idx="36">
                  <c:v>16.819705097976687</c:v>
                </c:pt>
                <c:pt idx="37">
                  <c:v>25.741905245746302</c:v>
                </c:pt>
                <c:pt idx="38">
                  <c:v>34.805378476165231</c:v>
                </c:pt>
                <c:pt idx="39">
                  <c:v>44.010788772721931</c:v>
                </c:pt>
                <c:pt idx="40">
                  <c:v>53.358803239627242</c:v>
                </c:pt>
                <c:pt idx="41">
                  <c:v>62.850092116481804</c:v>
                </c:pt>
                <c:pt idx="42">
                  <c:v>72.485328793012386</c:v>
                </c:pt>
                <c:pt idx="43">
                  <c:v>82.265189823877463</c:v>
                </c:pt>
                <c:pt idx="44">
                  <c:v>92.190354943542417</c:v>
                </c:pt>
                <c:pt idx="45">
                  <c:v>102.26150708122459</c:v>
                </c:pt>
                <c:pt idx="46">
                  <c:v>112.47933237590867</c:v>
                </c:pt>
                <c:pt idx="47">
                  <c:v>122.84452019143257</c:v>
                </c:pt>
                <c:pt idx="48">
                  <c:v>133.35776313164422</c:v>
                </c:pt>
                <c:pt idx="49">
                  <c:v>144.01975705562967</c:v>
                </c:pt>
                <c:pt idx="50">
                  <c:v>154.83120109301265</c:v>
                </c:pt>
                <c:pt idx="51">
                  <c:v>165.79279765932614</c:v>
                </c:pt>
                <c:pt idx="52">
                  <c:v>176.90525247145609</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14.186170221431897</c:v>
                </c:pt>
                <c:pt idx="1">
                  <c:v>13.626294814540527</c:v>
                </c:pt>
                <c:pt idx="2">
                  <c:v>12.477031378972796</c:v>
                </c:pt>
                <c:pt idx="3">
                  <c:v>-1.564184869151596</c:v>
                </c:pt>
                <c:pt idx="4">
                  <c:v>-14.923896065825836</c:v>
                </c:pt>
                <c:pt idx="5">
                  <c:v>-27.601463406770669</c:v>
                </c:pt>
                <c:pt idx="6">
                  <c:v>-39.596245085326757</c:v>
                </c:pt>
                <c:pt idx="7">
                  <c:v>-50.907596278343462</c:v>
                </c:pt>
                <c:pt idx="8">
                  <c:v>-61.534869132001319</c:v>
                </c:pt>
                <c:pt idx="9">
                  <c:v>-71.477412747567925</c:v>
                </c:pt>
                <c:pt idx="10">
                  <c:v>-80.73457316708685</c:v>
                </c:pt>
                <c:pt idx="11">
                  <c:v>-89.30569335899925</c:v>
                </c:pt>
                <c:pt idx="12">
                  <c:v>-97.190113203697962</c:v>
                </c:pt>
                <c:pt idx="13">
                  <c:v>-104.38716947901365</c:v>
                </c:pt>
                <c:pt idx="14">
                  <c:v>-110.89619584563282</c:v>
                </c:pt>
                <c:pt idx="15">
                  <c:v>-116.71652283244717</c:v>
                </c:pt>
                <c:pt idx="16">
                  <c:v>-121.84747782183419</c:v>
                </c:pt>
                <c:pt idx="17">
                  <c:v>-126.28838503486857</c:v>
                </c:pt>
                <c:pt idx="18">
                  <c:v>-130.03856551646402</c:v>
                </c:pt>
                <c:pt idx="19">
                  <c:v>-133.09733712044539</c:v>
                </c:pt>
                <c:pt idx="20">
                  <c:v>-135.46401449455047</c:v>
                </c:pt>
                <c:pt idx="21">
                  <c:v>-137.13790906536138</c:v>
                </c:pt>
                <c:pt idx="22">
                  <c:v>-138.11832902316527</c:v>
                </c:pt>
                <c:pt idx="23">
                  <c:v>-127.49279435957942</c:v>
                </c:pt>
                <c:pt idx="24">
                  <c:v>-116.71798094111992</c:v>
                </c:pt>
                <c:pt idx="25">
                  <c:v>-105.79318715763885</c:v>
                </c:pt>
                <c:pt idx="26">
                  <c:v>-94.717708101420641</c:v>
                </c:pt>
                <c:pt idx="27">
                  <c:v>-83.490835551683389</c:v>
                </c:pt>
                <c:pt idx="28">
                  <c:v>-72.11185795900758</c:v>
                </c:pt>
                <c:pt idx="29">
                  <c:v>-60.580060429691393</c:v>
                </c:pt>
                <c:pt idx="30">
                  <c:v>-48.894724710032619</c:v>
                </c:pt>
                <c:pt idx="31">
                  <c:v>-37.055129170536638</c:v>
                </c:pt>
                <c:pt idx="32">
                  <c:v>-25.060548790050234</c:v>
                </c:pt>
                <c:pt idx="33">
                  <c:v>-12.910255139820748</c:v>
                </c:pt>
                <c:pt idx="34">
                  <c:v>-0.6035163674803794</c:v>
                </c:pt>
                <c:pt idx="35">
                  <c:v>11.860402819044795</c:v>
                </c:pt>
                <c:pt idx="36">
                  <c:v>24.482241167701432</c:v>
                </c:pt>
                <c:pt idx="37">
                  <c:v>37.262740898551549</c:v>
                </c:pt>
                <c:pt idx="38">
                  <c:v>50.202647720091477</c:v>
                </c:pt>
                <c:pt idx="39">
                  <c:v>63.302710845647432</c:v>
                </c:pt>
                <c:pt idx="40">
                  <c:v>76.56368300984829</c:v>
                </c:pt>
                <c:pt idx="41">
                  <c:v>89.986320485175696</c:v>
                </c:pt>
                <c:pt idx="42">
                  <c:v>103.57138309859195</c:v>
                </c:pt>
                <c:pt idx="43">
                  <c:v>117.31963424824606</c:v>
                </c:pt>
                <c:pt idx="44">
                  <c:v>131.23184092025835</c:v>
                </c:pt>
                <c:pt idx="45">
                  <c:v>145.30877370558389</c:v>
                </c:pt>
                <c:pt idx="46">
                  <c:v>159.55120681695527</c:v>
                </c:pt>
                <c:pt idx="47">
                  <c:v>173.95991810590488</c:v>
                </c:pt>
                <c:pt idx="48">
                  <c:v>188.53568907986735</c:v>
                </c:pt>
                <c:pt idx="49">
                  <c:v>203.27930491936226</c:v>
                </c:pt>
                <c:pt idx="50">
                  <c:v>218.19155449525758</c:v>
                </c:pt>
                <c:pt idx="51">
                  <c:v>233.27323038611442</c:v>
                </c:pt>
                <c:pt idx="52">
                  <c:v>248.52512889561308</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74881516587692"/>
          <c:y val="1.3365766834767139E-2"/>
        </c:manualLayout>
      </c:layout>
      <c:overlay val="0"/>
      <c:spPr>
        <a:noFill/>
        <a:ln w="25400">
          <a:noFill/>
        </a:ln>
      </c:spPr>
    </c:title>
    <c:autoTitleDeleted val="0"/>
    <c:plotArea>
      <c:layout>
        <c:manualLayout>
          <c:layoutTarget val="inner"/>
          <c:xMode val="edge"/>
          <c:yMode val="edge"/>
          <c:x val="0.18767772511848338"/>
          <c:y val="0.10935627410264016"/>
          <c:w val="0.78672985781990545"/>
          <c:h val="0.58201839216849605"/>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Base'!$B$7:$B$15,'CO2 - Cenário Base'!$B$18:$B$27)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Base'!$C$7:$C$15,'CO2 - Cenário Base'!$C$18:$C$27)</c:f>
              <c:numCache>
                <c:formatCode>#,##0</c:formatCode>
                <c:ptCount val="19"/>
                <c:pt idx="0">
                  <c:v>0</c:v>
                </c:pt>
                <c:pt idx="1">
                  <c:v>0</c:v>
                </c:pt>
                <c:pt idx="2">
                  <c:v>1912.6000000000001</c:v>
                </c:pt>
                <c:pt idx="3">
                  <c:v>1971</c:v>
                </c:pt>
                <c:pt idx="4">
                  <c:v>0</c:v>
                </c:pt>
                <c:pt idx="5">
                  <c:v>671.6</c:v>
                </c:pt>
                <c:pt idx="6">
                  <c:v>175.20000000000002</c:v>
                </c:pt>
                <c:pt idx="7">
                  <c:v>0</c:v>
                </c:pt>
                <c:pt idx="9">
                  <c:v>0</c:v>
                </c:pt>
                <c:pt idx="10">
                  <c:v>0</c:v>
                </c:pt>
                <c:pt idx="11">
                  <c:v>0</c:v>
                </c:pt>
                <c:pt idx="12">
                  <c:v>0</c:v>
                </c:pt>
                <c:pt idx="13">
                  <c:v>141269.6</c:v>
                </c:pt>
                <c:pt idx="14">
                  <c:v>0</c:v>
                </c:pt>
                <c:pt idx="15">
                  <c:v>0</c:v>
                </c:pt>
                <c:pt idx="16">
                  <c:v>0</c:v>
                </c:pt>
                <c:pt idx="17">
                  <c:v>0</c:v>
                </c:pt>
                <c:pt idx="18">
                  <c:v>0</c:v>
                </c:pt>
              </c:numCache>
            </c:numRef>
          </c:val>
          <c:extLst>
            <c:ext xmlns:c16="http://schemas.microsoft.com/office/drawing/2014/chart" uri="{C3380CC4-5D6E-409C-BE32-E72D297353CC}">
              <c16:uniqueId val="{00000000-72D3-4A93-A89D-2C6C094B14E9}"/>
            </c:ext>
          </c:extLst>
        </c:ser>
        <c:dLbls>
          <c:showLegendKey val="0"/>
          <c:showVal val="0"/>
          <c:showCatName val="0"/>
          <c:showSerName val="0"/>
          <c:showPercent val="0"/>
          <c:showBubbleSize val="0"/>
        </c:dLbls>
        <c:gapWidth val="100"/>
        <c:axId val="193980672"/>
        <c:axId val="194056192"/>
      </c:barChart>
      <c:catAx>
        <c:axId val="193980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4056192"/>
        <c:crosses val="autoZero"/>
        <c:auto val="1"/>
        <c:lblAlgn val="ctr"/>
        <c:lblOffset val="100"/>
        <c:tickLblSkip val="1"/>
        <c:tickMarkSkip val="1"/>
        <c:noMultiLvlLbl val="0"/>
      </c:catAx>
      <c:valAx>
        <c:axId val="194056192"/>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26540284360198E-2"/>
              <c:y val="0.36695105309997045"/>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398067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paperSize="9" orientation="landscape" horizontalDpi="1200" verticalDpi="12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de-DE" sz="975" b="1" i="0" u="none" strike="noStrike" kern="1200" baseline="0">
                <a:solidFill>
                  <a:srgbClr val="000000"/>
                </a:solidFill>
                <a:latin typeface="Arial"/>
                <a:ea typeface="Arial"/>
                <a:cs typeface="Arial"/>
              </a:defRPr>
            </a:pPr>
            <a:r>
              <a:rPr lang="de-DE" sz="975" b="1" i="0" u="none" strike="noStrike" kern="1200" baseline="0">
                <a:solidFill>
                  <a:srgbClr val="000000"/>
                </a:solidFill>
                <a:latin typeface="Arial"/>
                <a:ea typeface="Arial"/>
                <a:cs typeface="Arial"/>
              </a:rPr>
              <a:t>Emissões de GEE —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Base'!$B$62</c:f>
              <c:strCache>
                <c:ptCount val="1"/>
                <c:pt idx="0">
                  <c:v>Resíduos de alimentos</c:v>
                </c:pt>
              </c:strCache>
            </c:strRef>
          </c:tx>
          <c:spPr>
            <a:solidFill>
              <a:srgbClr val="99CC0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Base'!$C$62:$D$62</c:f>
              <c:numCache>
                <c:formatCode>General</c:formatCode>
                <c:ptCount val="2"/>
                <c:pt idx="0" formatCode="#,##0">
                  <c:v>0</c:v>
                </c:pt>
              </c:numCache>
            </c:numRef>
          </c:val>
          <c:extLst>
            <c:ext xmlns:c16="http://schemas.microsoft.com/office/drawing/2014/chart" uri="{C3380CC4-5D6E-409C-BE32-E72D297353CC}">
              <c16:uniqueId val="{00000000-E7E3-45D2-8CD3-26CE302E681D}"/>
            </c:ext>
          </c:extLst>
        </c:ser>
        <c:ser>
          <c:idx val="1"/>
          <c:order val="1"/>
          <c:tx>
            <c:strRef>
              <c:f>'CO2 - Cenário Base'!$B$63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Base'!$C$63:$D$63</c:f>
              <c:numCache>
                <c:formatCode>General</c:formatCode>
                <c:ptCount val="2"/>
                <c:pt idx="0" formatCode="#,##0">
                  <c:v>0</c:v>
                </c:pt>
              </c:numCache>
            </c:numRef>
          </c:val>
          <c:extLst>
            <c:ext xmlns:c16="http://schemas.microsoft.com/office/drawing/2014/chart" uri="{C3380CC4-5D6E-409C-BE32-E72D297353CC}">
              <c16:uniqueId val="{00000001-E7E3-45D2-8CD3-26CE302E681D}"/>
            </c:ext>
          </c:extLst>
        </c:ser>
        <c:ser>
          <c:idx val="2"/>
          <c:order val="2"/>
          <c:tx>
            <c:strRef>
              <c:f>'CO2 - Cenário Base'!$B$64</c:f>
              <c:strCache>
                <c:ptCount val="1"/>
                <c:pt idx="0">
                  <c:v>Papel, papelão</c:v>
                </c:pt>
              </c:strCache>
            </c:strRef>
          </c:tx>
          <c:spPr>
            <a:solidFill>
              <a:srgbClr val="CC99FF"/>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Base'!$C$64:$D$64</c:f>
              <c:numCache>
                <c:formatCode>General</c:formatCode>
                <c:ptCount val="2"/>
                <c:pt idx="0" formatCode="#,##0">
                  <c:v>2402.2256000000002</c:v>
                </c:pt>
              </c:numCache>
            </c:numRef>
          </c:val>
          <c:extLst>
            <c:ext xmlns:c16="http://schemas.microsoft.com/office/drawing/2014/chart" uri="{C3380CC4-5D6E-409C-BE32-E72D297353CC}">
              <c16:uniqueId val="{00000002-E7E3-45D2-8CD3-26CE302E681D}"/>
            </c:ext>
          </c:extLst>
        </c:ser>
        <c:ser>
          <c:idx val="3"/>
          <c:order val="3"/>
          <c:tx>
            <c:strRef>
              <c:f>'CO2 - Cenário Base'!$B$65</c:f>
              <c:strCache>
                <c:ptCount val="1"/>
                <c:pt idx="0">
                  <c:v>Plásticos</c:v>
                </c:pt>
              </c:strCache>
            </c:strRef>
          </c:tx>
          <c:spPr>
            <a:solidFill>
              <a:srgbClr val="FFFF0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Base'!$C$65:$D$65</c:f>
              <c:numCache>
                <c:formatCode>General</c:formatCode>
                <c:ptCount val="2"/>
                <c:pt idx="0" formatCode="#,##0">
                  <c:v>808.11</c:v>
                </c:pt>
              </c:numCache>
            </c:numRef>
          </c:val>
          <c:extLst>
            <c:ext xmlns:c16="http://schemas.microsoft.com/office/drawing/2014/chart" uri="{C3380CC4-5D6E-409C-BE32-E72D297353CC}">
              <c16:uniqueId val="{00000003-E7E3-45D2-8CD3-26CE302E681D}"/>
            </c:ext>
          </c:extLst>
        </c:ser>
        <c:ser>
          <c:idx val="4"/>
          <c:order val="4"/>
          <c:tx>
            <c:strRef>
              <c:f>'CO2 - Cenário Base'!$B$66</c:f>
              <c:strCache>
                <c:ptCount val="1"/>
                <c:pt idx="0">
                  <c:v>Vidros</c:v>
                </c:pt>
              </c:strCache>
            </c:strRef>
          </c:tx>
          <c:spPr>
            <a:solidFill>
              <a:srgbClr val="FF99CC"/>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Base'!$C$66:$D$66</c:f>
              <c:numCache>
                <c:formatCode>General</c:formatCode>
                <c:ptCount val="2"/>
                <c:pt idx="0" formatCode="#,##0">
                  <c:v>0</c:v>
                </c:pt>
              </c:numCache>
            </c:numRef>
          </c:val>
          <c:extLst>
            <c:ext xmlns:c16="http://schemas.microsoft.com/office/drawing/2014/chart" uri="{C3380CC4-5D6E-409C-BE32-E72D297353CC}">
              <c16:uniqueId val="{00000004-E7E3-45D2-8CD3-26CE302E681D}"/>
            </c:ext>
          </c:extLst>
        </c:ser>
        <c:ser>
          <c:idx val="5"/>
          <c:order val="5"/>
          <c:tx>
            <c:strRef>
              <c:f>'CO2 - Cenário Base'!$B$67</c:f>
              <c:strCache>
                <c:ptCount val="1"/>
                <c:pt idx="0">
                  <c:v>Metais ferrosos</c:v>
                </c:pt>
              </c:strCache>
            </c:strRef>
          </c:tx>
          <c:spPr>
            <a:solidFill>
              <a:srgbClr val="C0C0C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Base'!$C$67:$D$67</c:f>
              <c:numCache>
                <c:formatCode>General</c:formatCode>
                <c:ptCount val="2"/>
                <c:pt idx="0" formatCode="#,##0">
                  <c:v>42.982399999999998</c:v>
                </c:pt>
              </c:numCache>
            </c:numRef>
          </c:val>
          <c:extLst>
            <c:ext xmlns:c16="http://schemas.microsoft.com/office/drawing/2014/chart" uri="{C3380CC4-5D6E-409C-BE32-E72D297353CC}">
              <c16:uniqueId val="{00000005-E7E3-45D2-8CD3-26CE302E681D}"/>
            </c:ext>
          </c:extLst>
        </c:ser>
        <c:ser>
          <c:idx val="6"/>
          <c:order val="6"/>
          <c:tx>
            <c:strRef>
              <c:f>'CO2 - Cenário Base'!$B$68</c:f>
              <c:strCache>
                <c:ptCount val="1"/>
                <c:pt idx="0">
                  <c:v>Alumínio</c:v>
                </c:pt>
              </c:strCache>
            </c:strRef>
          </c:tx>
          <c:spPr>
            <a:solidFill>
              <a:srgbClr val="993366"/>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Base'!$C$68:$D$68</c:f>
              <c:numCache>
                <c:formatCode>General</c:formatCode>
                <c:ptCount val="2"/>
                <c:pt idx="0" formatCode="#,##0">
                  <c:v>122.1144</c:v>
                </c:pt>
              </c:numCache>
            </c:numRef>
          </c:val>
          <c:extLst>
            <c:ext xmlns:c16="http://schemas.microsoft.com/office/drawing/2014/chart" uri="{C3380CC4-5D6E-409C-BE32-E72D297353CC}">
              <c16:uniqueId val="{00000006-E7E3-45D2-8CD3-26CE302E681D}"/>
            </c:ext>
          </c:extLst>
        </c:ser>
        <c:ser>
          <c:idx val="7"/>
          <c:order val="7"/>
          <c:tx>
            <c:strRef>
              <c:f>'CO2 - Cenário Base'!$B$69</c:f>
              <c:strCache>
                <c:ptCount val="1"/>
                <c:pt idx="0">
                  <c:v>Têxteis</c:v>
                </c:pt>
              </c:strCache>
            </c:strRef>
          </c:tx>
          <c:spPr>
            <a:solidFill>
              <a:srgbClr val="9999FF"/>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Base'!$C$69:$D$69</c:f>
              <c:numCache>
                <c:formatCode>General</c:formatCode>
                <c:ptCount val="2"/>
                <c:pt idx="0" formatCode="#,##0">
                  <c:v>0</c:v>
                </c:pt>
              </c:numCache>
            </c:numRef>
          </c:val>
          <c:extLst>
            <c:ext xmlns:c16="http://schemas.microsoft.com/office/drawing/2014/chart" uri="{C3380CC4-5D6E-409C-BE32-E72D297353CC}">
              <c16:uniqueId val="{00000007-E7E3-45D2-8CD3-26CE302E681D}"/>
            </c:ext>
          </c:extLst>
        </c:ser>
        <c:ser>
          <c:idx val="8"/>
          <c:order val="8"/>
          <c:tx>
            <c:strRef>
              <c:f>'CO2 - Cenário Base'!$B$70</c:f>
              <c:strCache>
                <c:ptCount val="1"/>
                <c:pt idx="0">
                  <c:v>Débitos</c:v>
                </c:pt>
              </c:strCache>
            </c:strRef>
          </c:tx>
          <c:spPr>
            <a:noFill/>
            <a:ln w="25400">
              <a:noFill/>
            </a:ln>
          </c:spPr>
          <c:invertIfNegative val="0"/>
          <c:cat>
            <c:strRef>
              <c:f>'CO2 - Cenário Base'!$C$61:$D$61</c:f>
              <c:strCache>
                <c:ptCount val="2"/>
                <c:pt idx="0">
                  <c:v>Resíduos reciclados</c:v>
                </c:pt>
                <c:pt idx="1">
                  <c:v>Líquido</c:v>
                </c:pt>
              </c:strCache>
            </c:strRef>
          </c:cat>
          <c:val>
            <c:numRef>
              <c:f>'CO2 - Cenário Base'!$C$70:$D$70</c:f>
              <c:numCache>
                <c:formatCode>#,##0</c:formatCode>
                <c:ptCount val="2"/>
              </c:numCache>
            </c:numRef>
          </c:val>
          <c:extLst>
            <c:ext xmlns:c16="http://schemas.microsoft.com/office/drawing/2014/chart" uri="{C3380CC4-5D6E-409C-BE32-E72D297353CC}">
              <c16:uniqueId val="{00000008-E7E3-45D2-8CD3-26CE302E681D}"/>
            </c:ext>
          </c:extLst>
        </c:ser>
        <c:ser>
          <c:idx val="9"/>
          <c:order val="9"/>
          <c:tx>
            <c:strRef>
              <c:f>'CO2 - Cenário Base'!$B$71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Base'!$C$71:$D$71</c:f>
              <c:numCache>
                <c:formatCode>General</c:formatCode>
                <c:ptCount val="2"/>
                <c:pt idx="0" formatCode="#,##0">
                  <c:v>0</c:v>
                </c:pt>
              </c:numCache>
            </c:numRef>
          </c:val>
          <c:extLst>
            <c:ext xmlns:c16="http://schemas.microsoft.com/office/drawing/2014/chart" uri="{C3380CC4-5D6E-409C-BE32-E72D297353CC}">
              <c16:uniqueId val="{00000009-E7E3-45D2-8CD3-26CE302E681D}"/>
            </c:ext>
          </c:extLst>
        </c:ser>
        <c:ser>
          <c:idx val="10"/>
          <c:order val="10"/>
          <c:tx>
            <c:strRef>
              <c:f>'CO2 - Cenário Base'!$B$72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Base'!$C$72:$D$72</c:f>
              <c:numCache>
                <c:formatCode>General</c:formatCode>
                <c:ptCount val="2"/>
                <c:pt idx="0" formatCode="#,##0">
                  <c:v>0</c:v>
                </c:pt>
              </c:numCache>
            </c:numRef>
          </c:val>
          <c:extLst>
            <c:ext xmlns:c16="http://schemas.microsoft.com/office/drawing/2014/chart" uri="{C3380CC4-5D6E-409C-BE32-E72D297353CC}">
              <c16:uniqueId val="{0000000A-E7E3-45D2-8CD3-26CE302E681D}"/>
            </c:ext>
          </c:extLst>
        </c:ser>
        <c:ser>
          <c:idx val="11"/>
          <c:order val="11"/>
          <c:tx>
            <c:strRef>
              <c:f>'CO2 - Cenário Base'!$B$73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Base'!$C$73:$D$73</c:f>
              <c:numCache>
                <c:formatCode>General</c:formatCode>
                <c:ptCount val="2"/>
                <c:pt idx="0" formatCode="#,##0">
                  <c:v>-2960.7048000000004</c:v>
                </c:pt>
              </c:numCache>
            </c:numRef>
          </c:val>
          <c:extLst>
            <c:ext xmlns:c16="http://schemas.microsoft.com/office/drawing/2014/chart" uri="{C3380CC4-5D6E-409C-BE32-E72D297353CC}">
              <c16:uniqueId val="{0000000B-E7E3-45D2-8CD3-26CE302E681D}"/>
            </c:ext>
          </c:extLst>
        </c:ser>
        <c:ser>
          <c:idx val="12"/>
          <c:order val="12"/>
          <c:tx>
            <c:strRef>
              <c:f>'CO2 - Cenário Base'!$B$74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Base'!$C$74:$D$74</c:f>
              <c:numCache>
                <c:formatCode>General</c:formatCode>
                <c:ptCount val="2"/>
                <c:pt idx="0" formatCode="#,##0">
                  <c:v>-3764.2157999999999</c:v>
                </c:pt>
              </c:numCache>
            </c:numRef>
          </c:val>
          <c:extLst>
            <c:ext xmlns:c16="http://schemas.microsoft.com/office/drawing/2014/chart" uri="{C3380CC4-5D6E-409C-BE32-E72D297353CC}">
              <c16:uniqueId val="{0000000C-E7E3-45D2-8CD3-26CE302E681D}"/>
            </c:ext>
          </c:extLst>
        </c:ser>
        <c:ser>
          <c:idx val="13"/>
          <c:order val="13"/>
          <c:tx>
            <c:strRef>
              <c:f>'CO2 - Cenário Base'!$B$75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Base'!$C$75:$D$75</c:f>
              <c:numCache>
                <c:formatCode>General</c:formatCode>
                <c:ptCount val="2"/>
                <c:pt idx="0" formatCode="#,##0">
                  <c:v>0</c:v>
                </c:pt>
              </c:numCache>
            </c:numRef>
          </c:val>
          <c:extLst>
            <c:ext xmlns:c16="http://schemas.microsoft.com/office/drawing/2014/chart" uri="{C3380CC4-5D6E-409C-BE32-E72D297353CC}">
              <c16:uniqueId val="{0000000D-E7E3-45D2-8CD3-26CE302E681D}"/>
            </c:ext>
          </c:extLst>
        </c:ser>
        <c:ser>
          <c:idx val="14"/>
          <c:order val="14"/>
          <c:tx>
            <c:strRef>
              <c:f>'CO2 - Cenário Base'!$B$76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Base'!$C$76:$D$76</c:f>
              <c:numCache>
                <c:formatCode>General</c:formatCode>
                <c:ptCount val="2"/>
                <c:pt idx="0" formatCode="#,##0">
                  <c:v>-1149.7791999999999</c:v>
                </c:pt>
              </c:numCache>
            </c:numRef>
          </c:val>
          <c:extLst>
            <c:ext xmlns:c16="http://schemas.microsoft.com/office/drawing/2014/chart" uri="{C3380CC4-5D6E-409C-BE32-E72D297353CC}">
              <c16:uniqueId val="{0000000E-E7E3-45D2-8CD3-26CE302E681D}"/>
            </c:ext>
          </c:extLst>
        </c:ser>
        <c:ser>
          <c:idx val="15"/>
          <c:order val="15"/>
          <c:tx>
            <c:strRef>
              <c:f>'CO2 - Cenário Base'!$B$77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Base'!$C$77:$D$77</c:f>
              <c:numCache>
                <c:formatCode>General</c:formatCode>
                <c:ptCount val="2"/>
                <c:pt idx="0" formatCode="#,##0">
                  <c:v>-1730.9760000000003</c:v>
                </c:pt>
              </c:numCache>
            </c:numRef>
          </c:val>
          <c:extLst>
            <c:ext xmlns:c16="http://schemas.microsoft.com/office/drawing/2014/chart" uri="{C3380CC4-5D6E-409C-BE32-E72D297353CC}">
              <c16:uniqueId val="{0000000F-E7E3-45D2-8CD3-26CE302E681D}"/>
            </c:ext>
          </c:extLst>
        </c:ser>
        <c:ser>
          <c:idx val="16"/>
          <c:order val="16"/>
          <c:tx>
            <c:strRef>
              <c:f>'CO2 - Cenário Base'!$B$78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Base'!$C$78:$D$78</c:f>
              <c:numCache>
                <c:formatCode>General</c:formatCode>
                <c:ptCount val="2"/>
                <c:pt idx="0" formatCode="#,##0">
                  <c:v>0</c:v>
                </c:pt>
              </c:numCache>
            </c:numRef>
          </c:val>
          <c:extLst>
            <c:ext xmlns:c16="http://schemas.microsoft.com/office/drawing/2014/chart" uri="{C3380CC4-5D6E-409C-BE32-E72D297353CC}">
              <c16:uniqueId val="{00000010-E7E3-45D2-8CD3-26CE302E681D}"/>
            </c:ext>
          </c:extLst>
        </c:ser>
        <c:ser>
          <c:idx val="17"/>
          <c:order val="17"/>
          <c:tx>
            <c:strRef>
              <c:f>'CO2 - Cenário Base'!$B$79</c:f>
              <c:strCache>
                <c:ptCount val="1"/>
                <c:pt idx="0">
                  <c:v>Créditos</c:v>
                </c:pt>
              </c:strCache>
            </c:strRef>
          </c:tx>
          <c:spPr>
            <a:noFill/>
            <a:ln w="25400">
              <a:noFill/>
            </a:ln>
          </c:spPr>
          <c:invertIfNegative val="0"/>
          <c:cat>
            <c:strRef>
              <c:f>'CO2 - Cenário Base'!$C$61:$D$61</c:f>
              <c:strCache>
                <c:ptCount val="2"/>
                <c:pt idx="0">
                  <c:v>Resíduos reciclados</c:v>
                </c:pt>
                <c:pt idx="1">
                  <c:v>Líquido</c:v>
                </c:pt>
              </c:strCache>
            </c:strRef>
          </c:cat>
          <c:val>
            <c:numRef>
              <c:f>'CO2 - Cenário Base'!$C$79:$D$79</c:f>
              <c:numCache>
                <c:formatCode>#,##0</c:formatCode>
                <c:ptCount val="2"/>
              </c:numCache>
            </c:numRef>
          </c:val>
          <c:extLst>
            <c:ext xmlns:c16="http://schemas.microsoft.com/office/drawing/2014/chart" uri="{C3380CC4-5D6E-409C-BE32-E72D297353CC}">
              <c16:uniqueId val="{00000011-E7E3-45D2-8CD3-26CE302E681D}"/>
            </c:ext>
          </c:extLst>
        </c:ser>
        <c:ser>
          <c:idx val="18"/>
          <c:order val="18"/>
          <c:tx>
            <c:strRef>
              <c:f>'CO2 - Cenário Base'!$B$80</c:f>
              <c:strCache>
                <c:ptCount val="1"/>
                <c:pt idx="0">
                  <c:v>Líquidos</c:v>
                </c:pt>
              </c:strCache>
            </c:strRef>
          </c:tx>
          <c:spPr>
            <a:solidFill>
              <a:srgbClr val="0000FF"/>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Base'!$C$80:$D$80</c:f>
              <c:numCache>
                <c:formatCode>#,##0</c:formatCode>
                <c:ptCount val="2"/>
                <c:pt idx="1">
                  <c:v>-6230.2434000000012</c:v>
                </c:pt>
              </c:numCache>
            </c:numRef>
          </c:val>
          <c:extLst>
            <c:ext xmlns:c16="http://schemas.microsoft.com/office/drawing/2014/chart" uri="{C3380CC4-5D6E-409C-BE32-E72D297353CC}">
              <c16:uniqueId val="{00000012-E7E3-45D2-8CD3-26CE302E681D}"/>
            </c:ext>
          </c:extLst>
        </c:ser>
        <c:dLbls>
          <c:showLegendKey val="0"/>
          <c:showVal val="0"/>
          <c:showCatName val="0"/>
          <c:showSerName val="0"/>
          <c:showPercent val="0"/>
          <c:showBubbleSize val="0"/>
        </c:dLbls>
        <c:gapWidth val="100"/>
        <c:overlap val="100"/>
        <c:axId val="196294912"/>
        <c:axId val="196300800"/>
      </c:barChart>
      <c:catAx>
        <c:axId val="19629491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300800"/>
        <c:crosses val="autoZero"/>
        <c:auto val="1"/>
        <c:lblAlgn val="ctr"/>
        <c:lblOffset val="100"/>
        <c:tickLblSkip val="1"/>
        <c:tickMarkSkip val="1"/>
        <c:noMultiLvlLbl val="0"/>
      </c:catAx>
      <c:valAx>
        <c:axId val="19630080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142355967880253E-2"/>
              <c:y val="0.3633728977071056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294912"/>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Descarte</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8846555325663103"/>
          <c:y val="0.12326291283313692"/>
          <c:w val="0.52626158599382056"/>
          <c:h val="0.76137931034482786"/>
        </c:manualLayout>
      </c:layout>
      <c:barChart>
        <c:barDir val="col"/>
        <c:grouping val="stacked"/>
        <c:varyColors val="0"/>
        <c:ser>
          <c:idx val="0"/>
          <c:order val="0"/>
          <c:tx>
            <c:strRef>
              <c:f>'CO2 - Cenário Base'!$K$62</c:f>
              <c:strCache>
                <c:ptCount val="1"/>
                <c:pt idx="0">
                  <c:v>Resíduos dispersos</c:v>
                </c:pt>
              </c:strCache>
            </c:strRef>
          </c:tx>
          <c:spPr>
            <a:solidFill>
              <a:srgbClr val="FFFF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Base'!$L$62:$M$62</c:f>
              <c:numCache>
                <c:formatCode>General</c:formatCode>
                <c:ptCount val="2"/>
                <c:pt idx="0" formatCode="#,##0">
                  <c:v>0</c:v>
                </c:pt>
              </c:numCache>
            </c:numRef>
          </c:val>
          <c:extLst>
            <c:ext xmlns:c16="http://schemas.microsoft.com/office/drawing/2014/chart" uri="{C3380CC4-5D6E-409C-BE32-E72D297353CC}">
              <c16:uniqueId val="{00000000-9245-4D65-9B32-8C7C7B80C809}"/>
            </c:ext>
          </c:extLst>
        </c:ser>
        <c:ser>
          <c:idx val="1"/>
          <c:order val="1"/>
          <c:tx>
            <c:strRef>
              <c:f>'CO2 - Cenário Base'!$K$63</c:f>
              <c:strCache>
                <c:ptCount val="1"/>
                <c:pt idx="0">
                  <c:v>Queima a céu aberto</c:v>
                </c:pt>
              </c:strCache>
            </c:strRef>
          </c:tx>
          <c:spPr>
            <a:solidFill>
              <a:srgbClr val="FF808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Base'!$L$63:$M$63</c:f>
              <c:numCache>
                <c:formatCode>General</c:formatCode>
                <c:ptCount val="2"/>
                <c:pt idx="0" formatCode="#,##0">
                  <c:v>0</c:v>
                </c:pt>
              </c:numCache>
            </c:numRef>
          </c:val>
          <c:extLst>
            <c:ext xmlns:c16="http://schemas.microsoft.com/office/drawing/2014/chart" uri="{C3380CC4-5D6E-409C-BE32-E72D297353CC}">
              <c16:uniqueId val="{00000001-9245-4D65-9B32-8C7C7B80C809}"/>
            </c:ext>
          </c:extLst>
        </c:ser>
        <c:ser>
          <c:idx val="2"/>
          <c:order val="2"/>
          <c:tx>
            <c:strRef>
              <c:f>'CO2 - Cenário Base'!$K$64</c:f>
              <c:strCache>
                <c:ptCount val="1"/>
                <c:pt idx="0">
                  <c:v>Lixão não controlado</c:v>
                </c:pt>
              </c:strCache>
            </c:strRef>
          </c:tx>
          <c:spPr>
            <a:solidFill>
              <a:srgbClr val="9933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Base'!$L$64:$M$64</c:f>
              <c:numCache>
                <c:formatCode>General</c:formatCode>
                <c:ptCount val="2"/>
                <c:pt idx="0" formatCode="#,##0">
                  <c:v>0</c:v>
                </c:pt>
              </c:numCache>
            </c:numRef>
          </c:val>
          <c:extLst>
            <c:ext xmlns:c16="http://schemas.microsoft.com/office/drawing/2014/chart" uri="{C3380CC4-5D6E-409C-BE32-E72D297353CC}">
              <c16:uniqueId val="{00000002-9245-4D65-9B32-8C7C7B80C809}"/>
            </c:ext>
          </c:extLst>
        </c:ser>
        <c:ser>
          <c:idx val="3"/>
          <c:order val="3"/>
          <c:tx>
            <c:strRef>
              <c:f>'CO2 - Cenário Base'!$K$65</c:f>
              <c:strCache>
                <c:ptCount val="1"/>
                <c:pt idx="0">
                  <c:v>Aterro controlado</c:v>
                </c:pt>
              </c:strCache>
            </c:strRef>
          </c:tx>
          <c:spPr>
            <a:solidFill>
              <a:srgbClr val="99CC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Base'!$L$65:$M$65</c:f>
              <c:numCache>
                <c:formatCode>General</c:formatCode>
                <c:ptCount val="2"/>
                <c:pt idx="0" formatCode="#,##0">
                  <c:v>0</c:v>
                </c:pt>
              </c:numCache>
            </c:numRef>
          </c:val>
          <c:extLst>
            <c:ext xmlns:c16="http://schemas.microsoft.com/office/drawing/2014/chart" uri="{C3380CC4-5D6E-409C-BE32-E72D297353CC}">
              <c16:uniqueId val="{00000003-9245-4D65-9B32-8C7C7B80C809}"/>
            </c:ext>
          </c:extLst>
        </c:ser>
        <c:ser>
          <c:idx val="4"/>
          <c:order val="4"/>
          <c:tx>
            <c:strRef>
              <c:f>'CO2 - Cenário Base'!$K$66</c:f>
              <c:strCache>
                <c:ptCount val="1"/>
                <c:pt idx="0">
                  <c:v>Aterro sanitário</c:v>
                </c:pt>
              </c:strCache>
            </c:strRef>
          </c:tx>
          <c:spPr>
            <a:solidFill>
              <a:srgbClr val="FFFF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Base'!$L$66:$M$66</c:f>
              <c:numCache>
                <c:formatCode>General</c:formatCode>
                <c:ptCount val="2"/>
                <c:pt idx="0" formatCode="#,##0">
                  <c:v>167352.43851908133</c:v>
                </c:pt>
              </c:numCache>
            </c:numRef>
          </c:val>
          <c:extLst>
            <c:ext xmlns:c16="http://schemas.microsoft.com/office/drawing/2014/chart" uri="{C3380CC4-5D6E-409C-BE32-E72D297353CC}">
              <c16:uniqueId val="{00000004-9245-4D65-9B32-8C7C7B80C809}"/>
            </c:ext>
          </c:extLst>
        </c:ser>
        <c:ser>
          <c:idx val="5"/>
          <c:order val="5"/>
          <c:tx>
            <c:strRef>
              <c:f>'CO2 - Cenário Base'!$K$67</c:f>
              <c:strCache>
                <c:ptCount val="1"/>
                <c:pt idx="0">
                  <c:v>Trat. biol + cobertura at.</c:v>
                </c:pt>
              </c:strCache>
            </c:strRef>
          </c:tx>
          <c:spPr>
            <a:solidFill>
              <a:srgbClr val="FF00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Base'!$L$67:$M$67</c:f>
              <c:numCache>
                <c:formatCode>General</c:formatCode>
                <c:ptCount val="2"/>
                <c:pt idx="0" formatCode="#,##0">
                  <c:v>0</c:v>
                </c:pt>
              </c:numCache>
            </c:numRef>
          </c:val>
          <c:extLst>
            <c:ext xmlns:c16="http://schemas.microsoft.com/office/drawing/2014/chart" uri="{C3380CC4-5D6E-409C-BE32-E72D297353CC}">
              <c16:uniqueId val="{00000005-9245-4D65-9B32-8C7C7B80C809}"/>
            </c:ext>
          </c:extLst>
        </c:ser>
        <c:ser>
          <c:idx val="6"/>
          <c:order val="6"/>
          <c:tx>
            <c:strRef>
              <c:f>'CO2 - Cenário Base'!$K$68</c:f>
              <c:strCache>
                <c:ptCount val="1"/>
                <c:pt idx="0">
                  <c:v>CDR seco + rejeito aterro</c:v>
                </c:pt>
              </c:strCache>
            </c:strRef>
          </c:tx>
          <c:spPr>
            <a:solidFill>
              <a:srgbClr val="00808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Base'!$L$68:$M$68</c:f>
              <c:numCache>
                <c:formatCode>General</c:formatCode>
                <c:ptCount val="2"/>
                <c:pt idx="0" formatCode="#,##0">
                  <c:v>0</c:v>
                </c:pt>
              </c:numCache>
            </c:numRef>
          </c:val>
          <c:extLst>
            <c:ext xmlns:c16="http://schemas.microsoft.com/office/drawing/2014/chart" uri="{C3380CC4-5D6E-409C-BE32-E72D297353CC}">
              <c16:uniqueId val="{00000006-9245-4D65-9B32-8C7C7B80C809}"/>
            </c:ext>
          </c:extLst>
        </c:ser>
        <c:ser>
          <c:idx val="7"/>
          <c:order val="7"/>
          <c:tx>
            <c:strRef>
              <c:f>'CO2 - Cenário Base'!$K$69</c:f>
              <c:strCache>
                <c:ptCount val="1"/>
                <c:pt idx="0">
                  <c:v>CDR seco + trat. biol.</c:v>
                </c:pt>
              </c:strCache>
            </c:strRef>
          </c:tx>
          <c:spPr>
            <a:solidFill>
              <a:srgbClr val="FF99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Base'!$L$69:$M$69</c:f>
              <c:numCache>
                <c:formatCode>General</c:formatCode>
                <c:ptCount val="2"/>
                <c:pt idx="0" formatCode="#,##0">
                  <c:v>0</c:v>
                </c:pt>
              </c:numCache>
            </c:numRef>
          </c:val>
          <c:extLst>
            <c:ext xmlns:c16="http://schemas.microsoft.com/office/drawing/2014/chart" uri="{C3380CC4-5D6E-409C-BE32-E72D297353CC}">
              <c16:uniqueId val="{00000007-9245-4D65-9B32-8C7C7B80C809}"/>
            </c:ext>
          </c:extLst>
        </c:ser>
        <c:ser>
          <c:idx val="21"/>
          <c:order val="8"/>
          <c:tx>
            <c:strRef>
              <c:f>'CO2 - Cenário Base'!$K$70</c:f>
              <c:strCache>
                <c:ptCount val="1"/>
                <c:pt idx="0">
                  <c:v>CDR seco + CDR org.</c:v>
                </c:pt>
              </c:strCache>
            </c:strRef>
          </c:tx>
          <c:spPr>
            <a:solidFill>
              <a:srgbClr val="00B0F0"/>
            </a:solidFill>
            <a:ln w="12700">
              <a:solidFill>
                <a:srgbClr val="000000"/>
              </a:solidFill>
            </a:ln>
          </c:spPr>
          <c:invertIfNegative val="0"/>
          <c:cat>
            <c:strRef>
              <c:f>'CO2 - Cenário Base'!$L$61:$M$61</c:f>
              <c:strCache>
                <c:ptCount val="2"/>
                <c:pt idx="0">
                  <c:v>Resíduos descartados</c:v>
                </c:pt>
                <c:pt idx="1">
                  <c:v>Líquido</c:v>
                </c:pt>
              </c:strCache>
            </c:strRef>
          </c:cat>
          <c:val>
            <c:numRef>
              <c:f>'CO2 - Cenário Base'!$L$70:$M$70</c:f>
              <c:numCache>
                <c:formatCode>General</c:formatCode>
                <c:ptCount val="2"/>
                <c:pt idx="0" formatCode="#,##0">
                  <c:v>0</c:v>
                </c:pt>
              </c:numCache>
            </c:numRef>
          </c:val>
          <c:extLst>
            <c:ext xmlns:c16="http://schemas.microsoft.com/office/drawing/2014/chart" uri="{C3380CC4-5D6E-409C-BE32-E72D297353CC}">
              <c16:uniqueId val="{00000008-9245-4D65-9B32-8C7C7B80C809}"/>
            </c:ext>
          </c:extLst>
        </c:ser>
        <c:ser>
          <c:idx val="8"/>
          <c:order val="9"/>
          <c:tx>
            <c:strRef>
              <c:f>'CO2 - Cenário Base'!$K$71</c:f>
              <c:strCache>
                <c:ptCount val="1"/>
                <c:pt idx="0">
                  <c:v>Incineração</c:v>
                </c:pt>
              </c:strCache>
            </c:strRef>
          </c:tx>
          <c:spPr>
            <a:solidFill>
              <a:srgbClr val="CCCC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Base'!$L$71:$M$71</c:f>
              <c:numCache>
                <c:formatCode>General</c:formatCode>
                <c:ptCount val="2"/>
                <c:pt idx="0" formatCode="#,##0">
                  <c:v>0</c:v>
                </c:pt>
              </c:numCache>
            </c:numRef>
          </c:val>
          <c:extLst>
            <c:ext xmlns:c16="http://schemas.microsoft.com/office/drawing/2014/chart" uri="{C3380CC4-5D6E-409C-BE32-E72D297353CC}">
              <c16:uniqueId val="{00000009-9245-4D65-9B32-8C7C7B80C809}"/>
            </c:ext>
          </c:extLst>
        </c:ser>
        <c:ser>
          <c:idx val="9"/>
          <c:order val="10"/>
          <c:tx>
            <c:strRef>
              <c:f>'CO2 - Cenário Base'!$K$72</c:f>
              <c:strCache>
                <c:ptCount val="1"/>
                <c:pt idx="0">
                  <c:v>Débitos</c:v>
                </c:pt>
              </c:strCache>
            </c:strRef>
          </c:tx>
          <c:spPr>
            <a:noFill/>
            <a:ln w="25400">
              <a:noFill/>
            </a:ln>
          </c:spPr>
          <c:invertIfNegative val="0"/>
          <c:cat>
            <c:strRef>
              <c:f>'CO2 - Cenário Base'!$L$61:$M$61</c:f>
              <c:strCache>
                <c:ptCount val="2"/>
                <c:pt idx="0">
                  <c:v>Resíduos descartados</c:v>
                </c:pt>
                <c:pt idx="1">
                  <c:v>Líquido</c:v>
                </c:pt>
              </c:strCache>
            </c:strRef>
          </c:cat>
          <c:val>
            <c:numRef>
              <c:f>'CO2 - Cenário Base'!$L$72:$M$72</c:f>
              <c:numCache>
                <c:formatCode>General</c:formatCode>
                <c:ptCount val="2"/>
              </c:numCache>
            </c:numRef>
          </c:val>
          <c:extLst>
            <c:ext xmlns:c16="http://schemas.microsoft.com/office/drawing/2014/chart" uri="{C3380CC4-5D6E-409C-BE32-E72D297353CC}">
              <c16:uniqueId val="{0000000A-9245-4D65-9B32-8C7C7B80C809}"/>
            </c:ext>
          </c:extLst>
        </c:ser>
        <c:ser>
          <c:idx val="10"/>
          <c:order val="11"/>
          <c:tx>
            <c:strRef>
              <c:f>'CO2 - Cenário Base'!$K$73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Base'!$L$73:$M$73</c:f>
              <c:numCache>
                <c:formatCode>General</c:formatCode>
                <c:ptCount val="2"/>
                <c:pt idx="0" formatCode="#,##0">
                  <c:v>0</c:v>
                </c:pt>
              </c:numCache>
            </c:numRef>
          </c:val>
          <c:extLst>
            <c:ext xmlns:c16="http://schemas.microsoft.com/office/drawing/2014/chart" uri="{C3380CC4-5D6E-409C-BE32-E72D297353CC}">
              <c16:uniqueId val="{0000000B-9245-4D65-9B32-8C7C7B80C809}"/>
            </c:ext>
          </c:extLst>
        </c:ser>
        <c:ser>
          <c:idx val="11"/>
          <c:order val="12"/>
          <c:tx>
            <c:strRef>
              <c:f>'CO2 - Cenário Base'!$K$74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Base'!$L$74:$M$74</c:f>
              <c:numCache>
                <c:formatCode>General</c:formatCode>
                <c:ptCount val="2"/>
                <c:pt idx="0" formatCode="#,##0">
                  <c:v>0</c:v>
                </c:pt>
              </c:numCache>
            </c:numRef>
          </c:val>
          <c:extLst>
            <c:ext xmlns:c16="http://schemas.microsoft.com/office/drawing/2014/chart" uri="{C3380CC4-5D6E-409C-BE32-E72D297353CC}">
              <c16:uniqueId val="{0000000C-9245-4D65-9B32-8C7C7B80C809}"/>
            </c:ext>
          </c:extLst>
        </c:ser>
        <c:ser>
          <c:idx val="12"/>
          <c:order val="13"/>
          <c:tx>
            <c:strRef>
              <c:f>'CO2 - Cenário Base'!$K$75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Base'!$L$75:$M$75</c:f>
              <c:numCache>
                <c:formatCode>General</c:formatCode>
                <c:ptCount val="2"/>
                <c:pt idx="0" formatCode="#,##0">
                  <c:v>0</c:v>
                </c:pt>
              </c:numCache>
            </c:numRef>
          </c:val>
          <c:extLst>
            <c:ext xmlns:c16="http://schemas.microsoft.com/office/drawing/2014/chart" uri="{C3380CC4-5D6E-409C-BE32-E72D297353CC}">
              <c16:uniqueId val="{0000000D-9245-4D65-9B32-8C7C7B80C809}"/>
            </c:ext>
          </c:extLst>
        </c:ser>
        <c:ser>
          <c:idx val="13"/>
          <c:order val="14"/>
          <c:tx>
            <c:strRef>
              <c:f>'CO2 - Cenário Base'!$K$76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Base'!$L$76:$M$76</c:f>
              <c:numCache>
                <c:formatCode>General</c:formatCode>
                <c:ptCount val="2"/>
                <c:pt idx="0" formatCode="#,##0">
                  <c:v>0</c:v>
                </c:pt>
              </c:numCache>
            </c:numRef>
          </c:val>
          <c:extLst>
            <c:ext xmlns:c16="http://schemas.microsoft.com/office/drawing/2014/chart" uri="{C3380CC4-5D6E-409C-BE32-E72D297353CC}">
              <c16:uniqueId val="{0000000E-9245-4D65-9B32-8C7C7B80C809}"/>
            </c:ext>
          </c:extLst>
        </c:ser>
        <c:ser>
          <c:idx val="14"/>
          <c:order val="15"/>
          <c:tx>
            <c:strRef>
              <c:f>'CO2 - Cenário Base'!$K$77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Base'!$L$77:$M$77</c:f>
              <c:numCache>
                <c:formatCode>General</c:formatCode>
                <c:ptCount val="2"/>
                <c:pt idx="0" formatCode="#,##0">
                  <c:v>0</c:v>
                </c:pt>
              </c:numCache>
            </c:numRef>
          </c:val>
          <c:extLst>
            <c:ext xmlns:c16="http://schemas.microsoft.com/office/drawing/2014/chart" uri="{C3380CC4-5D6E-409C-BE32-E72D297353CC}">
              <c16:uniqueId val="{0000000F-9245-4D65-9B32-8C7C7B80C809}"/>
            </c:ext>
          </c:extLst>
        </c:ser>
        <c:ser>
          <c:idx val="15"/>
          <c:order val="16"/>
          <c:tx>
            <c:strRef>
              <c:f>'CO2 - Cenário Base'!$K$78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Base'!$L$78:$M$78</c:f>
              <c:numCache>
                <c:formatCode>General</c:formatCode>
                <c:ptCount val="2"/>
                <c:pt idx="0" formatCode="#,##0">
                  <c:v>0</c:v>
                </c:pt>
              </c:numCache>
            </c:numRef>
          </c:val>
          <c:extLst>
            <c:ext xmlns:c16="http://schemas.microsoft.com/office/drawing/2014/chart" uri="{C3380CC4-5D6E-409C-BE32-E72D297353CC}">
              <c16:uniqueId val="{00000010-9245-4D65-9B32-8C7C7B80C809}"/>
            </c:ext>
          </c:extLst>
        </c:ser>
        <c:ser>
          <c:idx val="16"/>
          <c:order val="17"/>
          <c:tx>
            <c:strRef>
              <c:f>'CO2 - Cenário Base'!$K$79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Base'!$L$79:$M$79</c:f>
              <c:numCache>
                <c:formatCode>General</c:formatCode>
                <c:ptCount val="2"/>
                <c:pt idx="0" formatCode="#,##0">
                  <c:v>0</c:v>
                </c:pt>
              </c:numCache>
            </c:numRef>
          </c:val>
          <c:extLst>
            <c:ext xmlns:c16="http://schemas.microsoft.com/office/drawing/2014/chart" uri="{C3380CC4-5D6E-409C-BE32-E72D297353CC}">
              <c16:uniqueId val="{00000011-9245-4D65-9B32-8C7C7B80C809}"/>
            </c:ext>
          </c:extLst>
        </c:ser>
        <c:ser>
          <c:idx val="17"/>
          <c:order val="18"/>
          <c:tx>
            <c:strRef>
              <c:f>'CO2 - Cenário Base'!$K$80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Base'!$L$80:$M$80</c:f>
              <c:numCache>
                <c:formatCode>General</c:formatCode>
                <c:ptCount val="2"/>
                <c:pt idx="0" formatCode="#,##0">
                  <c:v>0</c:v>
                </c:pt>
              </c:numCache>
            </c:numRef>
          </c:val>
          <c:extLst>
            <c:ext xmlns:c16="http://schemas.microsoft.com/office/drawing/2014/chart" uri="{C3380CC4-5D6E-409C-BE32-E72D297353CC}">
              <c16:uniqueId val="{00000012-9245-4D65-9B32-8C7C7B80C809}"/>
            </c:ext>
          </c:extLst>
        </c:ser>
        <c:ser>
          <c:idx val="22"/>
          <c:order val="19"/>
          <c:tx>
            <c:strRef>
              <c:f>'CO2 - Cenário Base'!$K$81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Base'!$L$61:$M$61</c:f>
              <c:strCache>
                <c:ptCount val="2"/>
                <c:pt idx="0">
                  <c:v>Resíduos descartados</c:v>
                </c:pt>
                <c:pt idx="1">
                  <c:v>Líquido</c:v>
                </c:pt>
              </c:strCache>
            </c:strRef>
          </c:cat>
          <c:val>
            <c:numRef>
              <c:f>'CO2 - Cenário Base'!$L$81:$M$81</c:f>
              <c:numCache>
                <c:formatCode>General</c:formatCode>
                <c:ptCount val="2"/>
                <c:pt idx="0" formatCode="#,##0">
                  <c:v>0</c:v>
                </c:pt>
              </c:numCache>
            </c:numRef>
          </c:val>
          <c:extLst>
            <c:ext xmlns:c16="http://schemas.microsoft.com/office/drawing/2014/chart" uri="{C3380CC4-5D6E-409C-BE32-E72D297353CC}">
              <c16:uniqueId val="{00000013-9245-4D65-9B32-8C7C7B80C809}"/>
            </c:ext>
          </c:extLst>
        </c:ser>
        <c:ser>
          <c:idx val="18"/>
          <c:order val="20"/>
          <c:tx>
            <c:strRef>
              <c:f>'CO2 - Cenário Base'!$K$82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Base'!$L$82:$M$82</c:f>
              <c:numCache>
                <c:formatCode>General</c:formatCode>
                <c:ptCount val="2"/>
                <c:pt idx="0" formatCode="#,##0">
                  <c:v>0</c:v>
                </c:pt>
              </c:numCache>
            </c:numRef>
          </c:val>
          <c:extLst>
            <c:ext xmlns:c16="http://schemas.microsoft.com/office/drawing/2014/chart" uri="{C3380CC4-5D6E-409C-BE32-E72D297353CC}">
              <c16:uniqueId val="{00000014-9245-4D65-9B32-8C7C7B80C809}"/>
            </c:ext>
          </c:extLst>
        </c:ser>
        <c:ser>
          <c:idx val="19"/>
          <c:order val="21"/>
          <c:tx>
            <c:strRef>
              <c:f>'CO2 - Cenário Base'!$K$83</c:f>
              <c:strCache>
                <c:ptCount val="1"/>
                <c:pt idx="0">
                  <c:v>Créditos</c:v>
                </c:pt>
              </c:strCache>
            </c:strRef>
          </c:tx>
          <c:spPr>
            <a:noFill/>
            <a:ln w="25400">
              <a:noFill/>
            </a:ln>
          </c:spPr>
          <c:invertIfNegative val="0"/>
          <c:cat>
            <c:strRef>
              <c:f>'CO2 - Cenário Base'!$L$61:$M$61</c:f>
              <c:strCache>
                <c:ptCount val="2"/>
                <c:pt idx="0">
                  <c:v>Resíduos descartados</c:v>
                </c:pt>
                <c:pt idx="1">
                  <c:v>Líquido</c:v>
                </c:pt>
              </c:strCache>
            </c:strRef>
          </c:cat>
          <c:val>
            <c:numRef>
              <c:f>'CO2 - Cenário Base'!$L$83:$M$83</c:f>
              <c:numCache>
                <c:formatCode>General</c:formatCode>
                <c:ptCount val="2"/>
              </c:numCache>
            </c:numRef>
          </c:val>
          <c:extLst>
            <c:ext xmlns:c16="http://schemas.microsoft.com/office/drawing/2014/chart" uri="{C3380CC4-5D6E-409C-BE32-E72D297353CC}">
              <c16:uniqueId val="{00000015-9245-4D65-9B32-8C7C7B80C809}"/>
            </c:ext>
          </c:extLst>
        </c:ser>
        <c:ser>
          <c:idx val="20"/>
          <c:order val="22"/>
          <c:tx>
            <c:strRef>
              <c:f>'CO2 - Cenário Base'!$K$84</c:f>
              <c:strCache>
                <c:ptCount val="1"/>
                <c:pt idx="0">
                  <c:v>Líquido</c:v>
                </c:pt>
              </c:strCache>
            </c:strRef>
          </c:tx>
          <c:spPr>
            <a:solidFill>
              <a:srgbClr val="0000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Base'!$L$84:$M$84</c:f>
              <c:numCache>
                <c:formatCode>#,##0</c:formatCode>
                <c:ptCount val="2"/>
                <c:pt idx="1">
                  <c:v>167352.43851908133</c:v>
                </c:pt>
              </c:numCache>
            </c:numRef>
          </c:val>
          <c:extLst>
            <c:ext xmlns:c16="http://schemas.microsoft.com/office/drawing/2014/chart" uri="{C3380CC4-5D6E-409C-BE32-E72D297353CC}">
              <c16:uniqueId val="{00000016-9245-4D65-9B32-8C7C7B80C809}"/>
            </c:ext>
          </c:extLst>
        </c:ser>
        <c:dLbls>
          <c:showLegendKey val="0"/>
          <c:showVal val="0"/>
          <c:showCatName val="0"/>
          <c:showSerName val="0"/>
          <c:showPercent val="0"/>
          <c:showBubbleSize val="0"/>
        </c:dLbls>
        <c:gapWidth val="100"/>
        <c:overlap val="100"/>
        <c:axId val="196701568"/>
        <c:axId val="196707456"/>
      </c:barChart>
      <c:catAx>
        <c:axId val="1967015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707456"/>
        <c:crosses val="autoZero"/>
        <c:auto val="1"/>
        <c:lblAlgn val="ctr"/>
        <c:lblOffset val="100"/>
        <c:tickLblSkip val="1"/>
        <c:tickMarkSkip val="1"/>
        <c:noMultiLvlLbl val="0"/>
      </c:catAx>
      <c:valAx>
        <c:axId val="196707456"/>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4909134568555231E-3"/>
              <c:y val="0.3751724758877119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7015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06927822902609"/>
          <c:y val="1.517246627967293E-2"/>
          <c:w val="0.26393698167491142"/>
          <c:h val="0.97168874442190845"/>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6597353497164473"/>
          <c:y val="1.5449480582537591E-2"/>
        </c:manualLayout>
      </c:layout>
      <c:overlay val="0"/>
      <c:spPr>
        <a:noFill/>
        <a:ln w="25400">
          <a:noFill/>
        </a:ln>
      </c:spPr>
    </c:title>
    <c:autoTitleDeleted val="0"/>
    <c:plotArea>
      <c:layout>
        <c:manualLayout>
          <c:layoutTarget val="inner"/>
          <c:xMode val="edge"/>
          <c:yMode val="edge"/>
          <c:x val="0.17485822306238191"/>
          <c:y val="0.11516885525164389"/>
          <c:w val="0.79300567107750475"/>
          <c:h val="0.77247402912687979"/>
        </c:manualLayout>
      </c:layout>
      <c:barChart>
        <c:barDir val="col"/>
        <c:grouping val="clustered"/>
        <c:varyColors val="0"/>
        <c:ser>
          <c:idx val="0"/>
          <c:order val="0"/>
          <c:tx>
            <c:strRef>
              <c:f>'CO2 - Cenário Base'!$G$53</c:f>
              <c:strCache>
                <c:ptCount val="1"/>
                <c:pt idx="0">
                  <c:v>Débitos</c:v>
                </c:pt>
              </c:strCache>
            </c:strRef>
          </c:tx>
          <c:spPr>
            <a:solidFill>
              <a:srgbClr val="FFCC99"/>
            </a:solidFill>
            <a:ln w="12700">
              <a:solidFill>
                <a:srgbClr val="000000"/>
              </a:solidFill>
              <a:prstDash val="solid"/>
            </a:ln>
          </c:spPr>
          <c:invertIfNegative val="0"/>
          <c:cat>
            <c:strRef>
              <c:f>'CO2 - Cenário Base'!$H$52:$J$52</c:f>
              <c:strCache>
                <c:ptCount val="3"/>
                <c:pt idx="0">
                  <c:v>Resíduo reciclado</c:v>
                </c:pt>
                <c:pt idx="1">
                  <c:v>Descarte de resíduos</c:v>
                </c:pt>
                <c:pt idx="2">
                  <c:v>RSU total</c:v>
                </c:pt>
              </c:strCache>
            </c:strRef>
          </c:cat>
          <c:val>
            <c:numRef>
              <c:f>'CO2 - Cenário Base'!$H$53:$J$53</c:f>
              <c:numCache>
                <c:formatCode>#,##0</c:formatCode>
                <c:ptCount val="3"/>
                <c:pt idx="0">
                  <c:v>3375.4324000000001</c:v>
                </c:pt>
                <c:pt idx="1">
                  <c:v>167352.43851908133</c:v>
                </c:pt>
                <c:pt idx="2">
                  <c:v>170727.87091908132</c:v>
                </c:pt>
              </c:numCache>
            </c:numRef>
          </c:val>
          <c:extLst>
            <c:ext xmlns:c16="http://schemas.microsoft.com/office/drawing/2014/chart" uri="{C3380CC4-5D6E-409C-BE32-E72D297353CC}">
              <c16:uniqueId val="{00000000-734D-4246-B47A-F784D631EE7A}"/>
            </c:ext>
          </c:extLst>
        </c:ser>
        <c:ser>
          <c:idx val="1"/>
          <c:order val="1"/>
          <c:tx>
            <c:strRef>
              <c:f>'CO2 - Cenário Base'!$G$54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Base'!$H$52:$J$52</c:f>
              <c:strCache>
                <c:ptCount val="3"/>
                <c:pt idx="0">
                  <c:v>Resíduo reciclado</c:v>
                </c:pt>
                <c:pt idx="1">
                  <c:v>Descarte de resíduos</c:v>
                </c:pt>
                <c:pt idx="2">
                  <c:v>RSU total</c:v>
                </c:pt>
              </c:strCache>
            </c:strRef>
          </c:cat>
          <c:val>
            <c:numRef>
              <c:f>'CO2 - Cenário Base'!$H$54:$J$54</c:f>
              <c:numCache>
                <c:formatCode>#,##0</c:formatCode>
                <c:ptCount val="3"/>
                <c:pt idx="0">
                  <c:v>-9605.6758000000009</c:v>
                </c:pt>
                <c:pt idx="1">
                  <c:v>0</c:v>
                </c:pt>
                <c:pt idx="2">
                  <c:v>-9605.6758000000009</c:v>
                </c:pt>
              </c:numCache>
            </c:numRef>
          </c:val>
          <c:extLst>
            <c:ext xmlns:c16="http://schemas.microsoft.com/office/drawing/2014/chart" uri="{C3380CC4-5D6E-409C-BE32-E72D297353CC}">
              <c16:uniqueId val="{00000001-734D-4246-B47A-F784D631EE7A}"/>
            </c:ext>
          </c:extLst>
        </c:ser>
        <c:ser>
          <c:idx val="2"/>
          <c:order val="2"/>
          <c:tx>
            <c:strRef>
              <c:f>'CO2 - Cenário Base'!$G$55</c:f>
              <c:strCache>
                <c:ptCount val="1"/>
                <c:pt idx="0">
                  <c:v>Líquido</c:v>
                </c:pt>
              </c:strCache>
            </c:strRef>
          </c:tx>
          <c:spPr>
            <a:solidFill>
              <a:srgbClr val="0000FF"/>
            </a:solidFill>
            <a:ln w="12700">
              <a:solidFill>
                <a:srgbClr val="000000"/>
              </a:solidFill>
              <a:prstDash val="solid"/>
            </a:ln>
          </c:spPr>
          <c:invertIfNegative val="0"/>
          <c:cat>
            <c:strRef>
              <c:f>'CO2 - Cenário Base'!$H$52:$J$52</c:f>
              <c:strCache>
                <c:ptCount val="3"/>
                <c:pt idx="0">
                  <c:v>Resíduo reciclado</c:v>
                </c:pt>
                <c:pt idx="1">
                  <c:v>Descarte de resíduos</c:v>
                </c:pt>
                <c:pt idx="2">
                  <c:v>RSU total</c:v>
                </c:pt>
              </c:strCache>
            </c:strRef>
          </c:cat>
          <c:val>
            <c:numRef>
              <c:f>'CO2 - Cenário Base'!$H$55:$J$55</c:f>
              <c:numCache>
                <c:formatCode>#,##0</c:formatCode>
                <c:ptCount val="3"/>
                <c:pt idx="0">
                  <c:v>-6230.2434000000012</c:v>
                </c:pt>
                <c:pt idx="1">
                  <c:v>167352.43851908133</c:v>
                </c:pt>
                <c:pt idx="2">
                  <c:v>161122.19511908133</c:v>
                </c:pt>
              </c:numCache>
            </c:numRef>
          </c:val>
          <c:extLst>
            <c:ext xmlns:c16="http://schemas.microsoft.com/office/drawing/2014/chart" uri="{C3380CC4-5D6E-409C-BE32-E72D297353CC}">
              <c16:uniqueId val="{00000002-734D-4246-B47A-F784D631EE7A}"/>
            </c:ext>
          </c:extLst>
        </c:ser>
        <c:dLbls>
          <c:showLegendKey val="0"/>
          <c:showVal val="0"/>
          <c:showCatName val="0"/>
          <c:showSerName val="0"/>
          <c:showPercent val="0"/>
          <c:showBubbleSize val="0"/>
        </c:dLbls>
        <c:gapWidth val="100"/>
        <c:axId val="196452352"/>
        <c:axId val="196453888"/>
      </c:barChart>
      <c:catAx>
        <c:axId val="19645235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6453888"/>
        <c:crosses val="autoZero"/>
        <c:auto val="1"/>
        <c:lblAlgn val="ctr"/>
        <c:lblOffset val="50"/>
        <c:tickLblSkip val="1"/>
        <c:tickMarkSkip val="1"/>
        <c:noMultiLvlLbl val="0"/>
      </c:catAx>
      <c:valAx>
        <c:axId val="196453888"/>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2694673940568004E-2"/>
              <c:y val="0.3525291220619894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6452352"/>
        <c:crosses val="autoZero"/>
        <c:crossBetween val="between"/>
      </c:valAx>
      <c:spPr>
        <a:noFill/>
        <a:ln w="3175">
          <a:solidFill>
            <a:srgbClr val="000000"/>
          </a:solidFill>
          <a:prstDash val="solid"/>
        </a:ln>
      </c:spPr>
    </c:plotArea>
    <c:legend>
      <c:legendPos val="r"/>
      <c:layout>
        <c:manualLayout>
          <c:xMode val="edge"/>
          <c:yMode val="edge"/>
          <c:x val="0.1994328922495274"/>
          <c:y val="0.12500034289507692"/>
          <c:w val="0.16351606805293012"/>
          <c:h val="0.18539376699045113"/>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60248119443095"/>
          <c:y val="1.3496932515337422E-2"/>
        </c:manualLayout>
      </c:layout>
      <c:overlay val="0"/>
      <c:spPr>
        <a:noFill/>
        <a:ln w="25400">
          <a:noFill/>
        </a:ln>
      </c:spPr>
    </c:title>
    <c:autoTitleDeleted val="0"/>
    <c:plotArea>
      <c:layout>
        <c:manualLayout>
          <c:layoutTarget val="inner"/>
          <c:xMode val="edge"/>
          <c:yMode val="edge"/>
          <c:x val="0.18803436241909513"/>
          <c:y val="0.1116564417177914"/>
          <c:w val="0.78632551557076091"/>
          <c:h val="0.5766871165644176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1A'!$B$7:$B$15,'CO2 - Cenário RT 1A'!$B$18:$B$27)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1A'!$C$7:$C$15,'CO2 - Cenário RT 1A'!$C$18:$C$27)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0</c:v>
                </c:pt>
                <c:pt idx="13">
                  <c:v>45945.389699999992</c:v>
                </c:pt>
                <c:pt idx="14">
                  <c:v>0</c:v>
                </c:pt>
                <c:pt idx="15">
                  <c:v>16409.067749999998</c:v>
                </c:pt>
                <c:pt idx="16">
                  <c:v>68918.08455</c:v>
                </c:pt>
                <c:pt idx="17">
                  <c:v>0</c:v>
                </c:pt>
                <c:pt idx="18">
                  <c:v>0</c:v>
                </c:pt>
              </c:numCache>
            </c:numRef>
          </c:val>
          <c:extLst>
            <c:ext xmlns:c16="http://schemas.microsoft.com/office/drawing/2014/chart" uri="{C3380CC4-5D6E-409C-BE32-E72D297353CC}">
              <c16:uniqueId val="{00000000-C43D-4C66-A01D-61D38D6E9CE9}"/>
            </c:ext>
          </c:extLst>
        </c:ser>
        <c:dLbls>
          <c:showLegendKey val="0"/>
          <c:showVal val="0"/>
          <c:showCatName val="0"/>
          <c:showSerName val="0"/>
          <c:showPercent val="0"/>
          <c:showBubbleSize val="0"/>
        </c:dLbls>
        <c:gapWidth val="100"/>
        <c:axId val="196595712"/>
        <c:axId val="196597248"/>
      </c:barChart>
      <c:catAx>
        <c:axId val="19659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50" b="0" i="0" u="none" strike="noStrike" baseline="0">
                <a:solidFill>
                  <a:srgbClr val="000000"/>
                </a:solidFill>
                <a:latin typeface="Arial"/>
                <a:ea typeface="Arial"/>
                <a:cs typeface="Arial"/>
              </a:defRPr>
            </a:pPr>
            <a:endParaRPr lang="pt-BR"/>
          </a:p>
        </c:txPr>
        <c:crossAx val="196597248"/>
        <c:crosses val="autoZero"/>
        <c:auto val="1"/>
        <c:lblAlgn val="ctr"/>
        <c:lblOffset val="100"/>
        <c:tickLblSkip val="1"/>
        <c:tickMarkSkip val="1"/>
        <c:noMultiLvlLbl val="0"/>
      </c:catAx>
      <c:valAx>
        <c:axId val="19659724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46353467727501E-2"/>
              <c:y val="0.366871165644171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659571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GEE </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1A'!$B$62</c:f>
              <c:strCache>
                <c:ptCount val="1"/>
                <c:pt idx="0">
                  <c:v>Resíduos de alimentos</c:v>
                </c:pt>
              </c:strCache>
            </c:strRef>
          </c:tx>
          <c:spPr>
            <a:solidFill>
              <a:srgbClr val="99CC0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1A'!$C$62:$D$62</c:f>
              <c:numCache>
                <c:formatCode>General</c:formatCode>
                <c:ptCount val="2"/>
                <c:pt idx="0" formatCode="#,##0">
                  <c:v>0</c:v>
                </c:pt>
              </c:numCache>
            </c:numRef>
          </c:val>
          <c:extLst>
            <c:ext xmlns:c16="http://schemas.microsoft.com/office/drawing/2014/chart" uri="{C3380CC4-5D6E-409C-BE32-E72D297353CC}">
              <c16:uniqueId val="{00000000-CEAE-4705-9E5C-456300DAB5DA}"/>
            </c:ext>
          </c:extLst>
        </c:ser>
        <c:ser>
          <c:idx val="1"/>
          <c:order val="1"/>
          <c:tx>
            <c:strRef>
              <c:f>'CO2 - Cenário RT 1A'!$B$63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1A'!$C$63:$D$63</c:f>
              <c:numCache>
                <c:formatCode>General</c:formatCode>
                <c:ptCount val="2"/>
                <c:pt idx="0" formatCode="#,##0">
                  <c:v>0</c:v>
                </c:pt>
              </c:numCache>
            </c:numRef>
          </c:val>
          <c:extLst>
            <c:ext xmlns:c16="http://schemas.microsoft.com/office/drawing/2014/chart" uri="{C3380CC4-5D6E-409C-BE32-E72D297353CC}">
              <c16:uniqueId val="{00000001-CEAE-4705-9E5C-456300DAB5DA}"/>
            </c:ext>
          </c:extLst>
        </c:ser>
        <c:ser>
          <c:idx val="2"/>
          <c:order val="2"/>
          <c:tx>
            <c:strRef>
              <c:f>'CO2 - Cenário RT 1A'!$B$64</c:f>
              <c:strCache>
                <c:ptCount val="1"/>
                <c:pt idx="0">
                  <c:v>Papel, papelão</c:v>
                </c:pt>
              </c:strCache>
            </c:strRef>
          </c:tx>
          <c:spPr>
            <a:solidFill>
              <a:srgbClr val="CC99FF"/>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1A'!$C$64:$D$64</c:f>
              <c:numCache>
                <c:formatCode>General</c:formatCode>
                <c:ptCount val="2"/>
                <c:pt idx="0" formatCode="#,##0">
                  <c:v>7999.4112480000003</c:v>
                </c:pt>
              </c:numCache>
            </c:numRef>
          </c:val>
          <c:extLst>
            <c:ext xmlns:c16="http://schemas.microsoft.com/office/drawing/2014/chart" uri="{C3380CC4-5D6E-409C-BE32-E72D297353CC}">
              <c16:uniqueId val="{00000002-CEAE-4705-9E5C-456300DAB5DA}"/>
            </c:ext>
          </c:extLst>
        </c:ser>
        <c:ser>
          <c:idx val="3"/>
          <c:order val="3"/>
          <c:tx>
            <c:strRef>
              <c:f>'CO2 - Cenário RT 1A'!$B$65</c:f>
              <c:strCache>
                <c:ptCount val="1"/>
                <c:pt idx="0">
                  <c:v>Plásticos</c:v>
                </c:pt>
              </c:strCache>
            </c:strRef>
          </c:tx>
          <c:spPr>
            <a:solidFill>
              <a:srgbClr val="FFFF0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1A'!$C$65:$D$65</c:f>
              <c:numCache>
                <c:formatCode>General</c:formatCode>
                <c:ptCount val="2"/>
                <c:pt idx="0" formatCode="#,##0">
                  <c:v>1777.8420000000001</c:v>
                </c:pt>
              </c:numCache>
            </c:numRef>
          </c:val>
          <c:extLst>
            <c:ext xmlns:c16="http://schemas.microsoft.com/office/drawing/2014/chart" uri="{C3380CC4-5D6E-409C-BE32-E72D297353CC}">
              <c16:uniqueId val="{00000003-CEAE-4705-9E5C-456300DAB5DA}"/>
            </c:ext>
          </c:extLst>
        </c:ser>
        <c:ser>
          <c:idx val="4"/>
          <c:order val="4"/>
          <c:tx>
            <c:strRef>
              <c:f>'CO2 - Cenário RT 1A'!$B$66</c:f>
              <c:strCache>
                <c:ptCount val="1"/>
                <c:pt idx="0">
                  <c:v>Vidros</c:v>
                </c:pt>
              </c:strCache>
            </c:strRef>
          </c:tx>
          <c:spPr>
            <a:solidFill>
              <a:srgbClr val="FF99CC"/>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1A'!$C$66:$D$66</c:f>
              <c:numCache>
                <c:formatCode>General</c:formatCode>
                <c:ptCount val="2"/>
                <c:pt idx="0" formatCode="#,##0">
                  <c:v>0</c:v>
                </c:pt>
              </c:numCache>
            </c:numRef>
          </c:val>
          <c:extLst>
            <c:ext xmlns:c16="http://schemas.microsoft.com/office/drawing/2014/chart" uri="{C3380CC4-5D6E-409C-BE32-E72D297353CC}">
              <c16:uniqueId val="{00000004-CEAE-4705-9E5C-456300DAB5DA}"/>
            </c:ext>
          </c:extLst>
        </c:ser>
        <c:ser>
          <c:idx val="5"/>
          <c:order val="5"/>
          <c:tx>
            <c:strRef>
              <c:f>'CO2 - Cenário RT 1A'!$B$67</c:f>
              <c:strCache>
                <c:ptCount val="1"/>
                <c:pt idx="0">
                  <c:v>Metais ferrosos</c:v>
                </c:pt>
              </c:strCache>
            </c:strRef>
          </c:tx>
          <c:spPr>
            <a:solidFill>
              <a:srgbClr val="C0C0C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1A'!$C$67:$D$67</c:f>
              <c:numCache>
                <c:formatCode>General</c:formatCode>
                <c:ptCount val="2"/>
                <c:pt idx="0" formatCode="#,##0">
                  <c:v>204.16639999999998</c:v>
                </c:pt>
              </c:numCache>
            </c:numRef>
          </c:val>
          <c:extLst>
            <c:ext xmlns:c16="http://schemas.microsoft.com/office/drawing/2014/chart" uri="{C3380CC4-5D6E-409C-BE32-E72D297353CC}">
              <c16:uniqueId val="{00000005-CEAE-4705-9E5C-456300DAB5DA}"/>
            </c:ext>
          </c:extLst>
        </c:ser>
        <c:ser>
          <c:idx val="6"/>
          <c:order val="6"/>
          <c:tx>
            <c:strRef>
              <c:f>'CO2 - Cenário RT 1A'!$B$68</c:f>
              <c:strCache>
                <c:ptCount val="1"/>
                <c:pt idx="0">
                  <c:v>Alumínio</c:v>
                </c:pt>
              </c:strCache>
            </c:strRef>
          </c:tx>
          <c:spPr>
            <a:solidFill>
              <a:srgbClr val="993366"/>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1A'!$C$68:$D$68</c:f>
              <c:numCache>
                <c:formatCode>General</c:formatCode>
                <c:ptCount val="2"/>
                <c:pt idx="0" formatCode="#,##0">
                  <c:v>580.04339999999991</c:v>
                </c:pt>
              </c:numCache>
            </c:numRef>
          </c:val>
          <c:extLst>
            <c:ext xmlns:c16="http://schemas.microsoft.com/office/drawing/2014/chart" uri="{C3380CC4-5D6E-409C-BE32-E72D297353CC}">
              <c16:uniqueId val="{00000006-CEAE-4705-9E5C-456300DAB5DA}"/>
            </c:ext>
          </c:extLst>
        </c:ser>
        <c:ser>
          <c:idx val="7"/>
          <c:order val="7"/>
          <c:tx>
            <c:strRef>
              <c:f>'CO2 - Cenário RT 1A'!$B$69</c:f>
              <c:strCache>
                <c:ptCount val="1"/>
                <c:pt idx="0">
                  <c:v>Têxteis</c:v>
                </c:pt>
              </c:strCache>
            </c:strRef>
          </c:tx>
          <c:spPr>
            <a:solidFill>
              <a:srgbClr val="9999FF"/>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1A'!$C$69:$D$69</c:f>
              <c:numCache>
                <c:formatCode>General</c:formatCode>
                <c:ptCount val="2"/>
                <c:pt idx="0" formatCode="#,##0">
                  <c:v>0</c:v>
                </c:pt>
              </c:numCache>
            </c:numRef>
          </c:val>
          <c:extLst>
            <c:ext xmlns:c16="http://schemas.microsoft.com/office/drawing/2014/chart" uri="{C3380CC4-5D6E-409C-BE32-E72D297353CC}">
              <c16:uniqueId val="{00000007-CEAE-4705-9E5C-456300DAB5DA}"/>
            </c:ext>
          </c:extLst>
        </c:ser>
        <c:ser>
          <c:idx val="8"/>
          <c:order val="8"/>
          <c:tx>
            <c:strRef>
              <c:f>'CO2 - Cenário RT 1A'!$B$70</c:f>
              <c:strCache>
                <c:ptCount val="1"/>
                <c:pt idx="0">
                  <c:v>Débitos</c:v>
                </c:pt>
              </c:strCache>
            </c:strRef>
          </c:tx>
          <c:spPr>
            <a:noFill/>
            <a:ln w="25400">
              <a:noFill/>
            </a:ln>
          </c:spPr>
          <c:invertIfNegative val="0"/>
          <c:cat>
            <c:strRef>
              <c:f>'CO2 - Cenário RT 1A'!$C$61:$D$61</c:f>
              <c:strCache>
                <c:ptCount val="2"/>
                <c:pt idx="0">
                  <c:v>Resíduos reciclados</c:v>
                </c:pt>
                <c:pt idx="1">
                  <c:v>Líquido</c:v>
                </c:pt>
              </c:strCache>
            </c:strRef>
          </c:cat>
          <c:val>
            <c:numRef>
              <c:f>'CO2 - Cenário RT 1A'!$C$70:$D$70</c:f>
              <c:numCache>
                <c:formatCode>#,##0</c:formatCode>
                <c:ptCount val="2"/>
              </c:numCache>
            </c:numRef>
          </c:val>
          <c:extLst>
            <c:ext xmlns:c16="http://schemas.microsoft.com/office/drawing/2014/chart" uri="{C3380CC4-5D6E-409C-BE32-E72D297353CC}">
              <c16:uniqueId val="{00000008-CEAE-4705-9E5C-456300DAB5DA}"/>
            </c:ext>
          </c:extLst>
        </c:ser>
        <c:ser>
          <c:idx val="9"/>
          <c:order val="9"/>
          <c:tx>
            <c:strRef>
              <c:f>'CO2 - Cenário RT 1A'!$B$71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1A'!$C$71:$D$71</c:f>
              <c:numCache>
                <c:formatCode>General</c:formatCode>
                <c:ptCount val="2"/>
                <c:pt idx="0" formatCode="#,##0">
                  <c:v>0</c:v>
                </c:pt>
              </c:numCache>
            </c:numRef>
          </c:val>
          <c:extLst>
            <c:ext xmlns:c16="http://schemas.microsoft.com/office/drawing/2014/chart" uri="{C3380CC4-5D6E-409C-BE32-E72D297353CC}">
              <c16:uniqueId val="{00000009-CEAE-4705-9E5C-456300DAB5DA}"/>
            </c:ext>
          </c:extLst>
        </c:ser>
        <c:ser>
          <c:idx val="10"/>
          <c:order val="10"/>
          <c:tx>
            <c:strRef>
              <c:f>'CO2 - Cenário RT 1A'!$B$72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1A'!$C$72:$D$72</c:f>
              <c:numCache>
                <c:formatCode>General</c:formatCode>
                <c:ptCount val="2"/>
                <c:pt idx="0" formatCode="#,##0">
                  <c:v>0</c:v>
                </c:pt>
              </c:numCache>
            </c:numRef>
          </c:val>
          <c:extLst>
            <c:ext xmlns:c16="http://schemas.microsoft.com/office/drawing/2014/chart" uri="{C3380CC4-5D6E-409C-BE32-E72D297353CC}">
              <c16:uniqueId val="{0000000A-CEAE-4705-9E5C-456300DAB5DA}"/>
            </c:ext>
          </c:extLst>
        </c:ser>
        <c:ser>
          <c:idx val="11"/>
          <c:order val="11"/>
          <c:tx>
            <c:strRef>
              <c:f>'CO2 - Cenário RT 1A'!$B$73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1A'!$C$73:$D$73</c:f>
              <c:numCache>
                <c:formatCode>General</c:formatCode>
                <c:ptCount val="2"/>
                <c:pt idx="0" formatCode="#,##0">
                  <c:v>-9859.1469840000009</c:v>
                </c:pt>
              </c:numCache>
            </c:numRef>
          </c:val>
          <c:extLst>
            <c:ext xmlns:c16="http://schemas.microsoft.com/office/drawing/2014/chart" uri="{C3380CC4-5D6E-409C-BE32-E72D297353CC}">
              <c16:uniqueId val="{0000000B-CEAE-4705-9E5C-456300DAB5DA}"/>
            </c:ext>
          </c:extLst>
        </c:ser>
        <c:ser>
          <c:idx val="12"/>
          <c:order val="12"/>
          <c:tx>
            <c:strRef>
              <c:f>'CO2 - Cenário RT 1A'!$B$74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1A'!$C$74:$D$74</c:f>
              <c:numCache>
                <c:formatCode>General</c:formatCode>
                <c:ptCount val="2"/>
                <c:pt idx="0" formatCode="#,##0">
                  <c:v>-8281.2747600000002</c:v>
                </c:pt>
              </c:numCache>
            </c:numRef>
          </c:val>
          <c:extLst>
            <c:ext xmlns:c16="http://schemas.microsoft.com/office/drawing/2014/chart" uri="{C3380CC4-5D6E-409C-BE32-E72D297353CC}">
              <c16:uniqueId val="{0000000C-CEAE-4705-9E5C-456300DAB5DA}"/>
            </c:ext>
          </c:extLst>
        </c:ser>
        <c:ser>
          <c:idx val="13"/>
          <c:order val="13"/>
          <c:tx>
            <c:strRef>
              <c:f>'CO2 - Cenário RT 1A'!$B$75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1A'!$C$75:$D$75</c:f>
              <c:numCache>
                <c:formatCode>General</c:formatCode>
                <c:ptCount val="2"/>
                <c:pt idx="0" formatCode="#,##0">
                  <c:v>0</c:v>
                </c:pt>
              </c:numCache>
            </c:numRef>
          </c:val>
          <c:extLst>
            <c:ext xmlns:c16="http://schemas.microsoft.com/office/drawing/2014/chart" uri="{C3380CC4-5D6E-409C-BE32-E72D297353CC}">
              <c16:uniqueId val="{0000000D-CEAE-4705-9E5C-456300DAB5DA}"/>
            </c:ext>
          </c:extLst>
        </c:ser>
        <c:ser>
          <c:idx val="14"/>
          <c:order val="14"/>
          <c:tx>
            <c:strRef>
              <c:f>'CO2 - Cenário RT 1A'!$B$76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1A'!$C$76:$D$76</c:f>
              <c:numCache>
                <c:formatCode>General</c:formatCode>
                <c:ptCount val="2"/>
                <c:pt idx="0" formatCode="#,##0">
                  <c:v>-5461.4512000000004</c:v>
                </c:pt>
              </c:numCache>
            </c:numRef>
          </c:val>
          <c:extLst>
            <c:ext xmlns:c16="http://schemas.microsoft.com/office/drawing/2014/chart" uri="{C3380CC4-5D6E-409C-BE32-E72D297353CC}">
              <c16:uniqueId val="{0000000E-CEAE-4705-9E5C-456300DAB5DA}"/>
            </c:ext>
          </c:extLst>
        </c:ser>
        <c:ser>
          <c:idx val="15"/>
          <c:order val="15"/>
          <c:tx>
            <c:strRef>
              <c:f>'CO2 - Cenário RT 1A'!$B$77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1A'!$C$77:$D$77</c:f>
              <c:numCache>
                <c:formatCode>General</c:formatCode>
                <c:ptCount val="2"/>
                <c:pt idx="0" formatCode="#,##0">
                  <c:v>-8222.1359999999986</c:v>
                </c:pt>
              </c:numCache>
            </c:numRef>
          </c:val>
          <c:extLst>
            <c:ext xmlns:c16="http://schemas.microsoft.com/office/drawing/2014/chart" uri="{C3380CC4-5D6E-409C-BE32-E72D297353CC}">
              <c16:uniqueId val="{0000000F-CEAE-4705-9E5C-456300DAB5DA}"/>
            </c:ext>
          </c:extLst>
        </c:ser>
        <c:ser>
          <c:idx val="16"/>
          <c:order val="16"/>
          <c:tx>
            <c:strRef>
              <c:f>'CO2 - Cenário RT 1A'!$B$78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1A'!$C$78:$D$78</c:f>
              <c:numCache>
                <c:formatCode>General</c:formatCode>
                <c:ptCount val="2"/>
                <c:pt idx="0" formatCode="#,##0">
                  <c:v>0</c:v>
                </c:pt>
              </c:numCache>
            </c:numRef>
          </c:val>
          <c:extLst>
            <c:ext xmlns:c16="http://schemas.microsoft.com/office/drawing/2014/chart" uri="{C3380CC4-5D6E-409C-BE32-E72D297353CC}">
              <c16:uniqueId val="{00000010-CEAE-4705-9E5C-456300DAB5DA}"/>
            </c:ext>
          </c:extLst>
        </c:ser>
        <c:ser>
          <c:idx val="17"/>
          <c:order val="17"/>
          <c:tx>
            <c:strRef>
              <c:f>'CO2 - Cenário RT 1A'!$B$79</c:f>
              <c:strCache>
                <c:ptCount val="1"/>
                <c:pt idx="0">
                  <c:v>Créditos</c:v>
                </c:pt>
              </c:strCache>
            </c:strRef>
          </c:tx>
          <c:spPr>
            <a:noFill/>
            <a:ln w="25400">
              <a:noFill/>
            </a:ln>
          </c:spPr>
          <c:invertIfNegative val="0"/>
          <c:cat>
            <c:strRef>
              <c:f>'CO2 - Cenário RT 1A'!$C$61:$D$61</c:f>
              <c:strCache>
                <c:ptCount val="2"/>
                <c:pt idx="0">
                  <c:v>Resíduos reciclados</c:v>
                </c:pt>
                <c:pt idx="1">
                  <c:v>Líquido</c:v>
                </c:pt>
              </c:strCache>
            </c:strRef>
          </c:cat>
          <c:val>
            <c:numRef>
              <c:f>'CO2 - Cenário RT 1A'!$C$79:$D$79</c:f>
              <c:numCache>
                <c:formatCode>#,##0</c:formatCode>
                <c:ptCount val="2"/>
              </c:numCache>
            </c:numRef>
          </c:val>
          <c:extLst>
            <c:ext xmlns:c16="http://schemas.microsoft.com/office/drawing/2014/chart" uri="{C3380CC4-5D6E-409C-BE32-E72D297353CC}">
              <c16:uniqueId val="{00000011-CEAE-4705-9E5C-456300DAB5DA}"/>
            </c:ext>
          </c:extLst>
        </c:ser>
        <c:ser>
          <c:idx val="18"/>
          <c:order val="18"/>
          <c:tx>
            <c:strRef>
              <c:f>'CO2 - Cenário RT 1A'!$B$80</c:f>
              <c:strCache>
                <c:ptCount val="1"/>
                <c:pt idx="0">
                  <c:v>Líquido</c:v>
                </c:pt>
              </c:strCache>
            </c:strRef>
          </c:tx>
          <c:spPr>
            <a:solidFill>
              <a:srgbClr val="0000FF"/>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1A'!$C$80:$D$80</c:f>
              <c:numCache>
                <c:formatCode>#,##0</c:formatCode>
                <c:ptCount val="2"/>
                <c:pt idx="1">
                  <c:v>-21262.545896</c:v>
                </c:pt>
              </c:numCache>
            </c:numRef>
          </c:val>
          <c:extLst>
            <c:ext xmlns:c16="http://schemas.microsoft.com/office/drawing/2014/chart" uri="{C3380CC4-5D6E-409C-BE32-E72D297353CC}">
              <c16:uniqueId val="{00000012-CEAE-4705-9E5C-456300DAB5DA}"/>
            </c:ext>
          </c:extLst>
        </c:ser>
        <c:dLbls>
          <c:showLegendKey val="0"/>
          <c:showVal val="0"/>
          <c:showCatName val="0"/>
          <c:showSerName val="0"/>
          <c:showPercent val="0"/>
          <c:showBubbleSize val="0"/>
        </c:dLbls>
        <c:gapWidth val="100"/>
        <c:overlap val="100"/>
        <c:axId val="195374464"/>
        <c:axId val="195392640"/>
      </c:barChart>
      <c:catAx>
        <c:axId val="195374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5392640"/>
        <c:crosses val="autoZero"/>
        <c:auto val="1"/>
        <c:lblAlgn val="ctr"/>
        <c:lblOffset val="100"/>
        <c:tickLblSkip val="1"/>
        <c:tickMarkSkip val="1"/>
        <c:noMultiLvlLbl val="0"/>
      </c:catAx>
      <c:valAx>
        <c:axId val="19539264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0131744232360058E-2"/>
              <c:y val="0.363373164990606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53744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73683323631238706"/>
          <c:y val="1.5988349370523305E-2"/>
          <c:w val="0.24322996710015687"/>
          <c:h val="0.98286614435831265"/>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a:t>
            </a:r>
            <a:r>
              <a:rPr lang="de-DE" sz="975" b="1" i="0" u="none" strike="noStrike" kern="1200" baseline="0">
                <a:solidFill>
                  <a:srgbClr val="000000"/>
                </a:solidFill>
                <a:latin typeface="Arial"/>
                <a:ea typeface="Arial"/>
                <a:cs typeface="Arial"/>
              </a:rPr>
              <a:t>de GEE — Destinação</a:t>
            </a:r>
          </a:p>
        </c:rich>
      </c:tx>
      <c:layout>
        <c:manualLayout>
          <c:xMode val="edge"/>
          <c:yMode val="edge"/>
          <c:x val="0.29399615642403876"/>
          <c:y val="1.5172413793103448E-2"/>
        </c:manualLayout>
      </c:layout>
      <c:overlay val="0"/>
      <c:spPr>
        <a:noFill/>
        <a:ln w="25400">
          <a:noFill/>
        </a:ln>
      </c:spPr>
    </c:title>
    <c:autoTitleDeleted val="0"/>
    <c:plotArea>
      <c:layout>
        <c:manualLayout>
          <c:layoutTarget val="inner"/>
          <c:xMode val="edge"/>
          <c:yMode val="edge"/>
          <c:x val="0.18944118530140547"/>
          <c:y val="0.12689655172413788"/>
          <c:w val="0.52588044881482998"/>
          <c:h val="0.76137931034482786"/>
        </c:manualLayout>
      </c:layout>
      <c:barChart>
        <c:barDir val="col"/>
        <c:grouping val="stacked"/>
        <c:varyColors val="0"/>
        <c:ser>
          <c:idx val="0"/>
          <c:order val="0"/>
          <c:tx>
            <c:strRef>
              <c:f>'CO2 - Cenário RT 1A'!$K$62</c:f>
              <c:strCache>
                <c:ptCount val="1"/>
                <c:pt idx="0">
                  <c:v>Resíduos dispersos</c:v>
                </c:pt>
              </c:strCache>
            </c:strRef>
          </c:tx>
          <c:spPr>
            <a:solidFill>
              <a:srgbClr val="FFFF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1A'!$L$62:$M$62</c:f>
              <c:numCache>
                <c:formatCode>General</c:formatCode>
                <c:ptCount val="2"/>
                <c:pt idx="0" formatCode="#,##0">
                  <c:v>0</c:v>
                </c:pt>
              </c:numCache>
            </c:numRef>
          </c:val>
          <c:extLst>
            <c:ext xmlns:c16="http://schemas.microsoft.com/office/drawing/2014/chart" uri="{C3380CC4-5D6E-409C-BE32-E72D297353CC}">
              <c16:uniqueId val="{00000000-F258-4583-A477-21DED7633C45}"/>
            </c:ext>
          </c:extLst>
        </c:ser>
        <c:ser>
          <c:idx val="1"/>
          <c:order val="1"/>
          <c:tx>
            <c:strRef>
              <c:f>'CO2 - Cenário RT 1A'!$K$63</c:f>
              <c:strCache>
                <c:ptCount val="1"/>
                <c:pt idx="0">
                  <c:v>Queima a céu aberto</c:v>
                </c:pt>
              </c:strCache>
            </c:strRef>
          </c:tx>
          <c:spPr>
            <a:solidFill>
              <a:srgbClr val="FF808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1A'!$L$63:$M$63</c:f>
              <c:numCache>
                <c:formatCode>General</c:formatCode>
                <c:ptCount val="2"/>
                <c:pt idx="0" formatCode="#,##0">
                  <c:v>0</c:v>
                </c:pt>
              </c:numCache>
            </c:numRef>
          </c:val>
          <c:extLst>
            <c:ext xmlns:c16="http://schemas.microsoft.com/office/drawing/2014/chart" uri="{C3380CC4-5D6E-409C-BE32-E72D297353CC}">
              <c16:uniqueId val="{00000001-F258-4583-A477-21DED7633C45}"/>
            </c:ext>
          </c:extLst>
        </c:ser>
        <c:ser>
          <c:idx val="2"/>
          <c:order val="2"/>
          <c:tx>
            <c:strRef>
              <c:f>'CO2 - Cenário RT 1A'!$K$64</c:f>
              <c:strCache>
                <c:ptCount val="1"/>
                <c:pt idx="0">
                  <c:v>Lixão não controlado</c:v>
                </c:pt>
              </c:strCache>
            </c:strRef>
          </c:tx>
          <c:spPr>
            <a:solidFill>
              <a:srgbClr val="9933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1A'!$L$64:$M$64</c:f>
              <c:numCache>
                <c:formatCode>General</c:formatCode>
                <c:ptCount val="2"/>
                <c:pt idx="0" formatCode="#,##0">
                  <c:v>0</c:v>
                </c:pt>
              </c:numCache>
            </c:numRef>
          </c:val>
          <c:extLst>
            <c:ext xmlns:c16="http://schemas.microsoft.com/office/drawing/2014/chart" uri="{C3380CC4-5D6E-409C-BE32-E72D297353CC}">
              <c16:uniqueId val="{00000002-F258-4583-A477-21DED7633C45}"/>
            </c:ext>
          </c:extLst>
        </c:ser>
        <c:ser>
          <c:idx val="3"/>
          <c:order val="3"/>
          <c:tx>
            <c:strRef>
              <c:f>'CO2 - Cenário RT 1A'!$K$65</c:f>
              <c:strCache>
                <c:ptCount val="1"/>
                <c:pt idx="0">
                  <c:v>Aterro controlado</c:v>
                </c:pt>
              </c:strCache>
            </c:strRef>
          </c:tx>
          <c:spPr>
            <a:solidFill>
              <a:srgbClr val="99CC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1A'!$L$65:$M$65</c:f>
              <c:numCache>
                <c:formatCode>General</c:formatCode>
                <c:ptCount val="2"/>
                <c:pt idx="0" formatCode="#,##0">
                  <c:v>0</c:v>
                </c:pt>
              </c:numCache>
            </c:numRef>
          </c:val>
          <c:extLst>
            <c:ext xmlns:c16="http://schemas.microsoft.com/office/drawing/2014/chart" uri="{C3380CC4-5D6E-409C-BE32-E72D297353CC}">
              <c16:uniqueId val="{00000003-F258-4583-A477-21DED7633C45}"/>
            </c:ext>
          </c:extLst>
        </c:ser>
        <c:ser>
          <c:idx val="4"/>
          <c:order val="4"/>
          <c:tx>
            <c:strRef>
              <c:f>'CO2 - Cenário RT 1A'!$K$66</c:f>
              <c:strCache>
                <c:ptCount val="1"/>
                <c:pt idx="0">
                  <c:v>Aterro sanitário</c:v>
                </c:pt>
              </c:strCache>
            </c:strRef>
          </c:tx>
          <c:spPr>
            <a:solidFill>
              <a:srgbClr val="FFFF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1A'!$L$66:$M$66</c:f>
              <c:numCache>
                <c:formatCode>General</c:formatCode>
                <c:ptCount val="2"/>
                <c:pt idx="0" formatCode="#,##0">
                  <c:v>53980.946707938478</c:v>
                </c:pt>
              </c:numCache>
            </c:numRef>
          </c:val>
          <c:extLst>
            <c:ext xmlns:c16="http://schemas.microsoft.com/office/drawing/2014/chart" uri="{C3380CC4-5D6E-409C-BE32-E72D297353CC}">
              <c16:uniqueId val="{00000004-F258-4583-A477-21DED7633C45}"/>
            </c:ext>
          </c:extLst>
        </c:ser>
        <c:ser>
          <c:idx val="5"/>
          <c:order val="5"/>
          <c:tx>
            <c:strRef>
              <c:f>'CO2 - Cenário RT 1A'!$K$67</c:f>
              <c:strCache>
                <c:ptCount val="1"/>
                <c:pt idx="0">
                  <c:v>Trat. biol + cobertura at.</c:v>
                </c:pt>
              </c:strCache>
            </c:strRef>
          </c:tx>
          <c:spPr>
            <a:solidFill>
              <a:srgbClr val="FF00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1A'!$L$67:$M$67</c:f>
              <c:numCache>
                <c:formatCode>General</c:formatCode>
                <c:ptCount val="2"/>
                <c:pt idx="0" formatCode="#,##0">
                  <c:v>0</c:v>
                </c:pt>
              </c:numCache>
            </c:numRef>
          </c:val>
          <c:extLst>
            <c:ext xmlns:c16="http://schemas.microsoft.com/office/drawing/2014/chart" uri="{C3380CC4-5D6E-409C-BE32-E72D297353CC}">
              <c16:uniqueId val="{00000005-F258-4583-A477-21DED7633C45}"/>
            </c:ext>
          </c:extLst>
        </c:ser>
        <c:ser>
          <c:idx val="6"/>
          <c:order val="6"/>
          <c:tx>
            <c:strRef>
              <c:f>'CO2 - Cenário RT 1A'!$K$68</c:f>
              <c:strCache>
                <c:ptCount val="1"/>
                <c:pt idx="0">
                  <c:v>CDR seco + rejeito aterro</c:v>
                </c:pt>
              </c:strCache>
            </c:strRef>
          </c:tx>
          <c:spPr>
            <a:solidFill>
              <a:srgbClr val="00808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1A'!$L$68:$M$68</c:f>
              <c:numCache>
                <c:formatCode>General</c:formatCode>
                <c:ptCount val="2"/>
                <c:pt idx="0" formatCode="#,##0">
                  <c:v>9878.871077030024</c:v>
                </c:pt>
              </c:numCache>
            </c:numRef>
          </c:val>
          <c:extLst>
            <c:ext xmlns:c16="http://schemas.microsoft.com/office/drawing/2014/chart" uri="{C3380CC4-5D6E-409C-BE32-E72D297353CC}">
              <c16:uniqueId val="{00000006-F258-4583-A477-21DED7633C45}"/>
            </c:ext>
          </c:extLst>
        </c:ser>
        <c:ser>
          <c:idx val="7"/>
          <c:order val="7"/>
          <c:tx>
            <c:strRef>
              <c:f>'CO2 - Cenário RT 1A'!$K$69</c:f>
              <c:strCache>
                <c:ptCount val="1"/>
                <c:pt idx="0">
                  <c:v>CDR seco + trat. biol.</c:v>
                </c:pt>
              </c:strCache>
            </c:strRef>
          </c:tx>
          <c:spPr>
            <a:solidFill>
              <a:srgbClr val="FF99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1A'!$L$69:$M$69</c:f>
              <c:numCache>
                <c:formatCode>General</c:formatCode>
                <c:ptCount val="2"/>
                <c:pt idx="0" formatCode="#,##0">
                  <c:v>7289.5189941719445</c:v>
                </c:pt>
              </c:numCache>
            </c:numRef>
          </c:val>
          <c:extLst>
            <c:ext xmlns:c16="http://schemas.microsoft.com/office/drawing/2014/chart" uri="{C3380CC4-5D6E-409C-BE32-E72D297353CC}">
              <c16:uniqueId val="{00000007-F258-4583-A477-21DED7633C45}"/>
            </c:ext>
          </c:extLst>
        </c:ser>
        <c:ser>
          <c:idx val="21"/>
          <c:order val="8"/>
          <c:tx>
            <c:strRef>
              <c:f>'CO2 - Cenário RT 1A'!$K$70</c:f>
              <c:strCache>
                <c:ptCount val="1"/>
                <c:pt idx="0">
                  <c:v>CDR seco + CDR org.</c:v>
                </c:pt>
              </c:strCache>
            </c:strRef>
          </c:tx>
          <c:spPr>
            <a:solidFill>
              <a:srgbClr val="00B0F0"/>
            </a:solidFill>
            <a:ln w="12700">
              <a:solidFill>
                <a:srgbClr val="000000"/>
              </a:solidFill>
            </a:ln>
          </c:spPr>
          <c:invertIfNegative val="0"/>
          <c:cat>
            <c:strRef>
              <c:f>'CO2 - Cenário RT 1A'!$L$61:$M$61</c:f>
              <c:strCache>
                <c:ptCount val="2"/>
                <c:pt idx="0">
                  <c:v>Destinação de resíduos</c:v>
                </c:pt>
                <c:pt idx="1">
                  <c:v>Líquido</c:v>
                </c:pt>
              </c:strCache>
            </c:strRef>
          </c:cat>
          <c:val>
            <c:numRef>
              <c:f>'CO2 - Cenário RT 1A'!$L$70:$M$70</c:f>
              <c:numCache>
                <c:formatCode>General</c:formatCode>
                <c:ptCount val="2"/>
                <c:pt idx="0" formatCode="#,##0">
                  <c:v>0</c:v>
                </c:pt>
              </c:numCache>
            </c:numRef>
          </c:val>
          <c:extLst>
            <c:ext xmlns:c16="http://schemas.microsoft.com/office/drawing/2014/chart" uri="{C3380CC4-5D6E-409C-BE32-E72D297353CC}">
              <c16:uniqueId val="{00000008-F258-4583-A477-21DED7633C45}"/>
            </c:ext>
          </c:extLst>
        </c:ser>
        <c:ser>
          <c:idx val="8"/>
          <c:order val="9"/>
          <c:tx>
            <c:strRef>
              <c:f>'CO2 - Cenário RT 1A'!$K$71</c:f>
              <c:strCache>
                <c:ptCount val="1"/>
                <c:pt idx="0">
                  <c:v>Incineração</c:v>
                </c:pt>
              </c:strCache>
            </c:strRef>
          </c:tx>
          <c:spPr>
            <a:solidFill>
              <a:srgbClr val="CCCC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1A'!$L$71:$M$71</c:f>
              <c:numCache>
                <c:formatCode>General</c:formatCode>
                <c:ptCount val="2"/>
                <c:pt idx="0" formatCode="#,##0">
                  <c:v>0</c:v>
                </c:pt>
              </c:numCache>
            </c:numRef>
          </c:val>
          <c:extLst>
            <c:ext xmlns:c16="http://schemas.microsoft.com/office/drawing/2014/chart" uri="{C3380CC4-5D6E-409C-BE32-E72D297353CC}">
              <c16:uniqueId val="{00000009-F258-4583-A477-21DED7633C45}"/>
            </c:ext>
          </c:extLst>
        </c:ser>
        <c:ser>
          <c:idx val="9"/>
          <c:order val="10"/>
          <c:tx>
            <c:strRef>
              <c:f>'CO2 - Cenário RT 1A'!$K$72</c:f>
              <c:strCache>
                <c:ptCount val="1"/>
                <c:pt idx="0">
                  <c:v>Débitos</c:v>
                </c:pt>
              </c:strCache>
            </c:strRef>
          </c:tx>
          <c:spPr>
            <a:noFill/>
            <a:ln w="25400">
              <a:noFill/>
            </a:ln>
          </c:spPr>
          <c:invertIfNegative val="0"/>
          <c:cat>
            <c:strRef>
              <c:f>'CO2 - Cenário RT 1A'!$L$61:$M$61</c:f>
              <c:strCache>
                <c:ptCount val="2"/>
                <c:pt idx="0">
                  <c:v>Destinação de resíduos</c:v>
                </c:pt>
                <c:pt idx="1">
                  <c:v>Líquido</c:v>
                </c:pt>
              </c:strCache>
            </c:strRef>
          </c:cat>
          <c:val>
            <c:numRef>
              <c:f>'CO2 - Cenário RT 1A'!$L$72:$M$72</c:f>
              <c:numCache>
                <c:formatCode>General</c:formatCode>
                <c:ptCount val="2"/>
              </c:numCache>
            </c:numRef>
          </c:val>
          <c:extLst>
            <c:ext xmlns:c16="http://schemas.microsoft.com/office/drawing/2014/chart" uri="{C3380CC4-5D6E-409C-BE32-E72D297353CC}">
              <c16:uniqueId val="{0000000A-F258-4583-A477-21DED7633C45}"/>
            </c:ext>
          </c:extLst>
        </c:ser>
        <c:ser>
          <c:idx val="10"/>
          <c:order val="11"/>
          <c:tx>
            <c:strRef>
              <c:f>'CO2 - Cenário RT 1A'!$K$73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1A'!$L$73:$M$73</c:f>
              <c:numCache>
                <c:formatCode>General</c:formatCode>
                <c:ptCount val="2"/>
                <c:pt idx="0" formatCode="#,##0">
                  <c:v>0</c:v>
                </c:pt>
              </c:numCache>
            </c:numRef>
          </c:val>
          <c:extLst>
            <c:ext xmlns:c16="http://schemas.microsoft.com/office/drawing/2014/chart" uri="{C3380CC4-5D6E-409C-BE32-E72D297353CC}">
              <c16:uniqueId val="{0000000B-F258-4583-A477-21DED7633C45}"/>
            </c:ext>
          </c:extLst>
        </c:ser>
        <c:ser>
          <c:idx val="11"/>
          <c:order val="12"/>
          <c:tx>
            <c:strRef>
              <c:f>'CO2 - Cenário RT 1A'!$K$74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1A'!$L$74:$M$74</c:f>
              <c:numCache>
                <c:formatCode>General</c:formatCode>
                <c:ptCount val="2"/>
                <c:pt idx="0" formatCode="#,##0">
                  <c:v>0</c:v>
                </c:pt>
              </c:numCache>
            </c:numRef>
          </c:val>
          <c:extLst>
            <c:ext xmlns:c16="http://schemas.microsoft.com/office/drawing/2014/chart" uri="{C3380CC4-5D6E-409C-BE32-E72D297353CC}">
              <c16:uniqueId val="{0000000C-F258-4583-A477-21DED7633C45}"/>
            </c:ext>
          </c:extLst>
        </c:ser>
        <c:ser>
          <c:idx val="12"/>
          <c:order val="13"/>
          <c:tx>
            <c:strRef>
              <c:f>'CO2 - Cenário RT 1A'!$K$75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1A'!$L$75:$M$75</c:f>
              <c:numCache>
                <c:formatCode>General</c:formatCode>
                <c:ptCount val="2"/>
                <c:pt idx="0" formatCode="#,##0">
                  <c:v>0</c:v>
                </c:pt>
              </c:numCache>
            </c:numRef>
          </c:val>
          <c:extLst>
            <c:ext xmlns:c16="http://schemas.microsoft.com/office/drawing/2014/chart" uri="{C3380CC4-5D6E-409C-BE32-E72D297353CC}">
              <c16:uniqueId val="{0000000D-F258-4583-A477-21DED7633C45}"/>
            </c:ext>
          </c:extLst>
        </c:ser>
        <c:ser>
          <c:idx val="13"/>
          <c:order val="14"/>
          <c:tx>
            <c:strRef>
              <c:f>'CO2 - Cenário RT 1A'!$K$76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1A'!$L$76:$M$76</c:f>
              <c:numCache>
                <c:formatCode>General</c:formatCode>
                <c:ptCount val="2"/>
                <c:pt idx="0" formatCode="#,##0">
                  <c:v>0</c:v>
                </c:pt>
              </c:numCache>
            </c:numRef>
          </c:val>
          <c:extLst>
            <c:ext xmlns:c16="http://schemas.microsoft.com/office/drawing/2014/chart" uri="{C3380CC4-5D6E-409C-BE32-E72D297353CC}">
              <c16:uniqueId val="{0000000E-F258-4583-A477-21DED7633C45}"/>
            </c:ext>
          </c:extLst>
        </c:ser>
        <c:ser>
          <c:idx val="14"/>
          <c:order val="15"/>
          <c:tx>
            <c:strRef>
              <c:f>'CO2 - Cenário RT 1A'!$K$77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1A'!$L$77:$M$77</c:f>
              <c:numCache>
                <c:formatCode>General</c:formatCode>
                <c:ptCount val="2"/>
                <c:pt idx="0" formatCode="#,##0">
                  <c:v>0</c:v>
                </c:pt>
              </c:numCache>
            </c:numRef>
          </c:val>
          <c:extLst>
            <c:ext xmlns:c16="http://schemas.microsoft.com/office/drawing/2014/chart" uri="{C3380CC4-5D6E-409C-BE32-E72D297353CC}">
              <c16:uniqueId val="{0000000F-F258-4583-A477-21DED7633C45}"/>
            </c:ext>
          </c:extLst>
        </c:ser>
        <c:ser>
          <c:idx val="15"/>
          <c:order val="16"/>
          <c:tx>
            <c:strRef>
              <c:f>'CO2 - Cenário RT 1A'!$K$78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1A'!$L$78:$M$78</c:f>
              <c:numCache>
                <c:formatCode>General</c:formatCode>
                <c:ptCount val="2"/>
                <c:pt idx="0" formatCode="#,##0">
                  <c:v>0</c:v>
                </c:pt>
              </c:numCache>
            </c:numRef>
          </c:val>
          <c:extLst>
            <c:ext xmlns:c16="http://schemas.microsoft.com/office/drawing/2014/chart" uri="{C3380CC4-5D6E-409C-BE32-E72D297353CC}">
              <c16:uniqueId val="{00000010-F258-4583-A477-21DED7633C45}"/>
            </c:ext>
          </c:extLst>
        </c:ser>
        <c:ser>
          <c:idx val="16"/>
          <c:order val="17"/>
          <c:tx>
            <c:strRef>
              <c:f>'CO2 - Cenário RT 1A'!$K$79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1A'!$L$79:$M$79</c:f>
              <c:numCache>
                <c:formatCode>General</c:formatCode>
                <c:ptCount val="2"/>
                <c:pt idx="0" formatCode="#,##0">
                  <c:v>-8213.3557915298534</c:v>
                </c:pt>
              </c:numCache>
            </c:numRef>
          </c:val>
          <c:extLst>
            <c:ext xmlns:c16="http://schemas.microsoft.com/office/drawing/2014/chart" uri="{C3380CC4-5D6E-409C-BE32-E72D297353CC}">
              <c16:uniqueId val="{00000011-F258-4583-A477-21DED7633C45}"/>
            </c:ext>
          </c:extLst>
        </c:ser>
        <c:ser>
          <c:idx val="17"/>
          <c:order val="18"/>
          <c:tx>
            <c:strRef>
              <c:f>'CO2 - Cenário RT 1A'!$K$80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1A'!$L$80:$M$80</c:f>
              <c:numCache>
                <c:formatCode>General</c:formatCode>
                <c:ptCount val="2"/>
                <c:pt idx="0" formatCode="#,##0">
                  <c:v>-34946.287241831815</c:v>
                </c:pt>
              </c:numCache>
            </c:numRef>
          </c:val>
          <c:extLst>
            <c:ext xmlns:c16="http://schemas.microsoft.com/office/drawing/2014/chart" uri="{C3380CC4-5D6E-409C-BE32-E72D297353CC}">
              <c16:uniqueId val="{00000012-F258-4583-A477-21DED7633C45}"/>
            </c:ext>
          </c:extLst>
        </c:ser>
        <c:ser>
          <c:idx val="22"/>
          <c:order val="19"/>
          <c:tx>
            <c:strRef>
              <c:f>'CO2 - Cenário RT 1A'!$K$81</c:f>
              <c:strCache>
                <c:ptCount val="1"/>
                <c:pt idx="0">
                  <c:v>CDR seco + CDR org.</c:v>
                </c:pt>
              </c:strCache>
            </c:strRef>
          </c:tx>
          <c:spPr>
            <a:pattFill prst="wdUpDiag">
              <a:fgClr>
                <a:srgbClr val="00B0F0"/>
              </a:fgClr>
              <a:bgClr>
                <a:schemeClr val="bg1"/>
              </a:bgClr>
            </a:pattFill>
            <a:ln w="12700">
              <a:solidFill>
                <a:schemeClr val="tx1"/>
              </a:solidFill>
            </a:ln>
          </c:spPr>
          <c:invertIfNegative val="0"/>
          <c:cat>
            <c:strRef>
              <c:f>'CO2 - Cenário RT 1A'!$L$61:$M$61</c:f>
              <c:strCache>
                <c:ptCount val="2"/>
                <c:pt idx="0">
                  <c:v>Destinação de resíduos</c:v>
                </c:pt>
                <c:pt idx="1">
                  <c:v>Líquido</c:v>
                </c:pt>
              </c:strCache>
            </c:strRef>
          </c:cat>
          <c:val>
            <c:numRef>
              <c:f>'CO2 - Cenário RT 1A'!$L$81:$M$81</c:f>
              <c:numCache>
                <c:formatCode>General</c:formatCode>
                <c:ptCount val="2"/>
                <c:pt idx="0" formatCode="#,##0">
                  <c:v>0</c:v>
                </c:pt>
              </c:numCache>
            </c:numRef>
          </c:val>
          <c:extLst>
            <c:ext xmlns:c16="http://schemas.microsoft.com/office/drawing/2014/chart" uri="{C3380CC4-5D6E-409C-BE32-E72D297353CC}">
              <c16:uniqueId val="{00000013-F258-4583-A477-21DED7633C45}"/>
            </c:ext>
          </c:extLst>
        </c:ser>
        <c:ser>
          <c:idx val="18"/>
          <c:order val="20"/>
          <c:tx>
            <c:strRef>
              <c:f>'CO2 - Cenário RT 1A'!$K$82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1A'!$L$82:$M$82</c:f>
              <c:numCache>
                <c:formatCode>General</c:formatCode>
                <c:ptCount val="2"/>
                <c:pt idx="0" formatCode="#,##0">
                  <c:v>0</c:v>
                </c:pt>
              </c:numCache>
            </c:numRef>
          </c:val>
          <c:extLst>
            <c:ext xmlns:c16="http://schemas.microsoft.com/office/drawing/2014/chart" uri="{C3380CC4-5D6E-409C-BE32-E72D297353CC}">
              <c16:uniqueId val="{00000014-F258-4583-A477-21DED7633C45}"/>
            </c:ext>
          </c:extLst>
        </c:ser>
        <c:ser>
          <c:idx val="19"/>
          <c:order val="21"/>
          <c:tx>
            <c:strRef>
              <c:f>'CO2 - Cenário RT 1A'!$K$83</c:f>
              <c:strCache>
                <c:ptCount val="1"/>
                <c:pt idx="0">
                  <c:v>Créditos</c:v>
                </c:pt>
              </c:strCache>
            </c:strRef>
          </c:tx>
          <c:spPr>
            <a:noFill/>
            <a:ln w="25400">
              <a:noFill/>
            </a:ln>
          </c:spPr>
          <c:invertIfNegative val="0"/>
          <c:cat>
            <c:strRef>
              <c:f>'CO2 - Cenário RT 1A'!$L$61:$M$61</c:f>
              <c:strCache>
                <c:ptCount val="2"/>
                <c:pt idx="0">
                  <c:v>Destinação de resíduos</c:v>
                </c:pt>
                <c:pt idx="1">
                  <c:v>Líquido</c:v>
                </c:pt>
              </c:strCache>
            </c:strRef>
          </c:cat>
          <c:val>
            <c:numRef>
              <c:f>'CO2 - Cenário RT 1A'!$L$83:$M$83</c:f>
              <c:numCache>
                <c:formatCode>General</c:formatCode>
                <c:ptCount val="2"/>
              </c:numCache>
            </c:numRef>
          </c:val>
          <c:extLst>
            <c:ext xmlns:c16="http://schemas.microsoft.com/office/drawing/2014/chart" uri="{C3380CC4-5D6E-409C-BE32-E72D297353CC}">
              <c16:uniqueId val="{00000015-F258-4583-A477-21DED7633C45}"/>
            </c:ext>
          </c:extLst>
        </c:ser>
        <c:ser>
          <c:idx val="20"/>
          <c:order val="22"/>
          <c:tx>
            <c:strRef>
              <c:f>'CO2 - Cenário RT 1A'!$K$84</c:f>
              <c:strCache>
                <c:ptCount val="1"/>
                <c:pt idx="0">
                  <c:v>Líquido</c:v>
                </c:pt>
              </c:strCache>
            </c:strRef>
          </c:tx>
          <c:spPr>
            <a:solidFill>
              <a:srgbClr val="0000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1A'!$L$84:$M$84</c:f>
              <c:numCache>
                <c:formatCode>#,##0</c:formatCode>
                <c:ptCount val="2"/>
                <c:pt idx="1">
                  <c:v>27989.693745778779</c:v>
                </c:pt>
              </c:numCache>
            </c:numRef>
          </c:val>
          <c:extLst>
            <c:ext xmlns:c16="http://schemas.microsoft.com/office/drawing/2014/chart" uri="{C3380CC4-5D6E-409C-BE32-E72D297353CC}">
              <c16:uniqueId val="{00000016-F258-4583-A477-21DED7633C45}"/>
            </c:ext>
          </c:extLst>
        </c:ser>
        <c:dLbls>
          <c:showLegendKey val="0"/>
          <c:showVal val="0"/>
          <c:showCatName val="0"/>
          <c:showSerName val="0"/>
          <c:showPercent val="0"/>
          <c:showBubbleSize val="0"/>
        </c:dLbls>
        <c:gapWidth val="100"/>
        <c:overlap val="100"/>
        <c:axId val="196662016"/>
        <c:axId val="196663552"/>
      </c:barChart>
      <c:catAx>
        <c:axId val="196662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663552"/>
        <c:crosses val="autoZero"/>
        <c:auto val="1"/>
        <c:lblAlgn val="ctr"/>
        <c:lblOffset val="100"/>
        <c:tickLblSkip val="1"/>
        <c:tickMarkSkip val="1"/>
        <c:noMultiLvlLbl val="0"/>
      </c:catAx>
      <c:valAx>
        <c:axId val="196663552"/>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12774921771833E-3"/>
              <c:y val="0.375172293572030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662016"/>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805585816659091"/>
          <c:y val="1.379406613671616E-3"/>
          <c:w val="0.23982592382137799"/>
          <c:h val="0.98536066700002301"/>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1A'!$G$53</c:f>
              <c:strCache>
                <c:ptCount val="1"/>
                <c:pt idx="0">
                  <c:v>Débitos</c:v>
                </c:pt>
              </c:strCache>
            </c:strRef>
          </c:tx>
          <c:spPr>
            <a:solidFill>
              <a:srgbClr val="FFCC99"/>
            </a:solidFill>
            <a:ln w="12700">
              <a:solidFill>
                <a:srgbClr val="000000"/>
              </a:solidFill>
              <a:prstDash val="solid"/>
            </a:ln>
          </c:spPr>
          <c:invertIfNegative val="0"/>
          <c:cat>
            <c:strRef>
              <c:f>'CO2 - Cenário RT 1A'!$H$52:$J$52</c:f>
              <c:strCache>
                <c:ptCount val="3"/>
                <c:pt idx="0">
                  <c:v>Resíduo reciclado</c:v>
                </c:pt>
                <c:pt idx="1">
                  <c:v>Destinação de resíduos</c:v>
                </c:pt>
                <c:pt idx="2">
                  <c:v>RSU total</c:v>
                </c:pt>
              </c:strCache>
            </c:strRef>
          </c:cat>
          <c:val>
            <c:numRef>
              <c:f>'CO2 - Cenário RT 1A'!$H$53:$J$53</c:f>
              <c:numCache>
                <c:formatCode>#,##0</c:formatCode>
                <c:ptCount val="3"/>
                <c:pt idx="0">
                  <c:v>10561.463048000001</c:v>
                </c:pt>
                <c:pt idx="1">
                  <c:v>71149.336779140445</c:v>
                </c:pt>
                <c:pt idx="2">
                  <c:v>81710.79982714045</c:v>
                </c:pt>
              </c:numCache>
            </c:numRef>
          </c:val>
          <c:extLst>
            <c:ext xmlns:c16="http://schemas.microsoft.com/office/drawing/2014/chart" uri="{C3380CC4-5D6E-409C-BE32-E72D297353CC}">
              <c16:uniqueId val="{00000000-ACFC-47AA-BA5A-F983519F1C42}"/>
            </c:ext>
          </c:extLst>
        </c:ser>
        <c:ser>
          <c:idx val="1"/>
          <c:order val="1"/>
          <c:tx>
            <c:strRef>
              <c:f>'CO2 - Cenário RT 1A'!$G$54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1A'!$H$52:$J$52</c:f>
              <c:strCache>
                <c:ptCount val="3"/>
                <c:pt idx="0">
                  <c:v>Resíduo reciclado</c:v>
                </c:pt>
                <c:pt idx="1">
                  <c:v>Destinação de resíduos</c:v>
                </c:pt>
                <c:pt idx="2">
                  <c:v>RSU total</c:v>
                </c:pt>
              </c:strCache>
            </c:strRef>
          </c:cat>
          <c:val>
            <c:numRef>
              <c:f>'CO2 - Cenário RT 1A'!$H$54:$J$54</c:f>
              <c:numCache>
                <c:formatCode>#,##0</c:formatCode>
                <c:ptCount val="3"/>
                <c:pt idx="0">
                  <c:v>-31824.008943999997</c:v>
                </c:pt>
                <c:pt idx="1">
                  <c:v>-43159.643033361666</c:v>
                </c:pt>
                <c:pt idx="2">
                  <c:v>-74983.65197736166</c:v>
                </c:pt>
              </c:numCache>
            </c:numRef>
          </c:val>
          <c:extLst>
            <c:ext xmlns:c16="http://schemas.microsoft.com/office/drawing/2014/chart" uri="{C3380CC4-5D6E-409C-BE32-E72D297353CC}">
              <c16:uniqueId val="{00000001-ACFC-47AA-BA5A-F983519F1C42}"/>
            </c:ext>
          </c:extLst>
        </c:ser>
        <c:ser>
          <c:idx val="2"/>
          <c:order val="2"/>
          <c:tx>
            <c:strRef>
              <c:f>'CO2 - Cenário RT 1A'!$G$55</c:f>
              <c:strCache>
                <c:ptCount val="1"/>
                <c:pt idx="0">
                  <c:v>Líquido</c:v>
                </c:pt>
              </c:strCache>
            </c:strRef>
          </c:tx>
          <c:spPr>
            <a:solidFill>
              <a:srgbClr val="0000FF"/>
            </a:solidFill>
            <a:ln w="12700">
              <a:solidFill>
                <a:srgbClr val="000000"/>
              </a:solidFill>
              <a:prstDash val="solid"/>
            </a:ln>
          </c:spPr>
          <c:invertIfNegative val="0"/>
          <c:cat>
            <c:strRef>
              <c:f>'CO2 - Cenário RT 1A'!$H$52:$J$52</c:f>
              <c:strCache>
                <c:ptCount val="3"/>
                <c:pt idx="0">
                  <c:v>Resíduo reciclado</c:v>
                </c:pt>
                <c:pt idx="1">
                  <c:v>Destinação de resíduos</c:v>
                </c:pt>
                <c:pt idx="2">
                  <c:v>RSU total</c:v>
                </c:pt>
              </c:strCache>
            </c:strRef>
          </c:cat>
          <c:val>
            <c:numRef>
              <c:f>'CO2 - Cenário RT 1A'!$H$55:$J$55</c:f>
              <c:numCache>
                <c:formatCode>#,##0</c:formatCode>
                <c:ptCount val="3"/>
                <c:pt idx="0">
                  <c:v>-21262.545895999996</c:v>
                </c:pt>
                <c:pt idx="1">
                  <c:v>27989.693745778779</c:v>
                </c:pt>
                <c:pt idx="2">
                  <c:v>6727.147849778783</c:v>
                </c:pt>
              </c:numCache>
            </c:numRef>
          </c:val>
          <c:extLst>
            <c:ext xmlns:c16="http://schemas.microsoft.com/office/drawing/2014/chart" uri="{C3380CC4-5D6E-409C-BE32-E72D297353CC}">
              <c16:uniqueId val="{00000002-ACFC-47AA-BA5A-F983519F1C42}"/>
            </c:ext>
          </c:extLst>
        </c:ser>
        <c:dLbls>
          <c:showLegendKey val="0"/>
          <c:showVal val="0"/>
          <c:showCatName val="0"/>
          <c:showSerName val="0"/>
          <c:showPercent val="0"/>
          <c:showBubbleSize val="0"/>
        </c:dLbls>
        <c:gapWidth val="100"/>
        <c:axId val="197125248"/>
        <c:axId val="197126784"/>
      </c:barChart>
      <c:catAx>
        <c:axId val="1971252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6784"/>
        <c:crosses val="autoZero"/>
        <c:auto val="1"/>
        <c:lblAlgn val="ctr"/>
        <c:lblOffset val="50"/>
        <c:tickLblSkip val="1"/>
        <c:tickMarkSkip val="1"/>
        <c:noMultiLvlLbl val="0"/>
      </c:catAx>
      <c:valAx>
        <c:axId val="197126784"/>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073021116594712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5248"/>
        <c:crosses val="autoZero"/>
        <c:crossBetween val="between"/>
      </c:valAx>
      <c:spPr>
        <a:noFill/>
        <a:ln w="3175">
          <a:solidFill>
            <a:srgbClr val="000000"/>
          </a:solidFill>
          <a:prstDash val="solid"/>
        </a:ln>
      </c:spPr>
    </c:plotArea>
    <c:legend>
      <c:legendPos val="r"/>
      <c:layout>
        <c:manualLayout>
          <c:xMode val="edge"/>
          <c:yMode val="edge"/>
          <c:x val="0.17863904063031819"/>
          <c:y val="4.003724394785847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60248119443095"/>
          <c:y val="1.3496932515337422E-2"/>
        </c:manualLayout>
      </c:layout>
      <c:overlay val="0"/>
      <c:spPr>
        <a:noFill/>
        <a:ln w="25400">
          <a:noFill/>
        </a:ln>
      </c:spPr>
    </c:title>
    <c:autoTitleDeleted val="0"/>
    <c:plotArea>
      <c:layout>
        <c:manualLayout>
          <c:layoutTarget val="inner"/>
          <c:xMode val="edge"/>
          <c:yMode val="edge"/>
          <c:x val="0.18803436241909513"/>
          <c:y val="0.1116564417177914"/>
          <c:w val="0.78632551557076091"/>
          <c:h val="0.5766871165644176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1B'!$B$7:$B$15,'CO2 - Cenário RT 1B'!$B$18:$B$27)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1B'!$C$7:$C$15,'CO2 - Cenário RT 1B'!$C$18:$C$27)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0</c:v>
                </c:pt>
                <c:pt idx="13">
                  <c:v>45945.389699999992</c:v>
                </c:pt>
                <c:pt idx="14">
                  <c:v>0</c:v>
                </c:pt>
                <c:pt idx="15">
                  <c:v>16409.067749999998</c:v>
                </c:pt>
                <c:pt idx="16">
                  <c:v>68918.08455</c:v>
                </c:pt>
                <c:pt idx="17">
                  <c:v>0</c:v>
                </c:pt>
                <c:pt idx="18">
                  <c:v>0</c:v>
                </c:pt>
              </c:numCache>
            </c:numRef>
          </c:val>
          <c:extLst>
            <c:ext xmlns:c16="http://schemas.microsoft.com/office/drawing/2014/chart" uri="{C3380CC4-5D6E-409C-BE32-E72D297353CC}">
              <c16:uniqueId val="{00000000-FC12-4DBA-B772-D5ACF4EBA2AB}"/>
            </c:ext>
          </c:extLst>
        </c:ser>
        <c:dLbls>
          <c:showLegendKey val="0"/>
          <c:showVal val="0"/>
          <c:showCatName val="0"/>
          <c:showSerName val="0"/>
          <c:showPercent val="0"/>
          <c:showBubbleSize val="0"/>
        </c:dLbls>
        <c:gapWidth val="100"/>
        <c:axId val="196595712"/>
        <c:axId val="196597248"/>
      </c:barChart>
      <c:catAx>
        <c:axId val="19659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50" b="0" i="0" u="none" strike="noStrike" baseline="0">
                <a:solidFill>
                  <a:srgbClr val="000000"/>
                </a:solidFill>
                <a:latin typeface="Arial"/>
                <a:ea typeface="Arial"/>
                <a:cs typeface="Arial"/>
              </a:defRPr>
            </a:pPr>
            <a:endParaRPr lang="pt-BR"/>
          </a:p>
        </c:txPr>
        <c:crossAx val="196597248"/>
        <c:crosses val="autoZero"/>
        <c:auto val="1"/>
        <c:lblAlgn val="ctr"/>
        <c:lblOffset val="100"/>
        <c:tickLblSkip val="1"/>
        <c:tickMarkSkip val="1"/>
        <c:noMultiLvlLbl val="0"/>
      </c:catAx>
      <c:valAx>
        <c:axId val="19659724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46353467727501E-2"/>
              <c:y val="0.366871165644171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659571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GEE </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1B'!$B$62</c:f>
              <c:strCache>
                <c:ptCount val="1"/>
                <c:pt idx="0">
                  <c:v>Resíduos de alimentos</c:v>
                </c:pt>
              </c:strCache>
            </c:strRef>
          </c:tx>
          <c:spPr>
            <a:solidFill>
              <a:srgbClr val="99CC0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1B'!$C$62:$D$62</c:f>
              <c:numCache>
                <c:formatCode>General</c:formatCode>
                <c:ptCount val="2"/>
                <c:pt idx="0" formatCode="#,##0">
                  <c:v>0</c:v>
                </c:pt>
              </c:numCache>
            </c:numRef>
          </c:val>
          <c:extLst>
            <c:ext xmlns:c16="http://schemas.microsoft.com/office/drawing/2014/chart" uri="{C3380CC4-5D6E-409C-BE32-E72D297353CC}">
              <c16:uniqueId val="{00000000-6AFE-463D-BE2A-86C09FE7EB4D}"/>
            </c:ext>
          </c:extLst>
        </c:ser>
        <c:ser>
          <c:idx val="1"/>
          <c:order val="1"/>
          <c:tx>
            <c:strRef>
              <c:f>'CO2 - Cenário RT 1B'!$B$63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1B'!$C$63:$D$63</c:f>
              <c:numCache>
                <c:formatCode>General</c:formatCode>
                <c:ptCount val="2"/>
                <c:pt idx="0" formatCode="#,##0">
                  <c:v>0</c:v>
                </c:pt>
              </c:numCache>
            </c:numRef>
          </c:val>
          <c:extLst>
            <c:ext xmlns:c16="http://schemas.microsoft.com/office/drawing/2014/chart" uri="{C3380CC4-5D6E-409C-BE32-E72D297353CC}">
              <c16:uniqueId val="{00000001-6AFE-463D-BE2A-86C09FE7EB4D}"/>
            </c:ext>
          </c:extLst>
        </c:ser>
        <c:ser>
          <c:idx val="2"/>
          <c:order val="2"/>
          <c:tx>
            <c:strRef>
              <c:f>'CO2 - Cenário RT 1B'!$B$64</c:f>
              <c:strCache>
                <c:ptCount val="1"/>
                <c:pt idx="0">
                  <c:v>Papel, papelão</c:v>
                </c:pt>
              </c:strCache>
            </c:strRef>
          </c:tx>
          <c:spPr>
            <a:solidFill>
              <a:srgbClr val="CC99FF"/>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1B'!$C$64:$D$64</c:f>
              <c:numCache>
                <c:formatCode>General</c:formatCode>
                <c:ptCount val="2"/>
                <c:pt idx="0" formatCode="#,##0">
                  <c:v>7999.4112480000003</c:v>
                </c:pt>
              </c:numCache>
            </c:numRef>
          </c:val>
          <c:extLst>
            <c:ext xmlns:c16="http://schemas.microsoft.com/office/drawing/2014/chart" uri="{C3380CC4-5D6E-409C-BE32-E72D297353CC}">
              <c16:uniqueId val="{00000002-6AFE-463D-BE2A-86C09FE7EB4D}"/>
            </c:ext>
          </c:extLst>
        </c:ser>
        <c:ser>
          <c:idx val="3"/>
          <c:order val="3"/>
          <c:tx>
            <c:strRef>
              <c:f>'CO2 - Cenário RT 1B'!$B$65</c:f>
              <c:strCache>
                <c:ptCount val="1"/>
                <c:pt idx="0">
                  <c:v>Plásticos</c:v>
                </c:pt>
              </c:strCache>
            </c:strRef>
          </c:tx>
          <c:spPr>
            <a:solidFill>
              <a:srgbClr val="FFFF0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1B'!$C$65:$D$65</c:f>
              <c:numCache>
                <c:formatCode>General</c:formatCode>
                <c:ptCount val="2"/>
                <c:pt idx="0" formatCode="#,##0">
                  <c:v>1777.8420000000001</c:v>
                </c:pt>
              </c:numCache>
            </c:numRef>
          </c:val>
          <c:extLst>
            <c:ext xmlns:c16="http://schemas.microsoft.com/office/drawing/2014/chart" uri="{C3380CC4-5D6E-409C-BE32-E72D297353CC}">
              <c16:uniqueId val="{00000003-6AFE-463D-BE2A-86C09FE7EB4D}"/>
            </c:ext>
          </c:extLst>
        </c:ser>
        <c:ser>
          <c:idx val="4"/>
          <c:order val="4"/>
          <c:tx>
            <c:strRef>
              <c:f>'CO2 - Cenário RT 1B'!$B$66</c:f>
              <c:strCache>
                <c:ptCount val="1"/>
                <c:pt idx="0">
                  <c:v>Vidros</c:v>
                </c:pt>
              </c:strCache>
            </c:strRef>
          </c:tx>
          <c:spPr>
            <a:solidFill>
              <a:srgbClr val="FF99CC"/>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1B'!$C$66:$D$66</c:f>
              <c:numCache>
                <c:formatCode>General</c:formatCode>
                <c:ptCount val="2"/>
                <c:pt idx="0" formatCode="#,##0">
                  <c:v>0</c:v>
                </c:pt>
              </c:numCache>
            </c:numRef>
          </c:val>
          <c:extLst>
            <c:ext xmlns:c16="http://schemas.microsoft.com/office/drawing/2014/chart" uri="{C3380CC4-5D6E-409C-BE32-E72D297353CC}">
              <c16:uniqueId val="{00000004-6AFE-463D-BE2A-86C09FE7EB4D}"/>
            </c:ext>
          </c:extLst>
        </c:ser>
        <c:ser>
          <c:idx val="5"/>
          <c:order val="5"/>
          <c:tx>
            <c:strRef>
              <c:f>'CO2 - Cenário RT 1B'!$B$67</c:f>
              <c:strCache>
                <c:ptCount val="1"/>
                <c:pt idx="0">
                  <c:v>Metais ferrosos</c:v>
                </c:pt>
              </c:strCache>
            </c:strRef>
          </c:tx>
          <c:spPr>
            <a:solidFill>
              <a:srgbClr val="C0C0C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1B'!$C$67:$D$67</c:f>
              <c:numCache>
                <c:formatCode>General</c:formatCode>
                <c:ptCount val="2"/>
                <c:pt idx="0" formatCode="#,##0">
                  <c:v>204.16639999999998</c:v>
                </c:pt>
              </c:numCache>
            </c:numRef>
          </c:val>
          <c:extLst>
            <c:ext xmlns:c16="http://schemas.microsoft.com/office/drawing/2014/chart" uri="{C3380CC4-5D6E-409C-BE32-E72D297353CC}">
              <c16:uniqueId val="{00000005-6AFE-463D-BE2A-86C09FE7EB4D}"/>
            </c:ext>
          </c:extLst>
        </c:ser>
        <c:ser>
          <c:idx val="6"/>
          <c:order val="6"/>
          <c:tx>
            <c:strRef>
              <c:f>'CO2 - Cenário RT 1B'!$B$68</c:f>
              <c:strCache>
                <c:ptCount val="1"/>
                <c:pt idx="0">
                  <c:v>Alumínio</c:v>
                </c:pt>
              </c:strCache>
            </c:strRef>
          </c:tx>
          <c:spPr>
            <a:solidFill>
              <a:srgbClr val="993366"/>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1B'!$C$68:$D$68</c:f>
              <c:numCache>
                <c:formatCode>General</c:formatCode>
                <c:ptCount val="2"/>
                <c:pt idx="0" formatCode="#,##0">
                  <c:v>580.04339999999991</c:v>
                </c:pt>
              </c:numCache>
            </c:numRef>
          </c:val>
          <c:extLst>
            <c:ext xmlns:c16="http://schemas.microsoft.com/office/drawing/2014/chart" uri="{C3380CC4-5D6E-409C-BE32-E72D297353CC}">
              <c16:uniqueId val="{00000006-6AFE-463D-BE2A-86C09FE7EB4D}"/>
            </c:ext>
          </c:extLst>
        </c:ser>
        <c:ser>
          <c:idx val="7"/>
          <c:order val="7"/>
          <c:tx>
            <c:strRef>
              <c:f>'CO2 - Cenário RT 1B'!$B$69</c:f>
              <c:strCache>
                <c:ptCount val="1"/>
                <c:pt idx="0">
                  <c:v>Têxteis</c:v>
                </c:pt>
              </c:strCache>
            </c:strRef>
          </c:tx>
          <c:spPr>
            <a:solidFill>
              <a:srgbClr val="9999FF"/>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1B'!$C$69:$D$69</c:f>
              <c:numCache>
                <c:formatCode>General</c:formatCode>
                <c:ptCount val="2"/>
                <c:pt idx="0" formatCode="#,##0">
                  <c:v>0</c:v>
                </c:pt>
              </c:numCache>
            </c:numRef>
          </c:val>
          <c:extLst>
            <c:ext xmlns:c16="http://schemas.microsoft.com/office/drawing/2014/chart" uri="{C3380CC4-5D6E-409C-BE32-E72D297353CC}">
              <c16:uniqueId val="{00000007-6AFE-463D-BE2A-86C09FE7EB4D}"/>
            </c:ext>
          </c:extLst>
        </c:ser>
        <c:ser>
          <c:idx val="8"/>
          <c:order val="8"/>
          <c:tx>
            <c:strRef>
              <c:f>'CO2 - Cenário RT 1B'!$B$70</c:f>
              <c:strCache>
                <c:ptCount val="1"/>
                <c:pt idx="0">
                  <c:v>Débitos</c:v>
                </c:pt>
              </c:strCache>
            </c:strRef>
          </c:tx>
          <c:spPr>
            <a:noFill/>
            <a:ln w="25400">
              <a:noFill/>
            </a:ln>
          </c:spPr>
          <c:invertIfNegative val="0"/>
          <c:cat>
            <c:strRef>
              <c:f>'CO2 - Cenário RT 1B'!$C$61:$D$61</c:f>
              <c:strCache>
                <c:ptCount val="2"/>
                <c:pt idx="0">
                  <c:v>Resíduos reciclados</c:v>
                </c:pt>
                <c:pt idx="1">
                  <c:v>Líquido</c:v>
                </c:pt>
              </c:strCache>
            </c:strRef>
          </c:cat>
          <c:val>
            <c:numRef>
              <c:f>'CO2 - Cenário RT 1B'!$C$70:$D$70</c:f>
              <c:numCache>
                <c:formatCode>#,##0</c:formatCode>
                <c:ptCount val="2"/>
              </c:numCache>
            </c:numRef>
          </c:val>
          <c:extLst>
            <c:ext xmlns:c16="http://schemas.microsoft.com/office/drawing/2014/chart" uri="{C3380CC4-5D6E-409C-BE32-E72D297353CC}">
              <c16:uniqueId val="{00000008-6AFE-463D-BE2A-86C09FE7EB4D}"/>
            </c:ext>
          </c:extLst>
        </c:ser>
        <c:ser>
          <c:idx val="9"/>
          <c:order val="9"/>
          <c:tx>
            <c:strRef>
              <c:f>'CO2 - Cenário RT 1B'!$B$71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1B'!$C$71:$D$71</c:f>
              <c:numCache>
                <c:formatCode>General</c:formatCode>
                <c:ptCount val="2"/>
                <c:pt idx="0" formatCode="#,##0">
                  <c:v>0</c:v>
                </c:pt>
              </c:numCache>
            </c:numRef>
          </c:val>
          <c:extLst>
            <c:ext xmlns:c16="http://schemas.microsoft.com/office/drawing/2014/chart" uri="{C3380CC4-5D6E-409C-BE32-E72D297353CC}">
              <c16:uniqueId val="{00000009-6AFE-463D-BE2A-86C09FE7EB4D}"/>
            </c:ext>
          </c:extLst>
        </c:ser>
        <c:ser>
          <c:idx val="10"/>
          <c:order val="10"/>
          <c:tx>
            <c:strRef>
              <c:f>'CO2 - Cenário RT 1B'!$B$72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1B'!$C$72:$D$72</c:f>
              <c:numCache>
                <c:formatCode>General</c:formatCode>
                <c:ptCount val="2"/>
                <c:pt idx="0" formatCode="#,##0">
                  <c:v>0</c:v>
                </c:pt>
              </c:numCache>
            </c:numRef>
          </c:val>
          <c:extLst>
            <c:ext xmlns:c16="http://schemas.microsoft.com/office/drawing/2014/chart" uri="{C3380CC4-5D6E-409C-BE32-E72D297353CC}">
              <c16:uniqueId val="{0000000A-6AFE-463D-BE2A-86C09FE7EB4D}"/>
            </c:ext>
          </c:extLst>
        </c:ser>
        <c:ser>
          <c:idx val="11"/>
          <c:order val="11"/>
          <c:tx>
            <c:strRef>
              <c:f>'CO2 - Cenário RT 1B'!$B$73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1B'!$C$73:$D$73</c:f>
              <c:numCache>
                <c:formatCode>General</c:formatCode>
                <c:ptCount val="2"/>
                <c:pt idx="0" formatCode="#,##0">
                  <c:v>-9859.1469840000009</c:v>
                </c:pt>
              </c:numCache>
            </c:numRef>
          </c:val>
          <c:extLst>
            <c:ext xmlns:c16="http://schemas.microsoft.com/office/drawing/2014/chart" uri="{C3380CC4-5D6E-409C-BE32-E72D297353CC}">
              <c16:uniqueId val="{0000000B-6AFE-463D-BE2A-86C09FE7EB4D}"/>
            </c:ext>
          </c:extLst>
        </c:ser>
        <c:ser>
          <c:idx val="12"/>
          <c:order val="12"/>
          <c:tx>
            <c:strRef>
              <c:f>'CO2 - Cenário RT 1B'!$B$74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1B'!$C$74:$D$74</c:f>
              <c:numCache>
                <c:formatCode>General</c:formatCode>
                <c:ptCount val="2"/>
                <c:pt idx="0" formatCode="#,##0">
                  <c:v>-8281.2747600000002</c:v>
                </c:pt>
              </c:numCache>
            </c:numRef>
          </c:val>
          <c:extLst>
            <c:ext xmlns:c16="http://schemas.microsoft.com/office/drawing/2014/chart" uri="{C3380CC4-5D6E-409C-BE32-E72D297353CC}">
              <c16:uniqueId val="{0000000C-6AFE-463D-BE2A-86C09FE7EB4D}"/>
            </c:ext>
          </c:extLst>
        </c:ser>
        <c:ser>
          <c:idx val="13"/>
          <c:order val="13"/>
          <c:tx>
            <c:strRef>
              <c:f>'CO2 - Cenário RT 1B'!$B$75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1B'!$C$75:$D$75</c:f>
              <c:numCache>
                <c:formatCode>General</c:formatCode>
                <c:ptCount val="2"/>
                <c:pt idx="0" formatCode="#,##0">
                  <c:v>0</c:v>
                </c:pt>
              </c:numCache>
            </c:numRef>
          </c:val>
          <c:extLst>
            <c:ext xmlns:c16="http://schemas.microsoft.com/office/drawing/2014/chart" uri="{C3380CC4-5D6E-409C-BE32-E72D297353CC}">
              <c16:uniqueId val="{0000000D-6AFE-463D-BE2A-86C09FE7EB4D}"/>
            </c:ext>
          </c:extLst>
        </c:ser>
        <c:ser>
          <c:idx val="14"/>
          <c:order val="14"/>
          <c:tx>
            <c:strRef>
              <c:f>'CO2 - Cenário RT 1B'!$B$76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1B'!$C$76:$D$76</c:f>
              <c:numCache>
                <c:formatCode>General</c:formatCode>
                <c:ptCount val="2"/>
                <c:pt idx="0" formatCode="#,##0">
                  <c:v>-5461.4512000000004</c:v>
                </c:pt>
              </c:numCache>
            </c:numRef>
          </c:val>
          <c:extLst>
            <c:ext xmlns:c16="http://schemas.microsoft.com/office/drawing/2014/chart" uri="{C3380CC4-5D6E-409C-BE32-E72D297353CC}">
              <c16:uniqueId val="{0000000E-6AFE-463D-BE2A-86C09FE7EB4D}"/>
            </c:ext>
          </c:extLst>
        </c:ser>
        <c:ser>
          <c:idx val="15"/>
          <c:order val="15"/>
          <c:tx>
            <c:strRef>
              <c:f>'CO2 - Cenário RT 1B'!$B$77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1B'!$C$77:$D$77</c:f>
              <c:numCache>
                <c:formatCode>General</c:formatCode>
                <c:ptCount val="2"/>
                <c:pt idx="0" formatCode="#,##0">
                  <c:v>-8222.1359999999986</c:v>
                </c:pt>
              </c:numCache>
            </c:numRef>
          </c:val>
          <c:extLst>
            <c:ext xmlns:c16="http://schemas.microsoft.com/office/drawing/2014/chart" uri="{C3380CC4-5D6E-409C-BE32-E72D297353CC}">
              <c16:uniqueId val="{0000000F-6AFE-463D-BE2A-86C09FE7EB4D}"/>
            </c:ext>
          </c:extLst>
        </c:ser>
        <c:ser>
          <c:idx val="16"/>
          <c:order val="16"/>
          <c:tx>
            <c:strRef>
              <c:f>'CO2 - Cenário RT 1B'!$B$78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1B'!$C$78:$D$78</c:f>
              <c:numCache>
                <c:formatCode>General</c:formatCode>
                <c:ptCount val="2"/>
                <c:pt idx="0" formatCode="#,##0">
                  <c:v>0</c:v>
                </c:pt>
              </c:numCache>
            </c:numRef>
          </c:val>
          <c:extLst>
            <c:ext xmlns:c16="http://schemas.microsoft.com/office/drawing/2014/chart" uri="{C3380CC4-5D6E-409C-BE32-E72D297353CC}">
              <c16:uniqueId val="{00000010-6AFE-463D-BE2A-86C09FE7EB4D}"/>
            </c:ext>
          </c:extLst>
        </c:ser>
        <c:ser>
          <c:idx val="17"/>
          <c:order val="17"/>
          <c:tx>
            <c:strRef>
              <c:f>'CO2 - Cenário RT 1B'!$B$79</c:f>
              <c:strCache>
                <c:ptCount val="1"/>
                <c:pt idx="0">
                  <c:v>Créditos</c:v>
                </c:pt>
              </c:strCache>
            </c:strRef>
          </c:tx>
          <c:spPr>
            <a:noFill/>
            <a:ln w="25400">
              <a:noFill/>
            </a:ln>
          </c:spPr>
          <c:invertIfNegative val="0"/>
          <c:cat>
            <c:strRef>
              <c:f>'CO2 - Cenário RT 1B'!$C$61:$D$61</c:f>
              <c:strCache>
                <c:ptCount val="2"/>
                <c:pt idx="0">
                  <c:v>Resíduos reciclados</c:v>
                </c:pt>
                <c:pt idx="1">
                  <c:v>Líquido</c:v>
                </c:pt>
              </c:strCache>
            </c:strRef>
          </c:cat>
          <c:val>
            <c:numRef>
              <c:f>'CO2 - Cenário RT 1B'!$C$79:$D$79</c:f>
              <c:numCache>
                <c:formatCode>#,##0</c:formatCode>
                <c:ptCount val="2"/>
              </c:numCache>
            </c:numRef>
          </c:val>
          <c:extLst>
            <c:ext xmlns:c16="http://schemas.microsoft.com/office/drawing/2014/chart" uri="{C3380CC4-5D6E-409C-BE32-E72D297353CC}">
              <c16:uniqueId val="{00000011-6AFE-463D-BE2A-86C09FE7EB4D}"/>
            </c:ext>
          </c:extLst>
        </c:ser>
        <c:ser>
          <c:idx val="18"/>
          <c:order val="18"/>
          <c:tx>
            <c:strRef>
              <c:f>'CO2 - Cenário RT 1B'!$B$80</c:f>
              <c:strCache>
                <c:ptCount val="1"/>
                <c:pt idx="0">
                  <c:v>Líquido</c:v>
                </c:pt>
              </c:strCache>
            </c:strRef>
          </c:tx>
          <c:spPr>
            <a:solidFill>
              <a:srgbClr val="0000FF"/>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1B'!$C$80:$D$80</c:f>
              <c:numCache>
                <c:formatCode>#,##0</c:formatCode>
                <c:ptCount val="2"/>
                <c:pt idx="1">
                  <c:v>-21262.545896</c:v>
                </c:pt>
              </c:numCache>
            </c:numRef>
          </c:val>
          <c:extLst>
            <c:ext xmlns:c16="http://schemas.microsoft.com/office/drawing/2014/chart" uri="{C3380CC4-5D6E-409C-BE32-E72D297353CC}">
              <c16:uniqueId val="{00000012-6AFE-463D-BE2A-86C09FE7EB4D}"/>
            </c:ext>
          </c:extLst>
        </c:ser>
        <c:dLbls>
          <c:showLegendKey val="0"/>
          <c:showVal val="0"/>
          <c:showCatName val="0"/>
          <c:showSerName val="0"/>
          <c:showPercent val="0"/>
          <c:showBubbleSize val="0"/>
        </c:dLbls>
        <c:gapWidth val="100"/>
        <c:overlap val="100"/>
        <c:axId val="195374464"/>
        <c:axId val="195392640"/>
      </c:barChart>
      <c:catAx>
        <c:axId val="195374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5392640"/>
        <c:crosses val="autoZero"/>
        <c:auto val="1"/>
        <c:lblAlgn val="ctr"/>
        <c:lblOffset val="100"/>
        <c:tickLblSkip val="1"/>
        <c:tickMarkSkip val="1"/>
        <c:noMultiLvlLbl val="0"/>
      </c:catAx>
      <c:valAx>
        <c:axId val="19539264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0131744232360058E-2"/>
              <c:y val="0.363373164990606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53744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73683323631238706"/>
          <c:y val="1.5988349370523305E-2"/>
          <c:w val="0.24322996710015687"/>
          <c:h val="0.98286614435831265"/>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a:t>
            </a:r>
            <a:r>
              <a:rPr lang="de-DE" sz="975" b="1" i="0" u="none" strike="noStrike" kern="1200" baseline="0">
                <a:solidFill>
                  <a:srgbClr val="000000"/>
                </a:solidFill>
                <a:latin typeface="Arial"/>
                <a:ea typeface="Arial"/>
                <a:cs typeface="Arial"/>
              </a:rPr>
              <a:t>de GEE — Destinação</a:t>
            </a:r>
          </a:p>
        </c:rich>
      </c:tx>
      <c:layout>
        <c:manualLayout>
          <c:xMode val="edge"/>
          <c:yMode val="edge"/>
          <c:x val="0.29399615642403876"/>
          <c:y val="1.5172413793103448E-2"/>
        </c:manualLayout>
      </c:layout>
      <c:overlay val="0"/>
      <c:spPr>
        <a:noFill/>
        <a:ln w="25400">
          <a:noFill/>
        </a:ln>
      </c:spPr>
    </c:title>
    <c:autoTitleDeleted val="0"/>
    <c:plotArea>
      <c:layout>
        <c:manualLayout>
          <c:layoutTarget val="inner"/>
          <c:xMode val="edge"/>
          <c:yMode val="edge"/>
          <c:x val="0.18944118530140547"/>
          <c:y val="0.12689655172413788"/>
          <c:w val="0.52588044881482998"/>
          <c:h val="0.76137931034482786"/>
        </c:manualLayout>
      </c:layout>
      <c:barChart>
        <c:barDir val="col"/>
        <c:grouping val="stacked"/>
        <c:varyColors val="0"/>
        <c:ser>
          <c:idx val="0"/>
          <c:order val="0"/>
          <c:tx>
            <c:strRef>
              <c:f>'CO2 - Cenário RT 1B'!$K$62</c:f>
              <c:strCache>
                <c:ptCount val="1"/>
                <c:pt idx="0">
                  <c:v>Resíduos dispersos</c:v>
                </c:pt>
              </c:strCache>
            </c:strRef>
          </c:tx>
          <c:spPr>
            <a:solidFill>
              <a:srgbClr val="FFFF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1B'!$L$62:$M$62</c:f>
              <c:numCache>
                <c:formatCode>General</c:formatCode>
                <c:ptCount val="2"/>
                <c:pt idx="0" formatCode="#,##0">
                  <c:v>0</c:v>
                </c:pt>
              </c:numCache>
            </c:numRef>
          </c:val>
          <c:extLst>
            <c:ext xmlns:c16="http://schemas.microsoft.com/office/drawing/2014/chart" uri="{C3380CC4-5D6E-409C-BE32-E72D297353CC}">
              <c16:uniqueId val="{00000000-D6D8-4226-88A5-CD1F851C5EA8}"/>
            </c:ext>
          </c:extLst>
        </c:ser>
        <c:ser>
          <c:idx val="1"/>
          <c:order val="1"/>
          <c:tx>
            <c:strRef>
              <c:f>'CO2 - Cenário RT 1B'!$K$63</c:f>
              <c:strCache>
                <c:ptCount val="1"/>
                <c:pt idx="0">
                  <c:v>Queima a céu aberto</c:v>
                </c:pt>
              </c:strCache>
            </c:strRef>
          </c:tx>
          <c:spPr>
            <a:solidFill>
              <a:srgbClr val="FF808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1B'!$L$63:$M$63</c:f>
              <c:numCache>
                <c:formatCode>General</c:formatCode>
                <c:ptCount val="2"/>
                <c:pt idx="0" formatCode="#,##0">
                  <c:v>0</c:v>
                </c:pt>
              </c:numCache>
            </c:numRef>
          </c:val>
          <c:extLst>
            <c:ext xmlns:c16="http://schemas.microsoft.com/office/drawing/2014/chart" uri="{C3380CC4-5D6E-409C-BE32-E72D297353CC}">
              <c16:uniqueId val="{00000001-D6D8-4226-88A5-CD1F851C5EA8}"/>
            </c:ext>
          </c:extLst>
        </c:ser>
        <c:ser>
          <c:idx val="2"/>
          <c:order val="2"/>
          <c:tx>
            <c:strRef>
              <c:f>'CO2 - Cenário RT 1B'!$K$64</c:f>
              <c:strCache>
                <c:ptCount val="1"/>
                <c:pt idx="0">
                  <c:v>Lixão não controlado</c:v>
                </c:pt>
              </c:strCache>
            </c:strRef>
          </c:tx>
          <c:spPr>
            <a:solidFill>
              <a:srgbClr val="9933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1B'!$L$64:$M$64</c:f>
              <c:numCache>
                <c:formatCode>General</c:formatCode>
                <c:ptCount val="2"/>
                <c:pt idx="0" formatCode="#,##0">
                  <c:v>0</c:v>
                </c:pt>
              </c:numCache>
            </c:numRef>
          </c:val>
          <c:extLst>
            <c:ext xmlns:c16="http://schemas.microsoft.com/office/drawing/2014/chart" uri="{C3380CC4-5D6E-409C-BE32-E72D297353CC}">
              <c16:uniqueId val="{00000002-D6D8-4226-88A5-CD1F851C5EA8}"/>
            </c:ext>
          </c:extLst>
        </c:ser>
        <c:ser>
          <c:idx val="3"/>
          <c:order val="3"/>
          <c:tx>
            <c:strRef>
              <c:f>'CO2 - Cenário RT 1B'!$K$65</c:f>
              <c:strCache>
                <c:ptCount val="1"/>
                <c:pt idx="0">
                  <c:v>Aterro controlado</c:v>
                </c:pt>
              </c:strCache>
            </c:strRef>
          </c:tx>
          <c:spPr>
            <a:solidFill>
              <a:srgbClr val="99CC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1B'!$L$65:$M$65</c:f>
              <c:numCache>
                <c:formatCode>General</c:formatCode>
                <c:ptCount val="2"/>
                <c:pt idx="0" formatCode="#,##0">
                  <c:v>0</c:v>
                </c:pt>
              </c:numCache>
            </c:numRef>
          </c:val>
          <c:extLst>
            <c:ext xmlns:c16="http://schemas.microsoft.com/office/drawing/2014/chart" uri="{C3380CC4-5D6E-409C-BE32-E72D297353CC}">
              <c16:uniqueId val="{00000003-D6D8-4226-88A5-CD1F851C5EA8}"/>
            </c:ext>
          </c:extLst>
        </c:ser>
        <c:ser>
          <c:idx val="4"/>
          <c:order val="4"/>
          <c:tx>
            <c:strRef>
              <c:f>'CO2 - Cenário RT 1B'!$K$66</c:f>
              <c:strCache>
                <c:ptCount val="1"/>
                <c:pt idx="0">
                  <c:v>Aterro sanitário</c:v>
                </c:pt>
              </c:strCache>
            </c:strRef>
          </c:tx>
          <c:spPr>
            <a:solidFill>
              <a:srgbClr val="FFFF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1B'!$L$66:$M$66</c:f>
              <c:numCache>
                <c:formatCode>General</c:formatCode>
                <c:ptCount val="2"/>
                <c:pt idx="0" formatCode="#,##0">
                  <c:v>53980.946707938478</c:v>
                </c:pt>
              </c:numCache>
            </c:numRef>
          </c:val>
          <c:extLst>
            <c:ext xmlns:c16="http://schemas.microsoft.com/office/drawing/2014/chart" uri="{C3380CC4-5D6E-409C-BE32-E72D297353CC}">
              <c16:uniqueId val="{00000004-D6D8-4226-88A5-CD1F851C5EA8}"/>
            </c:ext>
          </c:extLst>
        </c:ser>
        <c:ser>
          <c:idx val="5"/>
          <c:order val="5"/>
          <c:tx>
            <c:strRef>
              <c:f>'CO2 - Cenário RT 1B'!$K$67</c:f>
              <c:strCache>
                <c:ptCount val="1"/>
                <c:pt idx="0">
                  <c:v>Trat. biol + cobertura at.</c:v>
                </c:pt>
              </c:strCache>
            </c:strRef>
          </c:tx>
          <c:spPr>
            <a:solidFill>
              <a:srgbClr val="FF00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1B'!$L$67:$M$67</c:f>
              <c:numCache>
                <c:formatCode>General</c:formatCode>
                <c:ptCount val="2"/>
                <c:pt idx="0" formatCode="#,##0">
                  <c:v>0</c:v>
                </c:pt>
              </c:numCache>
            </c:numRef>
          </c:val>
          <c:extLst>
            <c:ext xmlns:c16="http://schemas.microsoft.com/office/drawing/2014/chart" uri="{C3380CC4-5D6E-409C-BE32-E72D297353CC}">
              <c16:uniqueId val="{00000005-D6D8-4226-88A5-CD1F851C5EA8}"/>
            </c:ext>
          </c:extLst>
        </c:ser>
        <c:ser>
          <c:idx val="6"/>
          <c:order val="6"/>
          <c:tx>
            <c:strRef>
              <c:f>'CO2 - Cenário RT 1B'!$K$68</c:f>
              <c:strCache>
                <c:ptCount val="1"/>
                <c:pt idx="0">
                  <c:v>CDR seco + rejeito aterro</c:v>
                </c:pt>
              </c:strCache>
            </c:strRef>
          </c:tx>
          <c:spPr>
            <a:solidFill>
              <a:srgbClr val="00808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1B'!$L$68:$M$68</c:f>
              <c:numCache>
                <c:formatCode>General</c:formatCode>
                <c:ptCount val="2"/>
                <c:pt idx="0" formatCode="#,##0">
                  <c:v>9878.871077030024</c:v>
                </c:pt>
              </c:numCache>
            </c:numRef>
          </c:val>
          <c:extLst>
            <c:ext xmlns:c16="http://schemas.microsoft.com/office/drawing/2014/chart" uri="{C3380CC4-5D6E-409C-BE32-E72D297353CC}">
              <c16:uniqueId val="{00000006-D6D8-4226-88A5-CD1F851C5EA8}"/>
            </c:ext>
          </c:extLst>
        </c:ser>
        <c:ser>
          <c:idx val="7"/>
          <c:order val="7"/>
          <c:tx>
            <c:strRef>
              <c:f>'CO2 - Cenário RT 1B'!$K$69</c:f>
              <c:strCache>
                <c:ptCount val="1"/>
                <c:pt idx="0">
                  <c:v>CDR seco + trat. biol.</c:v>
                </c:pt>
              </c:strCache>
            </c:strRef>
          </c:tx>
          <c:spPr>
            <a:solidFill>
              <a:srgbClr val="FF99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1B'!$L$69:$M$69</c:f>
              <c:numCache>
                <c:formatCode>General</c:formatCode>
                <c:ptCount val="2"/>
                <c:pt idx="0" formatCode="#,##0">
                  <c:v>7289.5189941719445</c:v>
                </c:pt>
              </c:numCache>
            </c:numRef>
          </c:val>
          <c:extLst>
            <c:ext xmlns:c16="http://schemas.microsoft.com/office/drawing/2014/chart" uri="{C3380CC4-5D6E-409C-BE32-E72D297353CC}">
              <c16:uniqueId val="{00000007-D6D8-4226-88A5-CD1F851C5EA8}"/>
            </c:ext>
          </c:extLst>
        </c:ser>
        <c:ser>
          <c:idx val="21"/>
          <c:order val="8"/>
          <c:tx>
            <c:strRef>
              <c:f>'CO2 - Cenário RT 1B'!$K$70</c:f>
              <c:strCache>
                <c:ptCount val="1"/>
                <c:pt idx="0">
                  <c:v>CDR seco + CDR org.</c:v>
                </c:pt>
              </c:strCache>
            </c:strRef>
          </c:tx>
          <c:spPr>
            <a:solidFill>
              <a:srgbClr val="00B0F0"/>
            </a:solidFill>
            <a:ln w="12700">
              <a:solidFill>
                <a:srgbClr val="000000"/>
              </a:solidFill>
            </a:ln>
          </c:spPr>
          <c:invertIfNegative val="0"/>
          <c:cat>
            <c:strRef>
              <c:f>'CO2 - Cenário RT 1B'!$L$61:$M$61</c:f>
              <c:strCache>
                <c:ptCount val="2"/>
                <c:pt idx="0">
                  <c:v>Destinação de resíduos</c:v>
                </c:pt>
                <c:pt idx="1">
                  <c:v>Líquido</c:v>
                </c:pt>
              </c:strCache>
            </c:strRef>
          </c:cat>
          <c:val>
            <c:numRef>
              <c:f>'CO2 - Cenário RT 1B'!$L$70:$M$70</c:f>
              <c:numCache>
                <c:formatCode>General</c:formatCode>
                <c:ptCount val="2"/>
                <c:pt idx="0" formatCode="#,##0">
                  <c:v>0</c:v>
                </c:pt>
              </c:numCache>
            </c:numRef>
          </c:val>
          <c:extLst>
            <c:ext xmlns:c16="http://schemas.microsoft.com/office/drawing/2014/chart" uri="{C3380CC4-5D6E-409C-BE32-E72D297353CC}">
              <c16:uniqueId val="{00000008-D6D8-4226-88A5-CD1F851C5EA8}"/>
            </c:ext>
          </c:extLst>
        </c:ser>
        <c:ser>
          <c:idx val="8"/>
          <c:order val="9"/>
          <c:tx>
            <c:strRef>
              <c:f>'CO2 - Cenário RT 1B'!$K$71</c:f>
              <c:strCache>
                <c:ptCount val="1"/>
                <c:pt idx="0">
                  <c:v>Incineração</c:v>
                </c:pt>
              </c:strCache>
            </c:strRef>
          </c:tx>
          <c:spPr>
            <a:solidFill>
              <a:srgbClr val="CCCC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1B'!$L$71:$M$71</c:f>
              <c:numCache>
                <c:formatCode>General</c:formatCode>
                <c:ptCount val="2"/>
                <c:pt idx="0" formatCode="#,##0">
                  <c:v>0</c:v>
                </c:pt>
              </c:numCache>
            </c:numRef>
          </c:val>
          <c:extLst>
            <c:ext xmlns:c16="http://schemas.microsoft.com/office/drawing/2014/chart" uri="{C3380CC4-5D6E-409C-BE32-E72D297353CC}">
              <c16:uniqueId val="{00000009-D6D8-4226-88A5-CD1F851C5EA8}"/>
            </c:ext>
          </c:extLst>
        </c:ser>
        <c:ser>
          <c:idx val="9"/>
          <c:order val="10"/>
          <c:tx>
            <c:strRef>
              <c:f>'CO2 - Cenário RT 1B'!$K$72</c:f>
              <c:strCache>
                <c:ptCount val="1"/>
                <c:pt idx="0">
                  <c:v>Débitos</c:v>
                </c:pt>
              </c:strCache>
            </c:strRef>
          </c:tx>
          <c:spPr>
            <a:noFill/>
            <a:ln w="25400">
              <a:noFill/>
            </a:ln>
          </c:spPr>
          <c:invertIfNegative val="0"/>
          <c:cat>
            <c:strRef>
              <c:f>'CO2 - Cenário RT 1B'!$L$61:$M$61</c:f>
              <c:strCache>
                <c:ptCount val="2"/>
                <c:pt idx="0">
                  <c:v>Destinação de resíduos</c:v>
                </c:pt>
                <c:pt idx="1">
                  <c:v>Líquido</c:v>
                </c:pt>
              </c:strCache>
            </c:strRef>
          </c:cat>
          <c:val>
            <c:numRef>
              <c:f>'CO2 - Cenário RT 1B'!$L$72:$M$72</c:f>
              <c:numCache>
                <c:formatCode>General</c:formatCode>
                <c:ptCount val="2"/>
              </c:numCache>
            </c:numRef>
          </c:val>
          <c:extLst>
            <c:ext xmlns:c16="http://schemas.microsoft.com/office/drawing/2014/chart" uri="{C3380CC4-5D6E-409C-BE32-E72D297353CC}">
              <c16:uniqueId val="{0000000A-D6D8-4226-88A5-CD1F851C5EA8}"/>
            </c:ext>
          </c:extLst>
        </c:ser>
        <c:ser>
          <c:idx val="10"/>
          <c:order val="11"/>
          <c:tx>
            <c:strRef>
              <c:f>'CO2 - Cenário RT 1B'!$K$73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1B'!$L$73:$M$73</c:f>
              <c:numCache>
                <c:formatCode>General</c:formatCode>
                <c:ptCount val="2"/>
                <c:pt idx="0" formatCode="#,##0">
                  <c:v>0</c:v>
                </c:pt>
              </c:numCache>
            </c:numRef>
          </c:val>
          <c:extLst>
            <c:ext xmlns:c16="http://schemas.microsoft.com/office/drawing/2014/chart" uri="{C3380CC4-5D6E-409C-BE32-E72D297353CC}">
              <c16:uniqueId val="{0000000B-D6D8-4226-88A5-CD1F851C5EA8}"/>
            </c:ext>
          </c:extLst>
        </c:ser>
        <c:ser>
          <c:idx val="11"/>
          <c:order val="12"/>
          <c:tx>
            <c:strRef>
              <c:f>'CO2 - Cenário RT 1B'!$K$74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1B'!$L$74:$M$74</c:f>
              <c:numCache>
                <c:formatCode>General</c:formatCode>
                <c:ptCount val="2"/>
                <c:pt idx="0" formatCode="#,##0">
                  <c:v>0</c:v>
                </c:pt>
              </c:numCache>
            </c:numRef>
          </c:val>
          <c:extLst>
            <c:ext xmlns:c16="http://schemas.microsoft.com/office/drawing/2014/chart" uri="{C3380CC4-5D6E-409C-BE32-E72D297353CC}">
              <c16:uniqueId val="{0000000C-D6D8-4226-88A5-CD1F851C5EA8}"/>
            </c:ext>
          </c:extLst>
        </c:ser>
        <c:ser>
          <c:idx val="12"/>
          <c:order val="13"/>
          <c:tx>
            <c:strRef>
              <c:f>'CO2 - Cenário RT 1B'!$K$75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1B'!$L$75:$M$75</c:f>
              <c:numCache>
                <c:formatCode>General</c:formatCode>
                <c:ptCount val="2"/>
                <c:pt idx="0" formatCode="#,##0">
                  <c:v>0</c:v>
                </c:pt>
              </c:numCache>
            </c:numRef>
          </c:val>
          <c:extLst>
            <c:ext xmlns:c16="http://schemas.microsoft.com/office/drawing/2014/chart" uri="{C3380CC4-5D6E-409C-BE32-E72D297353CC}">
              <c16:uniqueId val="{0000000D-D6D8-4226-88A5-CD1F851C5EA8}"/>
            </c:ext>
          </c:extLst>
        </c:ser>
        <c:ser>
          <c:idx val="13"/>
          <c:order val="14"/>
          <c:tx>
            <c:strRef>
              <c:f>'CO2 - Cenário RT 1B'!$K$76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1B'!$L$76:$M$76</c:f>
              <c:numCache>
                <c:formatCode>General</c:formatCode>
                <c:ptCount val="2"/>
                <c:pt idx="0" formatCode="#,##0">
                  <c:v>0</c:v>
                </c:pt>
              </c:numCache>
            </c:numRef>
          </c:val>
          <c:extLst>
            <c:ext xmlns:c16="http://schemas.microsoft.com/office/drawing/2014/chart" uri="{C3380CC4-5D6E-409C-BE32-E72D297353CC}">
              <c16:uniqueId val="{0000000E-D6D8-4226-88A5-CD1F851C5EA8}"/>
            </c:ext>
          </c:extLst>
        </c:ser>
        <c:ser>
          <c:idx val="14"/>
          <c:order val="15"/>
          <c:tx>
            <c:strRef>
              <c:f>'CO2 - Cenário RT 1B'!$K$77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1B'!$L$77:$M$77</c:f>
              <c:numCache>
                <c:formatCode>General</c:formatCode>
                <c:ptCount val="2"/>
                <c:pt idx="0" formatCode="#,##0">
                  <c:v>0</c:v>
                </c:pt>
              </c:numCache>
            </c:numRef>
          </c:val>
          <c:extLst>
            <c:ext xmlns:c16="http://schemas.microsoft.com/office/drawing/2014/chart" uri="{C3380CC4-5D6E-409C-BE32-E72D297353CC}">
              <c16:uniqueId val="{0000000F-D6D8-4226-88A5-CD1F851C5EA8}"/>
            </c:ext>
          </c:extLst>
        </c:ser>
        <c:ser>
          <c:idx val="15"/>
          <c:order val="16"/>
          <c:tx>
            <c:strRef>
              <c:f>'CO2 - Cenário RT 1B'!$K$78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1B'!$L$78:$M$78</c:f>
              <c:numCache>
                <c:formatCode>General</c:formatCode>
                <c:ptCount val="2"/>
                <c:pt idx="0" formatCode="#,##0">
                  <c:v>0</c:v>
                </c:pt>
              </c:numCache>
            </c:numRef>
          </c:val>
          <c:extLst>
            <c:ext xmlns:c16="http://schemas.microsoft.com/office/drawing/2014/chart" uri="{C3380CC4-5D6E-409C-BE32-E72D297353CC}">
              <c16:uniqueId val="{00000010-D6D8-4226-88A5-CD1F851C5EA8}"/>
            </c:ext>
          </c:extLst>
        </c:ser>
        <c:ser>
          <c:idx val="16"/>
          <c:order val="17"/>
          <c:tx>
            <c:strRef>
              <c:f>'CO2 - Cenário RT 1B'!$K$79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1B'!$L$79:$M$79</c:f>
              <c:numCache>
                <c:formatCode>General</c:formatCode>
                <c:ptCount val="2"/>
                <c:pt idx="0" formatCode="#,##0">
                  <c:v>-8213.3557915298534</c:v>
                </c:pt>
              </c:numCache>
            </c:numRef>
          </c:val>
          <c:extLst>
            <c:ext xmlns:c16="http://schemas.microsoft.com/office/drawing/2014/chart" uri="{C3380CC4-5D6E-409C-BE32-E72D297353CC}">
              <c16:uniqueId val="{00000011-D6D8-4226-88A5-CD1F851C5EA8}"/>
            </c:ext>
          </c:extLst>
        </c:ser>
        <c:ser>
          <c:idx val="17"/>
          <c:order val="18"/>
          <c:tx>
            <c:strRef>
              <c:f>'CO2 - Cenário RT 1B'!$K$80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1B'!$L$80:$M$80</c:f>
              <c:numCache>
                <c:formatCode>General</c:formatCode>
                <c:ptCount val="2"/>
                <c:pt idx="0" formatCode="#,##0">
                  <c:v>-41186.708432916232</c:v>
                </c:pt>
              </c:numCache>
            </c:numRef>
          </c:val>
          <c:extLst>
            <c:ext xmlns:c16="http://schemas.microsoft.com/office/drawing/2014/chart" uri="{C3380CC4-5D6E-409C-BE32-E72D297353CC}">
              <c16:uniqueId val="{00000012-D6D8-4226-88A5-CD1F851C5EA8}"/>
            </c:ext>
          </c:extLst>
        </c:ser>
        <c:ser>
          <c:idx val="22"/>
          <c:order val="19"/>
          <c:tx>
            <c:strRef>
              <c:f>'CO2 - Cenário RT 1B'!$K$81</c:f>
              <c:strCache>
                <c:ptCount val="1"/>
                <c:pt idx="0">
                  <c:v>CDR seco + CDR org.</c:v>
                </c:pt>
              </c:strCache>
            </c:strRef>
          </c:tx>
          <c:spPr>
            <a:pattFill prst="wdUpDiag">
              <a:fgClr>
                <a:srgbClr val="00B0F0"/>
              </a:fgClr>
              <a:bgClr>
                <a:schemeClr val="bg1"/>
              </a:bgClr>
            </a:pattFill>
            <a:ln w="12700">
              <a:solidFill>
                <a:schemeClr val="tx1"/>
              </a:solidFill>
            </a:ln>
          </c:spPr>
          <c:invertIfNegative val="0"/>
          <c:cat>
            <c:strRef>
              <c:f>'CO2 - Cenário RT 1B'!$L$61:$M$61</c:f>
              <c:strCache>
                <c:ptCount val="2"/>
                <c:pt idx="0">
                  <c:v>Destinação de resíduos</c:v>
                </c:pt>
                <c:pt idx="1">
                  <c:v>Líquido</c:v>
                </c:pt>
              </c:strCache>
            </c:strRef>
          </c:cat>
          <c:val>
            <c:numRef>
              <c:f>'CO2 - Cenário RT 1B'!$L$81:$M$81</c:f>
              <c:numCache>
                <c:formatCode>General</c:formatCode>
                <c:ptCount val="2"/>
                <c:pt idx="0" formatCode="#,##0">
                  <c:v>0</c:v>
                </c:pt>
              </c:numCache>
            </c:numRef>
          </c:val>
          <c:extLst>
            <c:ext xmlns:c16="http://schemas.microsoft.com/office/drawing/2014/chart" uri="{C3380CC4-5D6E-409C-BE32-E72D297353CC}">
              <c16:uniqueId val="{00000013-D6D8-4226-88A5-CD1F851C5EA8}"/>
            </c:ext>
          </c:extLst>
        </c:ser>
        <c:ser>
          <c:idx val="18"/>
          <c:order val="20"/>
          <c:tx>
            <c:strRef>
              <c:f>'CO2 - Cenário RT 1B'!$K$82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1B'!$L$82:$M$82</c:f>
              <c:numCache>
                <c:formatCode>General</c:formatCode>
                <c:ptCount val="2"/>
                <c:pt idx="0" formatCode="#,##0">
                  <c:v>0</c:v>
                </c:pt>
              </c:numCache>
            </c:numRef>
          </c:val>
          <c:extLst>
            <c:ext xmlns:c16="http://schemas.microsoft.com/office/drawing/2014/chart" uri="{C3380CC4-5D6E-409C-BE32-E72D297353CC}">
              <c16:uniqueId val="{00000014-D6D8-4226-88A5-CD1F851C5EA8}"/>
            </c:ext>
          </c:extLst>
        </c:ser>
        <c:ser>
          <c:idx val="19"/>
          <c:order val="21"/>
          <c:tx>
            <c:strRef>
              <c:f>'CO2 - Cenário RT 1B'!$K$83</c:f>
              <c:strCache>
                <c:ptCount val="1"/>
                <c:pt idx="0">
                  <c:v>Créditos</c:v>
                </c:pt>
              </c:strCache>
            </c:strRef>
          </c:tx>
          <c:spPr>
            <a:noFill/>
            <a:ln w="25400">
              <a:noFill/>
            </a:ln>
          </c:spPr>
          <c:invertIfNegative val="0"/>
          <c:cat>
            <c:strRef>
              <c:f>'CO2 - Cenário RT 1B'!$L$61:$M$61</c:f>
              <c:strCache>
                <c:ptCount val="2"/>
                <c:pt idx="0">
                  <c:v>Destinação de resíduos</c:v>
                </c:pt>
                <c:pt idx="1">
                  <c:v>Líquido</c:v>
                </c:pt>
              </c:strCache>
            </c:strRef>
          </c:cat>
          <c:val>
            <c:numRef>
              <c:f>'CO2 - Cenário RT 1B'!$L$83:$M$83</c:f>
              <c:numCache>
                <c:formatCode>General</c:formatCode>
                <c:ptCount val="2"/>
              </c:numCache>
            </c:numRef>
          </c:val>
          <c:extLst>
            <c:ext xmlns:c16="http://schemas.microsoft.com/office/drawing/2014/chart" uri="{C3380CC4-5D6E-409C-BE32-E72D297353CC}">
              <c16:uniqueId val="{00000015-D6D8-4226-88A5-CD1F851C5EA8}"/>
            </c:ext>
          </c:extLst>
        </c:ser>
        <c:ser>
          <c:idx val="20"/>
          <c:order val="22"/>
          <c:tx>
            <c:strRef>
              <c:f>'CO2 - Cenário RT 1B'!$K$84</c:f>
              <c:strCache>
                <c:ptCount val="1"/>
                <c:pt idx="0">
                  <c:v>Líquido</c:v>
                </c:pt>
              </c:strCache>
            </c:strRef>
          </c:tx>
          <c:spPr>
            <a:solidFill>
              <a:srgbClr val="0000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1B'!$L$84:$M$84</c:f>
              <c:numCache>
                <c:formatCode>#,##0</c:formatCode>
                <c:ptCount val="2"/>
                <c:pt idx="1">
                  <c:v>21749.272554694362</c:v>
                </c:pt>
              </c:numCache>
            </c:numRef>
          </c:val>
          <c:extLst>
            <c:ext xmlns:c16="http://schemas.microsoft.com/office/drawing/2014/chart" uri="{C3380CC4-5D6E-409C-BE32-E72D297353CC}">
              <c16:uniqueId val="{00000016-D6D8-4226-88A5-CD1F851C5EA8}"/>
            </c:ext>
          </c:extLst>
        </c:ser>
        <c:dLbls>
          <c:showLegendKey val="0"/>
          <c:showVal val="0"/>
          <c:showCatName val="0"/>
          <c:showSerName val="0"/>
          <c:showPercent val="0"/>
          <c:showBubbleSize val="0"/>
        </c:dLbls>
        <c:gapWidth val="100"/>
        <c:overlap val="100"/>
        <c:axId val="196662016"/>
        <c:axId val="196663552"/>
      </c:barChart>
      <c:catAx>
        <c:axId val="196662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663552"/>
        <c:crosses val="autoZero"/>
        <c:auto val="1"/>
        <c:lblAlgn val="ctr"/>
        <c:lblOffset val="100"/>
        <c:tickLblSkip val="1"/>
        <c:tickMarkSkip val="1"/>
        <c:noMultiLvlLbl val="0"/>
      </c:catAx>
      <c:valAx>
        <c:axId val="196663552"/>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12774921771833E-3"/>
              <c:y val="0.375172293572030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662016"/>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805585816659091"/>
          <c:y val="1.379406613671616E-3"/>
          <c:w val="0.23982592382137799"/>
          <c:h val="0.98536066700002301"/>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1B'!$G$53</c:f>
              <c:strCache>
                <c:ptCount val="1"/>
                <c:pt idx="0">
                  <c:v>Débitos</c:v>
                </c:pt>
              </c:strCache>
            </c:strRef>
          </c:tx>
          <c:spPr>
            <a:solidFill>
              <a:srgbClr val="FFCC99"/>
            </a:solidFill>
            <a:ln w="12700">
              <a:solidFill>
                <a:srgbClr val="000000"/>
              </a:solidFill>
              <a:prstDash val="solid"/>
            </a:ln>
          </c:spPr>
          <c:invertIfNegative val="0"/>
          <c:cat>
            <c:strRef>
              <c:f>'CO2 - Cenário RT 1B'!$H$52:$J$52</c:f>
              <c:strCache>
                <c:ptCount val="3"/>
                <c:pt idx="0">
                  <c:v>Resíduo reciclado</c:v>
                </c:pt>
                <c:pt idx="1">
                  <c:v>Destinação de resíduos</c:v>
                </c:pt>
                <c:pt idx="2">
                  <c:v>RSU total</c:v>
                </c:pt>
              </c:strCache>
            </c:strRef>
          </c:cat>
          <c:val>
            <c:numRef>
              <c:f>'CO2 - Cenário RT 1B'!$H$53:$J$53</c:f>
              <c:numCache>
                <c:formatCode>#,##0</c:formatCode>
                <c:ptCount val="3"/>
                <c:pt idx="0">
                  <c:v>10561.463048000001</c:v>
                </c:pt>
                <c:pt idx="1">
                  <c:v>71149.336779140445</c:v>
                </c:pt>
                <c:pt idx="2">
                  <c:v>81710.79982714045</c:v>
                </c:pt>
              </c:numCache>
            </c:numRef>
          </c:val>
          <c:extLst>
            <c:ext xmlns:c16="http://schemas.microsoft.com/office/drawing/2014/chart" uri="{C3380CC4-5D6E-409C-BE32-E72D297353CC}">
              <c16:uniqueId val="{00000000-6497-4BB2-9A84-A49194476909}"/>
            </c:ext>
          </c:extLst>
        </c:ser>
        <c:ser>
          <c:idx val="1"/>
          <c:order val="1"/>
          <c:tx>
            <c:strRef>
              <c:f>'CO2 - Cenário RT 1B'!$G$54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1B'!$H$52:$J$52</c:f>
              <c:strCache>
                <c:ptCount val="3"/>
                <c:pt idx="0">
                  <c:v>Resíduo reciclado</c:v>
                </c:pt>
                <c:pt idx="1">
                  <c:v>Destinação de resíduos</c:v>
                </c:pt>
                <c:pt idx="2">
                  <c:v>RSU total</c:v>
                </c:pt>
              </c:strCache>
            </c:strRef>
          </c:cat>
          <c:val>
            <c:numRef>
              <c:f>'CO2 - Cenário RT 1B'!$H$54:$J$54</c:f>
              <c:numCache>
                <c:formatCode>#,##0</c:formatCode>
                <c:ptCount val="3"/>
                <c:pt idx="0">
                  <c:v>-31824.008943999997</c:v>
                </c:pt>
                <c:pt idx="1">
                  <c:v>-49400.064224446083</c:v>
                </c:pt>
                <c:pt idx="2">
                  <c:v>-81224.073168446077</c:v>
                </c:pt>
              </c:numCache>
            </c:numRef>
          </c:val>
          <c:extLst>
            <c:ext xmlns:c16="http://schemas.microsoft.com/office/drawing/2014/chart" uri="{C3380CC4-5D6E-409C-BE32-E72D297353CC}">
              <c16:uniqueId val="{00000001-6497-4BB2-9A84-A49194476909}"/>
            </c:ext>
          </c:extLst>
        </c:ser>
        <c:ser>
          <c:idx val="2"/>
          <c:order val="2"/>
          <c:tx>
            <c:strRef>
              <c:f>'CO2 - Cenário RT 1B'!$G$55</c:f>
              <c:strCache>
                <c:ptCount val="1"/>
                <c:pt idx="0">
                  <c:v>Líquido</c:v>
                </c:pt>
              </c:strCache>
            </c:strRef>
          </c:tx>
          <c:spPr>
            <a:solidFill>
              <a:srgbClr val="0000FF"/>
            </a:solidFill>
            <a:ln w="12700">
              <a:solidFill>
                <a:srgbClr val="000000"/>
              </a:solidFill>
              <a:prstDash val="solid"/>
            </a:ln>
          </c:spPr>
          <c:invertIfNegative val="0"/>
          <c:cat>
            <c:strRef>
              <c:f>'CO2 - Cenário RT 1B'!$H$52:$J$52</c:f>
              <c:strCache>
                <c:ptCount val="3"/>
                <c:pt idx="0">
                  <c:v>Resíduo reciclado</c:v>
                </c:pt>
                <c:pt idx="1">
                  <c:v>Destinação de resíduos</c:v>
                </c:pt>
                <c:pt idx="2">
                  <c:v>RSU total</c:v>
                </c:pt>
              </c:strCache>
            </c:strRef>
          </c:cat>
          <c:val>
            <c:numRef>
              <c:f>'CO2 - Cenário RT 1B'!$H$55:$J$55</c:f>
              <c:numCache>
                <c:formatCode>#,##0</c:formatCode>
                <c:ptCount val="3"/>
                <c:pt idx="0">
                  <c:v>-21262.545895999996</c:v>
                </c:pt>
                <c:pt idx="1">
                  <c:v>21749.272554694362</c:v>
                </c:pt>
                <c:pt idx="2">
                  <c:v>486.72665869436605</c:v>
                </c:pt>
              </c:numCache>
            </c:numRef>
          </c:val>
          <c:extLst>
            <c:ext xmlns:c16="http://schemas.microsoft.com/office/drawing/2014/chart" uri="{C3380CC4-5D6E-409C-BE32-E72D297353CC}">
              <c16:uniqueId val="{00000002-6497-4BB2-9A84-A49194476909}"/>
            </c:ext>
          </c:extLst>
        </c:ser>
        <c:dLbls>
          <c:showLegendKey val="0"/>
          <c:showVal val="0"/>
          <c:showCatName val="0"/>
          <c:showSerName val="0"/>
          <c:showPercent val="0"/>
          <c:showBubbleSize val="0"/>
        </c:dLbls>
        <c:gapWidth val="100"/>
        <c:axId val="197125248"/>
        <c:axId val="197126784"/>
      </c:barChart>
      <c:catAx>
        <c:axId val="1971252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6784"/>
        <c:crosses val="autoZero"/>
        <c:auto val="1"/>
        <c:lblAlgn val="ctr"/>
        <c:lblOffset val="50"/>
        <c:tickLblSkip val="1"/>
        <c:tickMarkSkip val="1"/>
        <c:noMultiLvlLbl val="0"/>
      </c:catAx>
      <c:valAx>
        <c:axId val="197126784"/>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073021116594712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5248"/>
        <c:crosses val="autoZero"/>
        <c:crossBetween val="between"/>
      </c:valAx>
      <c:spPr>
        <a:noFill/>
        <a:ln w="3175">
          <a:solidFill>
            <a:srgbClr val="000000"/>
          </a:solidFill>
          <a:prstDash val="solid"/>
        </a:ln>
      </c:spPr>
    </c:plotArea>
    <c:legend>
      <c:legendPos val="r"/>
      <c:layout>
        <c:manualLayout>
          <c:xMode val="edge"/>
          <c:yMode val="edge"/>
          <c:x val="0.17863904063031819"/>
          <c:y val="4.003724394785847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60248119443095"/>
          <c:y val="1.3496932515337422E-2"/>
        </c:manualLayout>
      </c:layout>
      <c:overlay val="0"/>
      <c:spPr>
        <a:noFill/>
        <a:ln w="25400">
          <a:noFill/>
        </a:ln>
      </c:spPr>
    </c:title>
    <c:autoTitleDeleted val="0"/>
    <c:plotArea>
      <c:layout>
        <c:manualLayout>
          <c:layoutTarget val="inner"/>
          <c:xMode val="edge"/>
          <c:yMode val="edge"/>
          <c:x val="0.18803436241909513"/>
          <c:y val="0.1116564417177914"/>
          <c:w val="0.78632551557076091"/>
          <c:h val="0.5766871165644176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1C'!$B$7:$B$15,'CO2 - Cenário RT 1C'!$B$18:$B$27)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1C'!$C$7:$C$15,'CO2 - Cenário RT 1C'!$C$18:$C$27)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0</c:v>
                </c:pt>
                <c:pt idx="13">
                  <c:v>45945.389699999992</c:v>
                </c:pt>
                <c:pt idx="14">
                  <c:v>0</c:v>
                </c:pt>
                <c:pt idx="15">
                  <c:v>16409.067749999998</c:v>
                </c:pt>
                <c:pt idx="16">
                  <c:v>68918.08455</c:v>
                </c:pt>
                <c:pt idx="17">
                  <c:v>0</c:v>
                </c:pt>
                <c:pt idx="18">
                  <c:v>0</c:v>
                </c:pt>
              </c:numCache>
            </c:numRef>
          </c:val>
          <c:extLst>
            <c:ext xmlns:c16="http://schemas.microsoft.com/office/drawing/2014/chart" uri="{C3380CC4-5D6E-409C-BE32-E72D297353CC}">
              <c16:uniqueId val="{00000000-62B0-45A1-B860-EFFFA2C46874}"/>
            </c:ext>
          </c:extLst>
        </c:ser>
        <c:dLbls>
          <c:showLegendKey val="0"/>
          <c:showVal val="0"/>
          <c:showCatName val="0"/>
          <c:showSerName val="0"/>
          <c:showPercent val="0"/>
          <c:showBubbleSize val="0"/>
        </c:dLbls>
        <c:gapWidth val="100"/>
        <c:axId val="196595712"/>
        <c:axId val="196597248"/>
      </c:barChart>
      <c:catAx>
        <c:axId val="19659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50" b="0" i="0" u="none" strike="noStrike" baseline="0">
                <a:solidFill>
                  <a:srgbClr val="000000"/>
                </a:solidFill>
                <a:latin typeface="Arial"/>
                <a:ea typeface="Arial"/>
                <a:cs typeface="Arial"/>
              </a:defRPr>
            </a:pPr>
            <a:endParaRPr lang="pt-BR"/>
          </a:p>
        </c:txPr>
        <c:crossAx val="196597248"/>
        <c:crosses val="autoZero"/>
        <c:auto val="1"/>
        <c:lblAlgn val="ctr"/>
        <c:lblOffset val="100"/>
        <c:tickLblSkip val="1"/>
        <c:tickMarkSkip val="1"/>
        <c:noMultiLvlLbl val="0"/>
      </c:catAx>
      <c:valAx>
        <c:axId val="19659724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46353467727501E-2"/>
              <c:y val="0.366871165644171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659571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GEE </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1C'!$B$62</c:f>
              <c:strCache>
                <c:ptCount val="1"/>
                <c:pt idx="0">
                  <c:v>Resíduos de alimentos</c:v>
                </c:pt>
              </c:strCache>
            </c:strRef>
          </c:tx>
          <c:spPr>
            <a:solidFill>
              <a:srgbClr val="99CC0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1C'!$C$62:$D$62</c:f>
              <c:numCache>
                <c:formatCode>General</c:formatCode>
                <c:ptCount val="2"/>
                <c:pt idx="0" formatCode="#,##0">
                  <c:v>0</c:v>
                </c:pt>
              </c:numCache>
            </c:numRef>
          </c:val>
          <c:extLst>
            <c:ext xmlns:c16="http://schemas.microsoft.com/office/drawing/2014/chart" uri="{C3380CC4-5D6E-409C-BE32-E72D297353CC}">
              <c16:uniqueId val="{00000000-3915-496C-9F4E-0AC3A7A6D46B}"/>
            </c:ext>
          </c:extLst>
        </c:ser>
        <c:ser>
          <c:idx val="1"/>
          <c:order val="1"/>
          <c:tx>
            <c:strRef>
              <c:f>'CO2 - Cenário RT 1C'!$B$63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1C'!$C$63:$D$63</c:f>
              <c:numCache>
                <c:formatCode>General</c:formatCode>
                <c:ptCount val="2"/>
                <c:pt idx="0" formatCode="#,##0">
                  <c:v>0</c:v>
                </c:pt>
              </c:numCache>
            </c:numRef>
          </c:val>
          <c:extLst>
            <c:ext xmlns:c16="http://schemas.microsoft.com/office/drawing/2014/chart" uri="{C3380CC4-5D6E-409C-BE32-E72D297353CC}">
              <c16:uniqueId val="{00000001-3915-496C-9F4E-0AC3A7A6D46B}"/>
            </c:ext>
          </c:extLst>
        </c:ser>
        <c:ser>
          <c:idx val="2"/>
          <c:order val="2"/>
          <c:tx>
            <c:strRef>
              <c:f>'CO2 - Cenário RT 1C'!$B$64</c:f>
              <c:strCache>
                <c:ptCount val="1"/>
                <c:pt idx="0">
                  <c:v>Papel, papelão</c:v>
                </c:pt>
              </c:strCache>
            </c:strRef>
          </c:tx>
          <c:spPr>
            <a:solidFill>
              <a:srgbClr val="CC99FF"/>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1C'!$C$64:$D$64</c:f>
              <c:numCache>
                <c:formatCode>General</c:formatCode>
                <c:ptCount val="2"/>
                <c:pt idx="0" formatCode="#,##0">
                  <c:v>7999.4112480000003</c:v>
                </c:pt>
              </c:numCache>
            </c:numRef>
          </c:val>
          <c:extLst>
            <c:ext xmlns:c16="http://schemas.microsoft.com/office/drawing/2014/chart" uri="{C3380CC4-5D6E-409C-BE32-E72D297353CC}">
              <c16:uniqueId val="{00000002-3915-496C-9F4E-0AC3A7A6D46B}"/>
            </c:ext>
          </c:extLst>
        </c:ser>
        <c:ser>
          <c:idx val="3"/>
          <c:order val="3"/>
          <c:tx>
            <c:strRef>
              <c:f>'CO2 - Cenário RT 1C'!$B$65</c:f>
              <c:strCache>
                <c:ptCount val="1"/>
                <c:pt idx="0">
                  <c:v>Plásticos</c:v>
                </c:pt>
              </c:strCache>
            </c:strRef>
          </c:tx>
          <c:spPr>
            <a:solidFill>
              <a:srgbClr val="FFFF0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1C'!$C$65:$D$65</c:f>
              <c:numCache>
                <c:formatCode>General</c:formatCode>
                <c:ptCount val="2"/>
                <c:pt idx="0" formatCode="#,##0">
                  <c:v>1777.8420000000001</c:v>
                </c:pt>
              </c:numCache>
            </c:numRef>
          </c:val>
          <c:extLst>
            <c:ext xmlns:c16="http://schemas.microsoft.com/office/drawing/2014/chart" uri="{C3380CC4-5D6E-409C-BE32-E72D297353CC}">
              <c16:uniqueId val="{00000003-3915-496C-9F4E-0AC3A7A6D46B}"/>
            </c:ext>
          </c:extLst>
        </c:ser>
        <c:ser>
          <c:idx val="4"/>
          <c:order val="4"/>
          <c:tx>
            <c:strRef>
              <c:f>'CO2 - Cenário RT 1C'!$B$66</c:f>
              <c:strCache>
                <c:ptCount val="1"/>
                <c:pt idx="0">
                  <c:v>Vidros</c:v>
                </c:pt>
              </c:strCache>
            </c:strRef>
          </c:tx>
          <c:spPr>
            <a:solidFill>
              <a:srgbClr val="FF99CC"/>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1C'!$C$66:$D$66</c:f>
              <c:numCache>
                <c:formatCode>General</c:formatCode>
                <c:ptCount val="2"/>
                <c:pt idx="0" formatCode="#,##0">
                  <c:v>0</c:v>
                </c:pt>
              </c:numCache>
            </c:numRef>
          </c:val>
          <c:extLst>
            <c:ext xmlns:c16="http://schemas.microsoft.com/office/drawing/2014/chart" uri="{C3380CC4-5D6E-409C-BE32-E72D297353CC}">
              <c16:uniqueId val="{00000004-3915-496C-9F4E-0AC3A7A6D46B}"/>
            </c:ext>
          </c:extLst>
        </c:ser>
        <c:ser>
          <c:idx val="5"/>
          <c:order val="5"/>
          <c:tx>
            <c:strRef>
              <c:f>'CO2 - Cenário RT 1C'!$B$67</c:f>
              <c:strCache>
                <c:ptCount val="1"/>
                <c:pt idx="0">
                  <c:v>Metais ferrosos</c:v>
                </c:pt>
              </c:strCache>
            </c:strRef>
          </c:tx>
          <c:spPr>
            <a:solidFill>
              <a:srgbClr val="C0C0C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1C'!$C$67:$D$67</c:f>
              <c:numCache>
                <c:formatCode>General</c:formatCode>
                <c:ptCount val="2"/>
                <c:pt idx="0" formatCode="#,##0">
                  <c:v>204.16639999999998</c:v>
                </c:pt>
              </c:numCache>
            </c:numRef>
          </c:val>
          <c:extLst>
            <c:ext xmlns:c16="http://schemas.microsoft.com/office/drawing/2014/chart" uri="{C3380CC4-5D6E-409C-BE32-E72D297353CC}">
              <c16:uniqueId val="{00000005-3915-496C-9F4E-0AC3A7A6D46B}"/>
            </c:ext>
          </c:extLst>
        </c:ser>
        <c:ser>
          <c:idx val="6"/>
          <c:order val="6"/>
          <c:tx>
            <c:strRef>
              <c:f>'CO2 - Cenário RT 1C'!$B$68</c:f>
              <c:strCache>
                <c:ptCount val="1"/>
                <c:pt idx="0">
                  <c:v>Alumínio</c:v>
                </c:pt>
              </c:strCache>
            </c:strRef>
          </c:tx>
          <c:spPr>
            <a:solidFill>
              <a:srgbClr val="993366"/>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1C'!$C$68:$D$68</c:f>
              <c:numCache>
                <c:formatCode>General</c:formatCode>
                <c:ptCount val="2"/>
                <c:pt idx="0" formatCode="#,##0">
                  <c:v>580.04339999999991</c:v>
                </c:pt>
              </c:numCache>
            </c:numRef>
          </c:val>
          <c:extLst>
            <c:ext xmlns:c16="http://schemas.microsoft.com/office/drawing/2014/chart" uri="{C3380CC4-5D6E-409C-BE32-E72D297353CC}">
              <c16:uniqueId val="{00000006-3915-496C-9F4E-0AC3A7A6D46B}"/>
            </c:ext>
          </c:extLst>
        </c:ser>
        <c:ser>
          <c:idx val="7"/>
          <c:order val="7"/>
          <c:tx>
            <c:strRef>
              <c:f>'CO2 - Cenário RT 1C'!$B$69</c:f>
              <c:strCache>
                <c:ptCount val="1"/>
                <c:pt idx="0">
                  <c:v>Têxteis</c:v>
                </c:pt>
              </c:strCache>
            </c:strRef>
          </c:tx>
          <c:spPr>
            <a:solidFill>
              <a:srgbClr val="9999FF"/>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1C'!$C$69:$D$69</c:f>
              <c:numCache>
                <c:formatCode>General</c:formatCode>
                <c:ptCount val="2"/>
                <c:pt idx="0" formatCode="#,##0">
                  <c:v>0</c:v>
                </c:pt>
              </c:numCache>
            </c:numRef>
          </c:val>
          <c:extLst>
            <c:ext xmlns:c16="http://schemas.microsoft.com/office/drawing/2014/chart" uri="{C3380CC4-5D6E-409C-BE32-E72D297353CC}">
              <c16:uniqueId val="{00000007-3915-496C-9F4E-0AC3A7A6D46B}"/>
            </c:ext>
          </c:extLst>
        </c:ser>
        <c:ser>
          <c:idx val="8"/>
          <c:order val="8"/>
          <c:tx>
            <c:strRef>
              <c:f>'CO2 - Cenário RT 1C'!$B$70</c:f>
              <c:strCache>
                <c:ptCount val="1"/>
                <c:pt idx="0">
                  <c:v>Débitos</c:v>
                </c:pt>
              </c:strCache>
            </c:strRef>
          </c:tx>
          <c:spPr>
            <a:noFill/>
            <a:ln w="25400">
              <a:noFill/>
            </a:ln>
          </c:spPr>
          <c:invertIfNegative val="0"/>
          <c:cat>
            <c:strRef>
              <c:f>'CO2 - Cenário RT 1C'!$C$61:$D$61</c:f>
              <c:strCache>
                <c:ptCount val="2"/>
                <c:pt idx="0">
                  <c:v>Resíduos reciclados</c:v>
                </c:pt>
                <c:pt idx="1">
                  <c:v>Líquido</c:v>
                </c:pt>
              </c:strCache>
            </c:strRef>
          </c:cat>
          <c:val>
            <c:numRef>
              <c:f>'CO2 - Cenário RT 1C'!$C$70:$D$70</c:f>
              <c:numCache>
                <c:formatCode>#,##0</c:formatCode>
                <c:ptCount val="2"/>
              </c:numCache>
            </c:numRef>
          </c:val>
          <c:extLst>
            <c:ext xmlns:c16="http://schemas.microsoft.com/office/drawing/2014/chart" uri="{C3380CC4-5D6E-409C-BE32-E72D297353CC}">
              <c16:uniqueId val="{00000008-3915-496C-9F4E-0AC3A7A6D46B}"/>
            </c:ext>
          </c:extLst>
        </c:ser>
        <c:ser>
          <c:idx val="9"/>
          <c:order val="9"/>
          <c:tx>
            <c:strRef>
              <c:f>'CO2 - Cenário RT 1C'!$B$71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1C'!$C$71:$D$71</c:f>
              <c:numCache>
                <c:formatCode>General</c:formatCode>
                <c:ptCount val="2"/>
                <c:pt idx="0" formatCode="#,##0">
                  <c:v>0</c:v>
                </c:pt>
              </c:numCache>
            </c:numRef>
          </c:val>
          <c:extLst>
            <c:ext xmlns:c16="http://schemas.microsoft.com/office/drawing/2014/chart" uri="{C3380CC4-5D6E-409C-BE32-E72D297353CC}">
              <c16:uniqueId val="{00000009-3915-496C-9F4E-0AC3A7A6D46B}"/>
            </c:ext>
          </c:extLst>
        </c:ser>
        <c:ser>
          <c:idx val="10"/>
          <c:order val="10"/>
          <c:tx>
            <c:strRef>
              <c:f>'CO2 - Cenário RT 1C'!$B$72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1C'!$C$72:$D$72</c:f>
              <c:numCache>
                <c:formatCode>General</c:formatCode>
                <c:ptCount val="2"/>
                <c:pt idx="0" formatCode="#,##0">
                  <c:v>0</c:v>
                </c:pt>
              </c:numCache>
            </c:numRef>
          </c:val>
          <c:extLst>
            <c:ext xmlns:c16="http://schemas.microsoft.com/office/drawing/2014/chart" uri="{C3380CC4-5D6E-409C-BE32-E72D297353CC}">
              <c16:uniqueId val="{0000000A-3915-496C-9F4E-0AC3A7A6D46B}"/>
            </c:ext>
          </c:extLst>
        </c:ser>
        <c:ser>
          <c:idx val="11"/>
          <c:order val="11"/>
          <c:tx>
            <c:strRef>
              <c:f>'CO2 - Cenário RT 1C'!$B$73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1C'!$C$73:$D$73</c:f>
              <c:numCache>
                <c:formatCode>General</c:formatCode>
                <c:ptCount val="2"/>
                <c:pt idx="0" formatCode="#,##0">
                  <c:v>-9859.1469840000009</c:v>
                </c:pt>
              </c:numCache>
            </c:numRef>
          </c:val>
          <c:extLst>
            <c:ext xmlns:c16="http://schemas.microsoft.com/office/drawing/2014/chart" uri="{C3380CC4-5D6E-409C-BE32-E72D297353CC}">
              <c16:uniqueId val="{0000000B-3915-496C-9F4E-0AC3A7A6D46B}"/>
            </c:ext>
          </c:extLst>
        </c:ser>
        <c:ser>
          <c:idx val="12"/>
          <c:order val="12"/>
          <c:tx>
            <c:strRef>
              <c:f>'CO2 - Cenário RT 1C'!$B$74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1C'!$C$74:$D$74</c:f>
              <c:numCache>
                <c:formatCode>General</c:formatCode>
                <c:ptCount val="2"/>
                <c:pt idx="0" formatCode="#,##0">
                  <c:v>-8281.2747600000002</c:v>
                </c:pt>
              </c:numCache>
            </c:numRef>
          </c:val>
          <c:extLst>
            <c:ext xmlns:c16="http://schemas.microsoft.com/office/drawing/2014/chart" uri="{C3380CC4-5D6E-409C-BE32-E72D297353CC}">
              <c16:uniqueId val="{0000000C-3915-496C-9F4E-0AC3A7A6D46B}"/>
            </c:ext>
          </c:extLst>
        </c:ser>
        <c:ser>
          <c:idx val="13"/>
          <c:order val="13"/>
          <c:tx>
            <c:strRef>
              <c:f>'CO2 - Cenário RT 1C'!$B$75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1C'!$C$75:$D$75</c:f>
              <c:numCache>
                <c:formatCode>General</c:formatCode>
                <c:ptCount val="2"/>
                <c:pt idx="0" formatCode="#,##0">
                  <c:v>0</c:v>
                </c:pt>
              </c:numCache>
            </c:numRef>
          </c:val>
          <c:extLst>
            <c:ext xmlns:c16="http://schemas.microsoft.com/office/drawing/2014/chart" uri="{C3380CC4-5D6E-409C-BE32-E72D297353CC}">
              <c16:uniqueId val="{0000000D-3915-496C-9F4E-0AC3A7A6D46B}"/>
            </c:ext>
          </c:extLst>
        </c:ser>
        <c:ser>
          <c:idx val="14"/>
          <c:order val="14"/>
          <c:tx>
            <c:strRef>
              <c:f>'CO2 - Cenário RT 1C'!$B$76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1C'!$C$76:$D$76</c:f>
              <c:numCache>
                <c:formatCode>General</c:formatCode>
                <c:ptCount val="2"/>
                <c:pt idx="0" formatCode="#,##0">
                  <c:v>-5461.4512000000004</c:v>
                </c:pt>
              </c:numCache>
            </c:numRef>
          </c:val>
          <c:extLst>
            <c:ext xmlns:c16="http://schemas.microsoft.com/office/drawing/2014/chart" uri="{C3380CC4-5D6E-409C-BE32-E72D297353CC}">
              <c16:uniqueId val="{0000000E-3915-496C-9F4E-0AC3A7A6D46B}"/>
            </c:ext>
          </c:extLst>
        </c:ser>
        <c:ser>
          <c:idx val="15"/>
          <c:order val="15"/>
          <c:tx>
            <c:strRef>
              <c:f>'CO2 - Cenário RT 1C'!$B$77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1C'!$C$77:$D$77</c:f>
              <c:numCache>
                <c:formatCode>General</c:formatCode>
                <c:ptCount val="2"/>
                <c:pt idx="0" formatCode="#,##0">
                  <c:v>-8222.1359999999986</c:v>
                </c:pt>
              </c:numCache>
            </c:numRef>
          </c:val>
          <c:extLst>
            <c:ext xmlns:c16="http://schemas.microsoft.com/office/drawing/2014/chart" uri="{C3380CC4-5D6E-409C-BE32-E72D297353CC}">
              <c16:uniqueId val="{0000000F-3915-496C-9F4E-0AC3A7A6D46B}"/>
            </c:ext>
          </c:extLst>
        </c:ser>
        <c:ser>
          <c:idx val="16"/>
          <c:order val="16"/>
          <c:tx>
            <c:strRef>
              <c:f>'CO2 - Cenário RT 1C'!$B$78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1C'!$C$78:$D$78</c:f>
              <c:numCache>
                <c:formatCode>General</c:formatCode>
                <c:ptCount val="2"/>
                <c:pt idx="0" formatCode="#,##0">
                  <c:v>0</c:v>
                </c:pt>
              </c:numCache>
            </c:numRef>
          </c:val>
          <c:extLst>
            <c:ext xmlns:c16="http://schemas.microsoft.com/office/drawing/2014/chart" uri="{C3380CC4-5D6E-409C-BE32-E72D297353CC}">
              <c16:uniqueId val="{00000010-3915-496C-9F4E-0AC3A7A6D46B}"/>
            </c:ext>
          </c:extLst>
        </c:ser>
        <c:ser>
          <c:idx val="17"/>
          <c:order val="17"/>
          <c:tx>
            <c:strRef>
              <c:f>'CO2 - Cenário RT 1C'!$B$79</c:f>
              <c:strCache>
                <c:ptCount val="1"/>
                <c:pt idx="0">
                  <c:v>Créditos</c:v>
                </c:pt>
              </c:strCache>
            </c:strRef>
          </c:tx>
          <c:spPr>
            <a:noFill/>
            <a:ln w="25400">
              <a:noFill/>
            </a:ln>
          </c:spPr>
          <c:invertIfNegative val="0"/>
          <c:cat>
            <c:strRef>
              <c:f>'CO2 - Cenário RT 1C'!$C$61:$D$61</c:f>
              <c:strCache>
                <c:ptCount val="2"/>
                <c:pt idx="0">
                  <c:v>Resíduos reciclados</c:v>
                </c:pt>
                <c:pt idx="1">
                  <c:v>Líquido</c:v>
                </c:pt>
              </c:strCache>
            </c:strRef>
          </c:cat>
          <c:val>
            <c:numRef>
              <c:f>'CO2 - Cenário RT 1C'!$C$79:$D$79</c:f>
              <c:numCache>
                <c:formatCode>#,##0</c:formatCode>
                <c:ptCount val="2"/>
              </c:numCache>
            </c:numRef>
          </c:val>
          <c:extLst>
            <c:ext xmlns:c16="http://schemas.microsoft.com/office/drawing/2014/chart" uri="{C3380CC4-5D6E-409C-BE32-E72D297353CC}">
              <c16:uniqueId val="{00000011-3915-496C-9F4E-0AC3A7A6D46B}"/>
            </c:ext>
          </c:extLst>
        </c:ser>
        <c:ser>
          <c:idx val="18"/>
          <c:order val="18"/>
          <c:tx>
            <c:strRef>
              <c:f>'CO2 - Cenário RT 1C'!$B$80</c:f>
              <c:strCache>
                <c:ptCount val="1"/>
                <c:pt idx="0">
                  <c:v>Líquido</c:v>
                </c:pt>
              </c:strCache>
            </c:strRef>
          </c:tx>
          <c:spPr>
            <a:solidFill>
              <a:srgbClr val="0000FF"/>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1C'!$C$80:$D$80</c:f>
              <c:numCache>
                <c:formatCode>#,##0</c:formatCode>
                <c:ptCount val="2"/>
                <c:pt idx="1">
                  <c:v>-21262.545896</c:v>
                </c:pt>
              </c:numCache>
            </c:numRef>
          </c:val>
          <c:extLst>
            <c:ext xmlns:c16="http://schemas.microsoft.com/office/drawing/2014/chart" uri="{C3380CC4-5D6E-409C-BE32-E72D297353CC}">
              <c16:uniqueId val="{00000012-3915-496C-9F4E-0AC3A7A6D46B}"/>
            </c:ext>
          </c:extLst>
        </c:ser>
        <c:dLbls>
          <c:showLegendKey val="0"/>
          <c:showVal val="0"/>
          <c:showCatName val="0"/>
          <c:showSerName val="0"/>
          <c:showPercent val="0"/>
          <c:showBubbleSize val="0"/>
        </c:dLbls>
        <c:gapWidth val="100"/>
        <c:overlap val="100"/>
        <c:axId val="195374464"/>
        <c:axId val="195392640"/>
      </c:barChart>
      <c:catAx>
        <c:axId val="195374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5392640"/>
        <c:crosses val="autoZero"/>
        <c:auto val="1"/>
        <c:lblAlgn val="ctr"/>
        <c:lblOffset val="100"/>
        <c:tickLblSkip val="1"/>
        <c:tickMarkSkip val="1"/>
        <c:noMultiLvlLbl val="0"/>
      </c:catAx>
      <c:valAx>
        <c:axId val="19539264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0131744232360058E-2"/>
              <c:y val="0.363373164990606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53744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73683323631238706"/>
          <c:y val="1.5988349370523305E-2"/>
          <c:w val="0.24322996710015687"/>
          <c:h val="0.98286614435831265"/>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a:t>
            </a:r>
            <a:r>
              <a:rPr lang="de-DE" sz="975" b="1" i="0" u="none" strike="noStrike" kern="1200" baseline="0">
                <a:solidFill>
                  <a:srgbClr val="000000"/>
                </a:solidFill>
                <a:latin typeface="Arial"/>
                <a:ea typeface="Arial"/>
                <a:cs typeface="Arial"/>
              </a:rPr>
              <a:t>de GEE — Destinação</a:t>
            </a:r>
          </a:p>
        </c:rich>
      </c:tx>
      <c:layout>
        <c:manualLayout>
          <c:xMode val="edge"/>
          <c:yMode val="edge"/>
          <c:x val="0.29399615642403876"/>
          <c:y val="1.5172413793103448E-2"/>
        </c:manualLayout>
      </c:layout>
      <c:overlay val="0"/>
      <c:spPr>
        <a:noFill/>
        <a:ln w="25400">
          <a:noFill/>
        </a:ln>
      </c:spPr>
    </c:title>
    <c:autoTitleDeleted val="0"/>
    <c:plotArea>
      <c:layout>
        <c:manualLayout>
          <c:layoutTarget val="inner"/>
          <c:xMode val="edge"/>
          <c:yMode val="edge"/>
          <c:x val="0.18944118530140547"/>
          <c:y val="0.12689655172413788"/>
          <c:w val="0.52588044881482998"/>
          <c:h val="0.76137931034482786"/>
        </c:manualLayout>
      </c:layout>
      <c:barChart>
        <c:barDir val="col"/>
        <c:grouping val="stacked"/>
        <c:varyColors val="0"/>
        <c:ser>
          <c:idx val="0"/>
          <c:order val="0"/>
          <c:tx>
            <c:strRef>
              <c:f>'CO2 - Cenário RT 1C'!$K$62</c:f>
              <c:strCache>
                <c:ptCount val="1"/>
                <c:pt idx="0">
                  <c:v>Resíduos dispersos</c:v>
                </c:pt>
              </c:strCache>
            </c:strRef>
          </c:tx>
          <c:spPr>
            <a:solidFill>
              <a:srgbClr val="FFFF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1C'!$L$62:$M$62</c:f>
              <c:numCache>
                <c:formatCode>General</c:formatCode>
                <c:ptCount val="2"/>
                <c:pt idx="0" formatCode="#,##0">
                  <c:v>0</c:v>
                </c:pt>
              </c:numCache>
            </c:numRef>
          </c:val>
          <c:extLst>
            <c:ext xmlns:c16="http://schemas.microsoft.com/office/drawing/2014/chart" uri="{C3380CC4-5D6E-409C-BE32-E72D297353CC}">
              <c16:uniqueId val="{00000000-51C8-49B3-8185-F3CD3E340189}"/>
            </c:ext>
          </c:extLst>
        </c:ser>
        <c:ser>
          <c:idx val="1"/>
          <c:order val="1"/>
          <c:tx>
            <c:strRef>
              <c:f>'CO2 - Cenário RT 1C'!$K$63</c:f>
              <c:strCache>
                <c:ptCount val="1"/>
                <c:pt idx="0">
                  <c:v>Queima a céu aberto</c:v>
                </c:pt>
              </c:strCache>
            </c:strRef>
          </c:tx>
          <c:spPr>
            <a:solidFill>
              <a:srgbClr val="FF808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1C'!$L$63:$M$63</c:f>
              <c:numCache>
                <c:formatCode>General</c:formatCode>
                <c:ptCount val="2"/>
                <c:pt idx="0" formatCode="#,##0">
                  <c:v>0</c:v>
                </c:pt>
              </c:numCache>
            </c:numRef>
          </c:val>
          <c:extLst>
            <c:ext xmlns:c16="http://schemas.microsoft.com/office/drawing/2014/chart" uri="{C3380CC4-5D6E-409C-BE32-E72D297353CC}">
              <c16:uniqueId val="{00000001-51C8-49B3-8185-F3CD3E340189}"/>
            </c:ext>
          </c:extLst>
        </c:ser>
        <c:ser>
          <c:idx val="2"/>
          <c:order val="2"/>
          <c:tx>
            <c:strRef>
              <c:f>'CO2 - Cenário RT 1C'!$K$64</c:f>
              <c:strCache>
                <c:ptCount val="1"/>
                <c:pt idx="0">
                  <c:v>Lixão não controlado</c:v>
                </c:pt>
              </c:strCache>
            </c:strRef>
          </c:tx>
          <c:spPr>
            <a:solidFill>
              <a:srgbClr val="9933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1C'!$L$64:$M$64</c:f>
              <c:numCache>
                <c:formatCode>General</c:formatCode>
                <c:ptCount val="2"/>
                <c:pt idx="0" formatCode="#,##0">
                  <c:v>0</c:v>
                </c:pt>
              </c:numCache>
            </c:numRef>
          </c:val>
          <c:extLst>
            <c:ext xmlns:c16="http://schemas.microsoft.com/office/drawing/2014/chart" uri="{C3380CC4-5D6E-409C-BE32-E72D297353CC}">
              <c16:uniqueId val="{00000002-51C8-49B3-8185-F3CD3E340189}"/>
            </c:ext>
          </c:extLst>
        </c:ser>
        <c:ser>
          <c:idx val="3"/>
          <c:order val="3"/>
          <c:tx>
            <c:strRef>
              <c:f>'CO2 - Cenário RT 1C'!$K$65</c:f>
              <c:strCache>
                <c:ptCount val="1"/>
                <c:pt idx="0">
                  <c:v>Aterro controlado</c:v>
                </c:pt>
              </c:strCache>
            </c:strRef>
          </c:tx>
          <c:spPr>
            <a:solidFill>
              <a:srgbClr val="99CC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1C'!$L$65:$M$65</c:f>
              <c:numCache>
                <c:formatCode>General</c:formatCode>
                <c:ptCount val="2"/>
                <c:pt idx="0" formatCode="#,##0">
                  <c:v>0</c:v>
                </c:pt>
              </c:numCache>
            </c:numRef>
          </c:val>
          <c:extLst>
            <c:ext xmlns:c16="http://schemas.microsoft.com/office/drawing/2014/chart" uri="{C3380CC4-5D6E-409C-BE32-E72D297353CC}">
              <c16:uniqueId val="{00000003-51C8-49B3-8185-F3CD3E340189}"/>
            </c:ext>
          </c:extLst>
        </c:ser>
        <c:ser>
          <c:idx val="4"/>
          <c:order val="4"/>
          <c:tx>
            <c:strRef>
              <c:f>'CO2 - Cenário RT 1C'!$K$66</c:f>
              <c:strCache>
                <c:ptCount val="1"/>
                <c:pt idx="0">
                  <c:v>Aterro sanitário</c:v>
                </c:pt>
              </c:strCache>
            </c:strRef>
          </c:tx>
          <c:spPr>
            <a:solidFill>
              <a:srgbClr val="FFFF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1C'!$L$66:$M$66</c:f>
              <c:numCache>
                <c:formatCode>General</c:formatCode>
                <c:ptCount val="2"/>
                <c:pt idx="0" formatCode="#,##0">
                  <c:v>53980.946707938478</c:v>
                </c:pt>
              </c:numCache>
            </c:numRef>
          </c:val>
          <c:extLst>
            <c:ext xmlns:c16="http://schemas.microsoft.com/office/drawing/2014/chart" uri="{C3380CC4-5D6E-409C-BE32-E72D297353CC}">
              <c16:uniqueId val="{00000004-51C8-49B3-8185-F3CD3E340189}"/>
            </c:ext>
          </c:extLst>
        </c:ser>
        <c:ser>
          <c:idx val="5"/>
          <c:order val="5"/>
          <c:tx>
            <c:strRef>
              <c:f>'CO2 - Cenário RT 1C'!$K$67</c:f>
              <c:strCache>
                <c:ptCount val="1"/>
                <c:pt idx="0">
                  <c:v>Trat. biol + cobertura at.</c:v>
                </c:pt>
              </c:strCache>
            </c:strRef>
          </c:tx>
          <c:spPr>
            <a:solidFill>
              <a:srgbClr val="FF00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1C'!$L$67:$M$67</c:f>
              <c:numCache>
                <c:formatCode>General</c:formatCode>
                <c:ptCount val="2"/>
                <c:pt idx="0" formatCode="#,##0">
                  <c:v>0</c:v>
                </c:pt>
              </c:numCache>
            </c:numRef>
          </c:val>
          <c:extLst>
            <c:ext xmlns:c16="http://schemas.microsoft.com/office/drawing/2014/chart" uri="{C3380CC4-5D6E-409C-BE32-E72D297353CC}">
              <c16:uniqueId val="{00000005-51C8-49B3-8185-F3CD3E340189}"/>
            </c:ext>
          </c:extLst>
        </c:ser>
        <c:ser>
          <c:idx val="6"/>
          <c:order val="6"/>
          <c:tx>
            <c:strRef>
              <c:f>'CO2 - Cenário RT 1C'!$K$68</c:f>
              <c:strCache>
                <c:ptCount val="1"/>
                <c:pt idx="0">
                  <c:v>CDR seco + rejeito aterro</c:v>
                </c:pt>
              </c:strCache>
            </c:strRef>
          </c:tx>
          <c:spPr>
            <a:solidFill>
              <a:srgbClr val="00808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1C'!$L$68:$M$68</c:f>
              <c:numCache>
                <c:formatCode>General</c:formatCode>
                <c:ptCount val="2"/>
                <c:pt idx="0" formatCode="#,##0">
                  <c:v>9878.871077030024</c:v>
                </c:pt>
              </c:numCache>
            </c:numRef>
          </c:val>
          <c:extLst>
            <c:ext xmlns:c16="http://schemas.microsoft.com/office/drawing/2014/chart" uri="{C3380CC4-5D6E-409C-BE32-E72D297353CC}">
              <c16:uniqueId val="{00000006-51C8-49B3-8185-F3CD3E340189}"/>
            </c:ext>
          </c:extLst>
        </c:ser>
        <c:ser>
          <c:idx val="7"/>
          <c:order val="7"/>
          <c:tx>
            <c:strRef>
              <c:f>'CO2 - Cenário RT 1C'!$K$69</c:f>
              <c:strCache>
                <c:ptCount val="1"/>
                <c:pt idx="0">
                  <c:v>CDR seco + trat. biol.</c:v>
                </c:pt>
              </c:strCache>
            </c:strRef>
          </c:tx>
          <c:spPr>
            <a:solidFill>
              <a:srgbClr val="FF99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1C'!$L$69:$M$69</c:f>
              <c:numCache>
                <c:formatCode>General</c:formatCode>
                <c:ptCount val="2"/>
                <c:pt idx="0" formatCode="#,##0">
                  <c:v>6937.3741446002377</c:v>
                </c:pt>
              </c:numCache>
            </c:numRef>
          </c:val>
          <c:extLst>
            <c:ext xmlns:c16="http://schemas.microsoft.com/office/drawing/2014/chart" uri="{C3380CC4-5D6E-409C-BE32-E72D297353CC}">
              <c16:uniqueId val="{00000007-51C8-49B3-8185-F3CD3E340189}"/>
            </c:ext>
          </c:extLst>
        </c:ser>
        <c:ser>
          <c:idx val="21"/>
          <c:order val="8"/>
          <c:tx>
            <c:strRef>
              <c:f>'CO2 - Cenário RT 1C'!$K$70</c:f>
              <c:strCache>
                <c:ptCount val="1"/>
                <c:pt idx="0">
                  <c:v>CDR seco + CDR org.</c:v>
                </c:pt>
              </c:strCache>
            </c:strRef>
          </c:tx>
          <c:spPr>
            <a:solidFill>
              <a:srgbClr val="00B0F0"/>
            </a:solidFill>
            <a:ln w="12700">
              <a:solidFill>
                <a:srgbClr val="000000"/>
              </a:solidFill>
            </a:ln>
          </c:spPr>
          <c:invertIfNegative val="0"/>
          <c:cat>
            <c:strRef>
              <c:f>'CO2 - Cenário RT 1C'!$L$61:$M$61</c:f>
              <c:strCache>
                <c:ptCount val="2"/>
                <c:pt idx="0">
                  <c:v>Destinação de resíduos</c:v>
                </c:pt>
                <c:pt idx="1">
                  <c:v>Líquido</c:v>
                </c:pt>
              </c:strCache>
            </c:strRef>
          </c:cat>
          <c:val>
            <c:numRef>
              <c:f>'CO2 - Cenário RT 1C'!$L$70:$M$70</c:f>
              <c:numCache>
                <c:formatCode>General</c:formatCode>
                <c:ptCount val="2"/>
                <c:pt idx="0" formatCode="#,##0">
                  <c:v>0</c:v>
                </c:pt>
              </c:numCache>
            </c:numRef>
          </c:val>
          <c:extLst>
            <c:ext xmlns:c16="http://schemas.microsoft.com/office/drawing/2014/chart" uri="{C3380CC4-5D6E-409C-BE32-E72D297353CC}">
              <c16:uniqueId val="{00000008-51C8-49B3-8185-F3CD3E340189}"/>
            </c:ext>
          </c:extLst>
        </c:ser>
        <c:ser>
          <c:idx val="8"/>
          <c:order val="9"/>
          <c:tx>
            <c:strRef>
              <c:f>'CO2 - Cenário RT 1C'!$K$71</c:f>
              <c:strCache>
                <c:ptCount val="1"/>
                <c:pt idx="0">
                  <c:v>Incineração</c:v>
                </c:pt>
              </c:strCache>
            </c:strRef>
          </c:tx>
          <c:spPr>
            <a:solidFill>
              <a:srgbClr val="CCCC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1C'!$L$71:$M$71</c:f>
              <c:numCache>
                <c:formatCode>General</c:formatCode>
                <c:ptCount val="2"/>
                <c:pt idx="0" formatCode="#,##0">
                  <c:v>0</c:v>
                </c:pt>
              </c:numCache>
            </c:numRef>
          </c:val>
          <c:extLst>
            <c:ext xmlns:c16="http://schemas.microsoft.com/office/drawing/2014/chart" uri="{C3380CC4-5D6E-409C-BE32-E72D297353CC}">
              <c16:uniqueId val="{00000009-51C8-49B3-8185-F3CD3E340189}"/>
            </c:ext>
          </c:extLst>
        </c:ser>
        <c:ser>
          <c:idx val="9"/>
          <c:order val="10"/>
          <c:tx>
            <c:strRef>
              <c:f>'CO2 - Cenário RT 1C'!$K$72</c:f>
              <c:strCache>
                <c:ptCount val="1"/>
                <c:pt idx="0">
                  <c:v>Débitos</c:v>
                </c:pt>
              </c:strCache>
            </c:strRef>
          </c:tx>
          <c:spPr>
            <a:noFill/>
            <a:ln w="25400">
              <a:noFill/>
            </a:ln>
          </c:spPr>
          <c:invertIfNegative val="0"/>
          <c:cat>
            <c:strRef>
              <c:f>'CO2 - Cenário RT 1C'!$L$61:$M$61</c:f>
              <c:strCache>
                <c:ptCount val="2"/>
                <c:pt idx="0">
                  <c:v>Destinação de resíduos</c:v>
                </c:pt>
                <c:pt idx="1">
                  <c:v>Líquido</c:v>
                </c:pt>
              </c:strCache>
            </c:strRef>
          </c:cat>
          <c:val>
            <c:numRef>
              <c:f>'CO2 - Cenário RT 1C'!$L$72:$M$72</c:f>
              <c:numCache>
                <c:formatCode>General</c:formatCode>
                <c:ptCount val="2"/>
              </c:numCache>
            </c:numRef>
          </c:val>
          <c:extLst>
            <c:ext xmlns:c16="http://schemas.microsoft.com/office/drawing/2014/chart" uri="{C3380CC4-5D6E-409C-BE32-E72D297353CC}">
              <c16:uniqueId val="{0000000A-51C8-49B3-8185-F3CD3E340189}"/>
            </c:ext>
          </c:extLst>
        </c:ser>
        <c:ser>
          <c:idx val="10"/>
          <c:order val="11"/>
          <c:tx>
            <c:strRef>
              <c:f>'CO2 - Cenário RT 1C'!$K$73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1C'!$L$73:$M$73</c:f>
              <c:numCache>
                <c:formatCode>General</c:formatCode>
                <c:ptCount val="2"/>
                <c:pt idx="0" formatCode="#,##0">
                  <c:v>0</c:v>
                </c:pt>
              </c:numCache>
            </c:numRef>
          </c:val>
          <c:extLst>
            <c:ext xmlns:c16="http://schemas.microsoft.com/office/drawing/2014/chart" uri="{C3380CC4-5D6E-409C-BE32-E72D297353CC}">
              <c16:uniqueId val="{0000000B-51C8-49B3-8185-F3CD3E340189}"/>
            </c:ext>
          </c:extLst>
        </c:ser>
        <c:ser>
          <c:idx val="11"/>
          <c:order val="12"/>
          <c:tx>
            <c:strRef>
              <c:f>'CO2 - Cenário RT 1C'!$K$74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1C'!$L$74:$M$74</c:f>
              <c:numCache>
                <c:formatCode>General</c:formatCode>
                <c:ptCount val="2"/>
                <c:pt idx="0" formatCode="#,##0">
                  <c:v>0</c:v>
                </c:pt>
              </c:numCache>
            </c:numRef>
          </c:val>
          <c:extLst>
            <c:ext xmlns:c16="http://schemas.microsoft.com/office/drawing/2014/chart" uri="{C3380CC4-5D6E-409C-BE32-E72D297353CC}">
              <c16:uniqueId val="{0000000C-51C8-49B3-8185-F3CD3E340189}"/>
            </c:ext>
          </c:extLst>
        </c:ser>
        <c:ser>
          <c:idx val="12"/>
          <c:order val="13"/>
          <c:tx>
            <c:strRef>
              <c:f>'CO2 - Cenário RT 1C'!$K$75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1C'!$L$75:$M$75</c:f>
              <c:numCache>
                <c:formatCode>General</c:formatCode>
                <c:ptCount val="2"/>
                <c:pt idx="0" formatCode="#,##0">
                  <c:v>0</c:v>
                </c:pt>
              </c:numCache>
            </c:numRef>
          </c:val>
          <c:extLst>
            <c:ext xmlns:c16="http://schemas.microsoft.com/office/drawing/2014/chart" uri="{C3380CC4-5D6E-409C-BE32-E72D297353CC}">
              <c16:uniqueId val="{0000000D-51C8-49B3-8185-F3CD3E340189}"/>
            </c:ext>
          </c:extLst>
        </c:ser>
        <c:ser>
          <c:idx val="13"/>
          <c:order val="14"/>
          <c:tx>
            <c:strRef>
              <c:f>'CO2 - Cenário RT 1C'!$K$76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1C'!$L$76:$M$76</c:f>
              <c:numCache>
                <c:formatCode>General</c:formatCode>
                <c:ptCount val="2"/>
                <c:pt idx="0" formatCode="#,##0">
                  <c:v>0</c:v>
                </c:pt>
              </c:numCache>
            </c:numRef>
          </c:val>
          <c:extLst>
            <c:ext xmlns:c16="http://schemas.microsoft.com/office/drawing/2014/chart" uri="{C3380CC4-5D6E-409C-BE32-E72D297353CC}">
              <c16:uniqueId val="{0000000E-51C8-49B3-8185-F3CD3E340189}"/>
            </c:ext>
          </c:extLst>
        </c:ser>
        <c:ser>
          <c:idx val="14"/>
          <c:order val="15"/>
          <c:tx>
            <c:strRef>
              <c:f>'CO2 - Cenário RT 1C'!$K$77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1C'!$L$77:$M$77</c:f>
              <c:numCache>
                <c:formatCode>General</c:formatCode>
                <c:ptCount val="2"/>
                <c:pt idx="0" formatCode="#,##0">
                  <c:v>0</c:v>
                </c:pt>
              </c:numCache>
            </c:numRef>
          </c:val>
          <c:extLst>
            <c:ext xmlns:c16="http://schemas.microsoft.com/office/drawing/2014/chart" uri="{C3380CC4-5D6E-409C-BE32-E72D297353CC}">
              <c16:uniqueId val="{0000000F-51C8-49B3-8185-F3CD3E340189}"/>
            </c:ext>
          </c:extLst>
        </c:ser>
        <c:ser>
          <c:idx val="15"/>
          <c:order val="16"/>
          <c:tx>
            <c:strRef>
              <c:f>'CO2 - Cenário RT 1C'!$K$78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1C'!$L$78:$M$78</c:f>
              <c:numCache>
                <c:formatCode>General</c:formatCode>
                <c:ptCount val="2"/>
                <c:pt idx="0" formatCode="#,##0">
                  <c:v>0</c:v>
                </c:pt>
              </c:numCache>
            </c:numRef>
          </c:val>
          <c:extLst>
            <c:ext xmlns:c16="http://schemas.microsoft.com/office/drawing/2014/chart" uri="{C3380CC4-5D6E-409C-BE32-E72D297353CC}">
              <c16:uniqueId val="{00000010-51C8-49B3-8185-F3CD3E340189}"/>
            </c:ext>
          </c:extLst>
        </c:ser>
        <c:ser>
          <c:idx val="16"/>
          <c:order val="17"/>
          <c:tx>
            <c:strRef>
              <c:f>'CO2 - Cenário RT 1C'!$K$79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1C'!$L$79:$M$79</c:f>
              <c:numCache>
                <c:formatCode>General</c:formatCode>
                <c:ptCount val="2"/>
                <c:pt idx="0" formatCode="#,##0">
                  <c:v>-8213.3557915298534</c:v>
                </c:pt>
              </c:numCache>
            </c:numRef>
          </c:val>
          <c:extLst>
            <c:ext xmlns:c16="http://schemas.microsoft.com/office/drawing/2014/chart" uri="{C3380CC4-5D6E-409C-BE32-E72D297353CC}">
              <c16:uniqueId val="{00000011-51C8-49B3-8185-F3CD3E340189}"/>
            </c:ext>
          </c:extLst>
        </c:ser>
        <c:ser>
          <c:idx val="17"/>
          <c:order val="18"/>
          <c:tx>
            <c:strRef>
              <c:f>'CO2 - Cenário RT 1C'!$K$80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1C'!$L$80:$M$80</c:f>
              <c:numCache>
                <c:formatCode>General</c:formatCode>
                <c:ptCount val="2"/>
                <c:pt idx="0" formatCode="#,##0">
                  <c:v>-34496.094324425387</c:v>
                </c:pt>
              </c:numCache>
            </c:numRef>
          </c:val>
          <c:extLst>
            <c:ext xmlns:c16="http://schemas.microsoft.com/office/drawing/2014/chart" uri="{C3380CC4-5D6E-409C-BE32-E72D297353CC}">
              <c16:uniqueId val="{00000012-51C8-49B3-8185-F3CD3E340189}"/>
            </c:ext>
          </c:extLst>
        </c:ser>
        <c:ser>
          <c:idx val="22"/>
          <c:order val="19"/>
          <c:tx>
            <c:strRef>
              <c:f>'CO2 - Cenário RT 1C'!$K$81</c:f>
              <c:strCache>
                <c:ptCount val="1"/>
                <c:pt idx="0">
                  <c:v>CDR seco + CDR org.</c:v>
                </c:pt>
              </c:strCache>
            </c:strRef>
          </c:tx>
          <c:spPr>
            <a:pattFill prst="wdUpDiag">
              <a:fgClr>
                <a:srgbClr val="00B0F0"/>
              </a:fgClr>
              <a:bgClr>
                <a:schemeClr val="bg1"/>
              </a:bgClr>
            </a:pattFill>
            <a:ln w="12700">
              <a:solidFill>
                <a:schemeClr val="tx1"/>
              </a:solidFill>
            </a:ln>
          </c:spPr>
          <c:invertIfNegative val="0"/>
          <c:cat>
            <c:strRef>
              <c:f>'CO2 - Cenário RT 1C'!$L$61:$M$61</c:f>
              <c:strCache>
                <c:ptCount val="2"/>
                <c:pt idx="0">
                  <c:v>Destinação de resíduos</c:v>
                </c:pt>
                <c:pt idx="1">
                  <c:v>Líquido</c:v>
                </c:pt>
              </c:strCache>
            </c:strRef>
          </c:cat>
          <c:val>
            <c:numRef>
              <c:f>'CO2 - Cenário RT 1C'!$L$81:$M$81</c:f>
              <c:numCache>
                <c:formatCode>General</c:formatCode>
                <c:ptCount val="2"/>
                <c:pt idx="0" formatCode="#,##0">
                  <c:v>0</c:v>
                </c:pt>
              </c:numCache>
            </c:numRef>
          </c:val>
          <c:extLst>
            <c:ext xmlns:c16="http://schemas.microsoft.com/office/drawing/2014/chart" uri="{C3380CC4-5D6E-409C-BE32-E72D297353CC}">
              <c16:uniqueId val="{00000013-51C8-49B3-8185-F3CD3E340189}"/>
            </c:ext>
          </c:extLst>
        </c:ser>
        <c:ser>
          <c:idx val="18"/>
          <c:order val="20"/>
          <c:tx>
            <c:strRef>
              <c:f>'CO2 - Cenário RT 1C'!$K$82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1C'!$L$82:$M$82</c:f>
              <c:numCache>
                <c:formatCode>General</c:formatCode>
                <c:ptCount val="2"/>
                <c:pt idx="0" formatCode="#,##0">
                  <c:v>0</c:v>
                </c:pt>
              </c:numCache>
            </c:numRef>
          </c:val>
          <c:extLst>
            <c:ext xmlns:c16="http://schemas.microsoft.com/office/drawing/2014/chart" uri="{C3380CC4-5D6E-409C-BE32-E72D297353CC}">
              <c16:uniqueId val="{00000014-51C8-49B3-8185-F3CD3E340189}"/>
            </c:ext>
          </c:extLst>
        </c:ser>
        <c:ser>
          <c:idx val="19"/>
          <c:order val="21"/>
          <c:tx>
            <c:strRef>
              <c:f>'CO2 - Cenário RT 1C'!$K$83</c:f>
              <c:strCache>
                <c:ptCount val="1"/>
                <c:pt idx="0">
                  <c:v>Créditos</c:v>
                </c:pt>
              </c:strCache>
            </c:strRef>
          </c:tx>
          <c:spPr>
            <a:noFill/>
            <a:ln w="25400">
              <a:noFill/>
            </a:ln>
          </c:spPr>
          <c:invertIfNegative val="0"/>
          <c:cat>
            <c:strRef>
              <c:f>'CO2 - Cenário RT 1C'!$L$61:$M$61</c:f>
              <c:strCache>
                <c:ptCount val="2"/>
                <c:pt idx="0">
                  <c:v>Destinação de resíduos</c:v>
                </c:pt>
                <c:pt idx="1">
                  <c:v>Líquido</c:v>
                </c:pt>
              </c:strCache>
            </c:strRef>
          </c:cat>
          <c:val>
            <c:numRef>
              <c:f>'CO2 - Cenário RT 1C'!$L$83:$M$83</c:f>
              <c:numCache>
                <c:formatCode>General</c:formatCode>
                <c:ptCount val="2"/>
              </c:numCache>
            </c:numRef>
          </c:val>
          <c:extLst>
            <c:ext xmlns:c16="http://schemas.microsoft.com/office/drawing/2014/chart" uri="{C3380CC4-5D6E-409C-BE32-E72D297353CC}">
              <c16:uniqueId val="{00000015-51C8-49B3-8185-F3CD3E340189}"/>
            </c:ext>
          </c:extLst>
        </c:ser>
        <c:ser>
          <c:idx val="20"/>
          <c:order val="22"/>
          <c:tx>
            <c:strRef>
              <c:f>'CO2 - Cenário RT 1C'!$K$84</c:f>
              <c:strCache>
                <c:ptCount val="1"/>
                <c:pt idx="0">
                  <c:v>Líquido</c:v>
                </c:pt>
              </c:strCache>
            </c:strRef>
          </c:tx>
          <c:spPr>
            <a:solidFill>
              <a:srgbClr val="0000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1C'!$L$84:$M$84</c:f>
              <c:numCache>
                <c:formatCode>#,##0</c:formatCode>
                <c:ptCount val="2"/>
                <c:pt idx="1">
                  <c:v>28087.741813613502</c:v>
                </c:pt>
              </c:numCache>
            </c:numRef>
          </c:val>
          <c:extLst>
            <c:ext xmlns:c16="http://schemas.microsoft.com/office/drawing/2014/chart" uri="{C3380CC4-5D6E-409C-BE32-E72D297353CC}">
              <c16:uniqueId val="{00000016-51C8-49B3-8185-F3CD3E340189}"/>
            </c:ext>
          </c:extLst>
        </c:ser>
        <c:dLbls>
          <c:showLegendKey val="0"/>
          <c:showVal val="0"/>
          <c:showCatName val="0"/>
          <c:showSerName val="0"/>
          <c:showPercent val="0"/>
          <c:showBubbleSize val="0"/>
        </c:dLbls>
        <c:gapWidth val="100"/>
        <c:overlap val="100"/>
        <c:axId val="196662016"/>
        <c:axId val="196663552"/>
      </c:barChart>
      <c:catAx>
        <c:axId val="196662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663552"/>
        <c:crosses val="autoZero"/>
        <c:auto val="1"/>
        <c:lblAlgn val="ctr"/>
        <c:lblOffset val="100"/>
        <c:tickLblSkip val="1"/>
        <c:tickMarkSkip val="1"/>
        <c:noMultiLvlLbl val="0"/>
      </c:catAx>
      <c:valAx>
        <c:axId val="196663552"/>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12774921771833E-3"/>
              <c:y val="0.375172293572030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662016"/>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805585816659091"/>
          <c:y val="1.379406613671616E-3"/>
          <c:w val="0.23982592382137799"/>
          <c:h val="0.98536066700002301"/>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1C'!$G$53</c:f>
              <c:strCache>
                <c:ptCount val="1"/>
                <c:pt idx="0">
                  <c:v>Débitos</c:v>
                </c:pt>
              </c:strCache>
            </c:strRef>
          </c:tx>
          <c:spPr>
            <a:solidFill>
              <a:srgbClr val="FFCC99"/>
            </a:solidFill>
            <a:ln w="12700">
              <a:solidFill>
                <a:srgbClr val="000000"/>
              </a:solidFill>
              <a:prstDash val="solid"/>
            </a:ln>
          </c:spPr>
          <c:invertIfNegative val="0"/>
          <c:cat>
            <c:strRef>
              <c:f>'CO2 - Cenário RT 1C'!$H$52:$J$52</c:f>
              <c:strCache>
                <c:ptCount val="3"/>
                <c:pt idx="0">
                  <c:v>Resíduo reciclado</c:v>
                </c:pt>
                <c:pt idx="1">
                  <c:v>Destinação de resíduos</c:v>
                </c:pt>
                <c:pt idx="2">
                  <c:v>RSU total</c:v>
                </c:pt>
              </c:strCache>
            </c:strRef>
          </c:cat>
          <c:val>
            <c:numRef>
              <c:f>'CO2 - Cenário RT 1C'!$H$53:$J$53</c:f>
              <c:numCache>
                <c:formatCode>#,##0</c:formatCode>
                <c:ptCount val="3"/>
                <c:pt idx="0">
                  <c:v>10561.463048000001</c:v>
                </c:pt>
                <c:pt idx="1">
                  <c:v>70797.19192956874</c:v>
                </c:pt>
                <c:pt idx="2">
                  <c:v>81358.654977568745</c:v>
                </c:pt>
              </c:numCache>
            </c:numRef>
          </c:val>
          <c:extLst>
            <c:ext xmlns:c16="http://schemas.microsoft.com/office/drawing/2014/chart" uri="{C3380CC4-5D6E-409C-BE32-E72D297353CC}">
              <c16:uniqueId val="{00000000-7F51-42B6-8651-C9DF7F268337}"/>
            </c:ext>
          </c:extLst>
        </c:ser>
        <c:ser>
          <c:idx val="1"/>
          <c:order val="1"/>
          <c:tx>
            <c:strRef>
              <c:f>'CO2 - Cenário RT 1C'!$G$54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1C'!$H$52:$J$52</c:f>
              <c:strCache>
                <c:ptCount val="3"/>
                <c:pt idx="0">
                  <c:v>Resíduo reciclado</c:v>
                </c:pt>
                <c:pt idx="1">
                  <c:v>Destinação de resíduos</c:v>
                </c:pt>
                <c:pt idx="2">
                  <c:v>RSU total</c:v>
                </c:pt>
              </c:strCache>
            </c:strRef>
          </c:cat>
          <c:val>
            <c:numRef>
              <c:f>'CO2 - Cenário RT 1C'!$H$54:$J$54</c:f>
              <c:numCache>
                <c:formatCode>#,##0</c:formatCode>
                <c:ptCount val="3"/>
                <c:pt idx="0">
                  <c:v>-31824.008943999997</c:v>
                </c:pt>
                <c:pt idx="1">
                  <c:v>-42709.450115955238</c:v>
                </c:pt>
                <c:pt idx="2">
                  <c:v>-74533.459059955232</c:v>
                </c:pt>
              </c:numCache>
            </c:numRef>
          </c:val>
          <c:extLst>
            <c:ext xmlns:c16="http://schemas.microsoft.com/office/drawing/2014/chart" uri="{C3380CC4-5D6E-409C-BE32-E72D297353CC}">
              <c16:uniqueId val="{00000001-7F51-42B6-8651-C9DF7F268337}"/>
            </c:ext>
          </c:extLst>
        </c:ser>
        <c:ser>
          <c:idx val="2"/>
          <c:order val="2"/>
          <c:tx>
            <c:strRef>
              <c:f>'CO2 - Cenário RT 1C'!$G$55</c:f>
              <c:strCache>
                <c:ptCount val="1"/>
                <c:pt idx="0">
                  <c:v>Líquido</c:v>
                </c:pt>
              </c:strCache>
            </c:strRef>
          </c:tx>
          <c:spPr>
            <a:solidFill>
              <a:srgbClr val="0000FF"/>
            </a:solidFill>
            <a:ln w="12700">
              <a:solidFill>
                <a:srgbClr val="000000"/>
              </a:solidFill>
              <a:prstDash val="solid"/>
            </a:ln>
          </c:spPr>
          <c:invertIfNegative val="0"/>
          <c:cat>
            <c:strRef>
              <c:f>'CO2 - Cenário RT 1C'!$H$52:$J$52</c:f>
              <c:strCache>
                <c:ptCount val="3"/>
                <c:pt idx="0">
                  <c:v>Resíduo reciclado</c:v>
                </c:pt>
                <c:pt idx="1">
                  <c:v>Destinação de resíduos</c:v>
                </c:pt>
                <c:pt idx="2">
                  <c:v>RSU total</c:v>
                </c:pt>
              </c:strCache>
            </c:strRef>
          </c:cat>
          <c:val>
            <c:numRef>
              <c:f>'CO2 - Cenário RT 1C'!$H$55:$J$55</c:f>
              <c:numCache>
                <c:formatCode>#,##0</c:formatCode>
                <c:ptCount val="3"/>
                <c:pt idx="0">
                  <c:v>-21262.545895999996</c:v>
                </c:pt>
                <c:pt idx="1">
                  <c:v>28087.741813613502</c:v>
                </c:pt>
                <c:pt idx="2">
                  <c:v>6825.195917613506</c:v>
                </c:pt>
              </c:numCache>
            </c:numRef>
          </c:val>
          <c:extLst>
            <c:ext xmlns:c16="http://schemas.microsoft.com/office/drawing/2014/chart" uri="{C3380CC4-5D6E-409C-BE32-E72D297353CC}">
              <c16:uniqueId val="{00000002-7F51-42B6-8651-C9DF7F268337}"/>
            </c:ext>
          </c:extLst>
        </c:ser>
        <c:dLbls>
          <c:showLegendKey val="0"/>
          <c:showVal val="0"/>
          <c:showCatName val="0"/>
          <c:showSerName val="0"/>
          <c:showPercent val="0"/>
          <c:showBubbleSize val="0"/>
        </c:dLbls>
        <c:gapWidth val="100"/>
        <c:axId val="197125248"/>
        <c:axId val="197126784"/>
      </c:barChart>
      <c:catAx>
        <c:axId val="1971252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6784"/>
        <c:crosses val="autoZero"/>
        <c:auto val="1"/>
        <c:lblAlgn val="ctr"/>
        <c:lblOffset val="50"/>
        <c:tickLblSkip val="1"/>
        <c:tickMarkSkip val="1"/>
        <c:noMultiLvlLbl val="0"/>
      </c:catAx>
      <c:valAx>
        <c:axId val="197126784"/>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073021116594712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5248"/>
        <c:crosses val="autoZero"/>
        <c:crossBetween val="between"/>
      </c:valAx>
      <c:spPr>
        <a:noFill/>
        <a:ln w="3175">
          <a:solidFill>
            <a:srgbClr val="000000"/>
          </a:solidFill>
          <a:prstDash val="solid"/>
        </a:ln>
      </c:spPr>
    </c:plotArea>
    <c:legend>
      <c:legendPos val="r"/>
      <c:layout>
        <c:manualLayout>
          <c:xMode val="edge"/>
          <c:yMode val="edge"/>
          <c:x val="0.17863904063031819"/>
          <c:y val="4.003724394785847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74881516587692"/>
          <c:y val="1.3333349116180301E-2"/>
        </c:manualLayout>
      </c:layout>
      <c:overlay val="0"/>
      <c:spPr>
        <a:noFill/>
        <a:ln w="25400">
          <a:noFill/>
        </a:ln>
      </c:spPr>
    </c:title>
    <c:autoTitleDeleted val="0"/>
    <c:plotArea>
      <c:layout>
        <c:manualLayout>
          <c:layoutTarget val="inner"/>
          <c:xMode val="edge"/>
          <c:yMode val="edge"/>
          <c:x val="0.18767772511848338"/>
          <c:y val="0.10666679292944244"/>
          <c:w val="0.78672985781990545"/>
          <c:h val="0.58545523846500769"/>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2'!$B$7:$B$15,'CO2 - Cenário RT 2'!$B$18:$B$27)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2'!$C$7:$C$15,'CO2 - Cenário RT 2'!$C$18:$C$27)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0</c:v>
                </c:pt>
                <c:pt idx="13">
                  <c:v>49227.203249999991</c:v>
                </c:pt>
                <c:pt idx="14">
                  <c:v>82045.338749999995</c:v>
                </c:pt>
                <c:pt idx="15">
                  <c:v>0</c:v>
                </c:pt>
                <c:pt idx="16">
                  <c:v>0</c:v>
                </c:pt>
                <c:pt idx="17">
                  <c:v>0</c:v>
                </c:pt>
                <c:pt idx="18">
                  <c:v>0</c:v>
                </c:pt>
              </c:numCache>
            </c:numRef>
          </c:val>
          <c:extLst>
            <c:ext xmlns:c16="http://schemas.microsoft.com/office/drawing/2014/chart" uri="{C3380CC4-5D6E-409C-BE32-E72D297353CC}">
              <c16:uniqueId val="{00000000-4578-4CB1-AC1A-B785ECA88B99}"/>
            </c:ext>
          </c:extLst>
        </c:ser>
        <c:dLbls>
          <c:showLegendKey val="0"/>
          <c:showVal val="0"/>
          <c:showCatName val="0"/>
          <c:showSerName val="0"/>
          <c:showPercent val="0"/>
          <c:showBubbleSize val="0"/>
        </c:dLbls>
        <c:gapWidth val="100"/>
        <c:axId val="197260416"/>
        <c:axId val="197261952"/>
      </c:barChart>
      <c:catAx>
        <c:axId val="197260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261952"/>
        <c:crosses val="autoZero"/>
        <c:auto val="1"/>
        <c:lblAlgn val="ctr"/>
        <c:lblOffset val="100"/>
        <c:tickLblSkip val="1"/>
        <c:tickMarkSkip val="1"/>
        <c:noMultiLvlLbl val="0"/>
      </c:catAx>
      <c:valAx>
        <c:axId val="197261952"/>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26540284360198E-2"/>
              <c:y val="0.3660610393714954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260416"/>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1"/>
            </a:pPr>
            <a:r>
              <a:rPr lang="de-DE" b="1"/>
              <a:t>Emissões de GEE </a:t>
            </a:r>
            <a:r>
              <a:rPr lang="pt-BR" b="1"/>
              <a:t>—</a:t>
            </a:r>
            <a:r>
              <a:rPr lang="de-DE" b="1"/>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2'!$B$62</c:f>
              <c:strCache>
                <c:ptCount val="1"/>
                <c:pt idx="0">
                  <c:v>Resíduos de alimentos</c:v>
                </c:pt>
              </c:strCache>
            </c:strRef>
          </c:tx>
          <c:spPr>
            <a:solidFill>
              <a:srgbClr val="99CC0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2'!$C$62:$D$62</c:f>
              <c:numCache>
                <c:formatCode>General</c:formatCode>
                <c:ptCount val="2"/>
                <c:pt idx="0" formatCode="#,##0">
                  <c:v>0</c:v>
                </c:pt>
              </c:numCache>
            </c:numRef>
          </c:val>
          <c:extLst>
            <c:ext xmlns:c16="http://schemas.microsoft.com/office/drawing/2014/chart" uri="{C3380CC4-5D6E-409C-BE32-E72D297353CC}">
              <c16:uniqueId val="{00000000-7CF8-4A8E-903D-8D18C3E8607E}"/>
            </c:ext>
          </c:extLst>
        </c:ser>
        <c:ser>
          <c:idx val="1"/>
          <c:order val="1"/>
          <c:tx>
            <c:strRef>
              <c:f>'CO2 - Cenário RT 2'!$B$63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2'!$C$63:$D$63</c:f>
              <c:numCache>
                <c:formatCode>General</c:formatCode>
                <c:ptCount val="2"/>
                <c:pt idx="0" formatCode="#,##0">
                  <c:v>0</c:v>
                </c:pt>
              </c:numCache>
            </c:numRef>
          </c:val>
          <c:extLst>
            <c:ext xmlns:c16="http://schemas.microsoft.com/office/drawing/2014/chart" uri="{C3380CC4-5D6E-409C-BE32-E72D297353CC}">
              <c16:uniqueId val="{00000001-7CF8-4A8E-903D-8D18C3E8607E}"/>
            </c:ext>
          </c:extLst>
        </c:ser>
        <c:ser>
          <c:idx val="2"/>
          <c:order val="2"/>
          <c:tx>
            <c:strRef>
              <c:f>'CO2 - Cenário RT 2'!$B$64</c:f>
              <c:strCache>
                <c:ptCount val="1"/>
                <c:pt idx="0">
                  <c:v>Papel, papelão</c:v>
                </c:pt>
              </c:strCache>
            </c:strRef>
          </c:tx>
          <c:spPr>
            <a:solidFill>
              <a:srgbClr val="CC99FF"/>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2'!$C$64:$D$64</c:f>
              <c:numCache>
                <c:formatCode>General</c:formatCode>
                <c:ptCount val="2"/>
                <c:pt idx="0" formatCode="#,##0">
                  <c:v>7999.4112480000003</c:v>
                </c:pt>
              </c:numCache>
            </c:numRef>
          </c:val>
          <c:extLst>
            <c:ext xmlns:c16="http://schemas.microsoft.com/office/drawing/2014/chart" uri="{C3380CC4-5D6E-409C-BE32-E72D297353CC}">
              <c16:uniqueId val="{00000002-7CF8-4A8E-903D-8D18C3E8607E}"/>
            </c:ext>
          </c:extLst>
        </c:ser>
        <c:ser>
          <c:idx val="3"/>
          <c:order val="3"/>
          <c:tx>
            <c:strRef>
              <c:f>'CO2 - Cenário RT 2'!$B$65</c:f>
              <c:strCache>
                <c:ptCount val="1"/>
                <c:pt idx="0">
                  <c:v>Plásticos</c:v>
                </c:pt>
              </c:strCache>
            </c:strRef>
          </c:tx>
          <c:spPr>
            <a:solidFill>
              <a:srgbClr val="FFFF0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2'!$C$65:$D$65</c:f>
              <c:numCache>
                <c:formatCode>General</c:formatCode>
                <c:ptCount val="2"/>
                <c:pt idx="0" formatCode="#,##0">
                  <c:v>1777.8420000000001</c:v>
                </c:pt>
              </c:numCache>
            </c:numRef>
          </c:val>
          <c:extLst>
            <c:ext xmlns:c16="http://schemas.microsoft.com/office/drawing/2014/chart" uri="{C3380CC4-5D6E-409C-BE32-E72D297353CC}">
              <c16:uniqueId val="{00000003-7CF8-4A8E-903D-8D18C3E8607E}"/>
            </c:ext>
          </c:extLst>
        </c:ser>
        <c:ser>
          <c:idx val="4"/>
          <c:order val="4"/>
          <c:tx>
            <c:strRef>
              <c:f>'CO2 - Cenário RT 2'!$B$66</c:f>
              <c:strCache>
                <c:ptCount val="1"/>
                <c:pt idx="0">
                  <c:v>Vidros</c:v>
                </c:pt>
              </c:strCache>
            </c:strRef>
          </c:tx>
          <c:spPr>
            <a:solidFill>
              <a:srgbClr val="FF99CC"/>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2'!$C$66:$D$66</c:f>
              <c:numCache>
                <c:formatCode>General</c:formatCode>
                <c:ptCount val="2"/>
                <c:pt idx="0" formatCode="#,##0">
                  <c:v>0</c:v>
                </c:pt>
              </c:numCache>
            </c:numRef>
          </c:val>
          <c:extLst>
            <c:ext xmlns:c16="http://schemas.microsoft.com/office/drawing/2014/chart" uri="{C3380CC4-5D6E-409C-BE32-E72D297353CC}">
              <c16:uniqueId val="{00000004-7CF8-4A8E-903D-8D18C3E8607E}"/>
            </c:ext>
          </c:extLst>
        </c:ser>
        <c:ser>
          <c:idx val="5"/>
          <c:order val="5"/>
          <c:tx>
            <c:strRef>
              <c:f>'CO2 - Cenário RT 2'!$B$67</c:f>
              <c:strCache>
                <c:ptCount val="1"/>
                <c:pt idx="0">
                  <c:v>Metais ferrosos</c:v>
                </c:pt>
              </c:strCache>
            </c:strRef>
          </c:tx>
          <c:spPr>
            <a:solidFill>
              <a:srgbClr val="C0C0C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2'!$C$67:$D$67</c:f>
              <c:numCache>
                <c:formatCode>General</c:formatCode>
                <c:ptCount val="2"/>
                <c:pt idx="0" formatCode="#,##0">
                  <c:v>204.16639999999998</c:v>
                </c:pt>
              </c:numCache>
            </c:numRef>
          </c:val>
          <c:extLst>
            <c:ext xmlns:c16="http://schemas.microsoft.com/office/drawing/2014/chart" uri="{C3380CC4-5D6E-409C-BE32-E72D297353CC}">
              <c16:uniqueId val="{00000005-7CF8-4A8E-903D-8D18C3E8607E}"/>
            </c:ext>
          </c:extLst>
        </c:ser>
        <c:ser>
          <c:idx val="6"/>
          <c:order val="6"/>
          <c:tx>
            <c:strRef>
              <c:f>'CO2 - Cenário RT 2'!$B$68</c:f>
              <c:strCache>
                <c:ptCount val="1"/>
                <c:pt idx="0">
                  <c:v>Alumínio</c:v>
                </c:pt>
              </c:strCache>
            </c:strRef>
          </c:tx>
          <c:spPr>
            <a:solidFill>
              <a:srgbClr val="993366"/>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2'!$C$68:$D$68</c:f>
              <c:numCache>
                <c:formatCode>General</c:formatCode>
                <c:ptCount val="2"/>
                <c:pt idx="0" formatCode="#,##0">
                  <c:v>580.04339999999991</c:v>
                </c:pt>
              </c:numCache>
            </c:numRef>
          </c:val>
          <c:extLst>
            <c:ext xmlns:c16="http://schemas.microsoft.com/office/drawing/2014/chart" uri="{C3380CC4-5D6E-409C-BE32-E72D297353CC}">
              <c16:uniqueId val="{00000006-7CF8-4A8E-903D-8D18C3E8607E}"/>
            </c:ext>
          </c:extLst>
        </c:ser>
        <c:ser>
          <c:idx val="7"/>
          <c:order val="7"/>
          <c:tx>
            <c:strRef>
              <c:f>'CO2 - Cenário RT 2'!$B$69</c:f>
              <c:strCache>
                <c:ptCount val="1"/>
                <c:pt idx="0">
                  <c:v>Têxteis</c:v>
                </c:pt>
              </c:strCache>
            </c:strRef>
          </c:tx>
          <c:spPr>
            <a:solidFill>
              <a:srgbClr val="9999FF"/>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2'!$C$69:$D$69</c:f>
              <c:numCache>
                <c:formatCode>General</c:formatCode>
                <c:ptCount val="2"/>
                <c:pt idx="0" formatCode="#,##0">
                  <c:v>0</c:v>
                </c:pt>
              </c:numCache>
            </c:numRef>
          </c:val>
          <c:extLst>
            <c:ext xmlns:c16="http://schemas.microsoft.com/office/drawing/2014/chart" uri="{C3380CC4-5D6E-409C-BE32-E72D297353CC}">
              <c16:uniqueId val="{00000007-7CF8-4A8E-903D-8D18C3E8607E}"/>
            </c:ext>
          </c:extLst>
        </c:ser>
        <c:ser>
          <c:idx val="8"/>
          <c:order val="8"/>
          <c:tx>
            <c:strRef>
              <c:f>'CO2 - Cenário RT 2'!$B$70</c:f>
              <c:strCache>
                <c:ptCount val="1"/>
                <c:pt idx="0">
                  <c:v>Débitos</c:v>
                </c:pt>
              </c:strCache>
            </c:strRef>
          </c:tx>
          <c:spPr>
            <a:noFill/>
            <a:ln w="25400">
              <a:noFill/>
            </a:ln>
          </c:spPr>
          <c:invertIfNegative val="0"/>
          <c:cat>
            <c:strRef>
              <c:f>'CO2 - Cenário RT 2'!$C$61:$D$61</c:f>
              <c:strCache>
                <c:ptCount val="2"/>
                <c:pt idx="0">
                  <c:v>Resíduos reciclados</c:v>
                </c:pt>
                <c:pt idx="1">
                  <c:v>Líquido</c:v>
                </c:pt>
              </c:strCache>
            </c:strRef>
          </c:cat>
          <c:val>
            <c:numRef>
              <c:f>'CO2 - Cenário RT 2'!$C$70:$D$70</c:f>
              <c:numCache>
                <c:formatCode>#,##0</c:formatCode>
                <c:ptCount val="2"/>
              </c:numCache>
            </c:numRef>
          </c:val>
          <c:extLst>
            <c:ext xmlns:c16="http://schemas.microsoft.com/office/drawing/2014/chart" uri="{C3380CC4-5D6E-409C-BE32-E72D297353CC}">
              <c16:uniqueId val="{00000008-7CF8-4A8E-903D-8D18C3E8607E}"/>
            </c:ext>
          </c:extLst>
        </c:ser>
        <c:ser>
          <c:idx val="9"/>
          <c:order val="9"/>
          <c:tx>
            <c:strRef>
              <c:f>'CO2 - Cenário RT 2'!$B$71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2'!$C$71:$D$71</c:f>
              <c:numCache>
                <c:formatCode>General</c:formatCode>
                <c:ptCount val="2"/>
                <c:pt idx="0" formatCode="#,##0">
                  <c:v>0</c:v>
                </c:pt>
              </c:numCache>
            </c:numRef>
          </c:val>
          <c:extLst>
            <c:ext xmlns:c16="http://schemas.microsoft.com/office/drawing/2014/chart" uri="{C3380CC4-5D6E-409C-BE32-E72D297353CC}">
              <c16:uniqueId val="{00000009-7CF8-4A8E-903D-8D18C3E8607E}"/>
            </c:ext>
          </c:extLst>
        </c:ser>
        <c:ser>
          <c:idx val="10"/>
          <c:order val="10"/>
          <c:tx>
            <c:strRef>
              <c:f>'CO2 - Cenário RT 2'!$B$72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2'!$C$72:$D$72</c:f>
              <c:numCache>
                <c:formatCode>General</c:formatCode>
                <c:ptCount val="2"/>
                <c:pt idx="0" formatCode="#,##0">
                  <c:v>0</c:v>
                </c:pt>
              </c:numCache>
            </c:numRef>
          </c:val>
          <c:extLst>
            <c:ext xmlns:c16="http://schemas.microsoft.com/office/drawing/2014/chart" uri="{C3380CC4-5D6E-409C-BE32-E72D297353CC}">
              <c16:uniqueId val="{0000000A-7CF8-4A8E-903D-8D18C3E8607E}"/>
            </c:ext>
          </c:extLst>
        </c:ser>
        <c:ser>
          <c:idx val="11"/>
          <c:order val="11"/>
          <c:tx>
            <c:strRef>
              <c:f>'CO2 - Cenário RT 2'!$B$73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2'!$C$73:$D$73</c:f>
              <c:numCache>
                <c:formatCode>General</c:formatCode>
                <c:ptCount val="2"/>
                <c:pt idx="0" formatCode="#,##0">
                  <c:v>-9859.1469840000009</c:v>
                </c:pt>
              </c:numCache>
            </c:numRef>
          </c:val>
          <c:extLst>
            <c:ext xmlns:c16="http://schemas.microsoft.com/office/drawing/2014/chart" uri="{C3380CC4-5D6E-409C-BE32-E72D297353CC}">
              <c16:uniqueId val="{0000000B-7CF8-4A8E-903D-8D18C3E8607E}"/>
            </c:ext>
          </c:extLst>
        </c:ser>
        <c:ser>
          <c:idx val="12"/>
          <c:order val="12"/>
          <c:tx>
            <c:strRef>
              <c:f>'CO2 - Cenário RT 2'!$B$74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2'!$C$74:$D$74</c:f>
              <c:numCache>
                <c:formatCode>General</c:formatCode>
                <c:ptCount val="2"/>
                <c:pt idx="0" formatCode="#,##0">
                  <c:v>-8281.2747600000002</c:v>
                </c:pt>
              </c:numCache>
            </c:numRef>
          </c:val>
          <c:extLst>
            <c:ext xmlns:c16="http://schemas.microsoft.com/office/drawing/2014/chart" uri="{C3380CC4-5D6E-409C-BE32-E72D297353CC}">
              <c16:uniqueId val="{0000000C-7CF8-4A8E-903D-8D18C3E8607E}"/>
            </c:ext>
          </c:extLst>
        </c:ser>
        <c:ser>
          <c:idx val="13"/>
          <c:order val="13"/>
          <c:tx>
            <c:strRef>
              <c:f>'CO2 - Cenário RT 2'!$B$75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2'!$C$75:$D$75</c:f>
              <c:numCache>
                <c:formatCode>General</c:formatCode>
                <c:ptCount val="2"/>
                <c:pt idx="0" formatCode="#,##0">
                  <c:v>0</c:v>
                </c:pt>
              </c:numCache>
            </c:numRef>
          </c:val>
          <c:extLst>
            <c:ext xmlns:c16="http://schemas.microsoft.com/office/drawing/2014/chart" uri="{C3380CC4-5D6E-409C-BE32-E72D297353CC}">
              <c16:uniqueId val="{0000000D-7CF8-4A8E-903D-8D18C3E8607E}"/>
            </c:ext>
          </c:extLst>
        </c:ser>
        <c:ser>
          <c:idx val="14"/>
          <c:order val="14"/>
          <c:tx>
            <c:strRef>
              <c:f>'CO2 - Cenário RT 2'!$B$76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2'!$C$76:$D$76</c:f>
              <c:numCache>
                <c:formatCode>General</c:formatCode>
                <c:ptCount val="2"/>
                <c:pt idx="0" formatCode="#,##0">
                  <c:v>-5461.4512000000004</c:v>
                </c:pt>
              </c:numCache>
            </c:numRef>
          </c:val>
          <c:extLst>
            <c:ext xmlns:c16="http://schemas.microsoft.com/office/drawing/2014/chart" uri="{C3380CC4-5D6E-409C-BE32-E72D297353CC}">
              <c16:uniqueId val="{0000000E-7CF8-4A8E-903D-8D18C3E8607E}"/>
            </c:ext>
          </c:extLst>
        </c:ser>
        <c:ser>
          <c:idx val="15"/>
          <c:order val="15"/>
          <c:tx>
            <c:strRef>
              <c:f>'CO2 - Cenário RT 2'!$B$77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2'!$C$77:$D$77</c:f>
              <c:numCache>
                <c:formatCode>General</c:formatCode>
                <c:ptCount val="2"/>
                <c:pt idx="0" formatCode="#,##0">
                  <c:v>-8222.1359999999986</c:v>
                </c:pt>
              </c:numCache>
            </c:numRef>
          </c:val>
          <c:extLst>
            <c:ext xmlns:c16="http://schemas.microsoft.com/office/drawing/2014/chart" uri="{C3380CC4-5D6E-409C-BE32-E72D297353CC}">
              <c16:uniqueId val="{0000000F-7CF8-4A8E-903D-8D18C3E8607E}"/>
            </c:ext>
          </c:extLst>
        </c:ser>
        <c:ser>
          <c:idx val="16"/>
          <c:order val="16"/>
          <c:tx>
            <c:strRef>
              <c:f>'CO2 - Cenário RT 2'!$B$78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2'!$C$78:$D$78</c:f>
              <c:numCache>
                <c:formatCode>General</c:formatCode>
                <c:ptCount val="2"/>
                <c:pt idx="0" formatCode="#,##0">
                  <c:v>0</c:v>
                </c:pt>
              </c:numCache>
            </c:numRef>
          </c:val>
          <c:extLst>
            <c:ext xmlns:c16="http://schemas.microsoft.com/office/drawing/2014/chart" uri="{C3380CC4-5D6E-409C-BE32-E72D297353CC}">
              <c16:uniqueId val="{00000010-7CF8-4A8E-903D-8D18C3E8607E}"/>
            </c:ext>
          </c:extLst>
        </c:ser>
        <c:ser>
          <c:idx val="17"/>
          <c:order val="17"/>
          <c:tx>
            <c:strRef>
              <c:f>'CO2 - Cenário RT 2'!$B$79</c:f>
              <c:strCache>
                <c:ptCount val="1"/>
                <c:pt idx="0">
                  <c:v>Créditos</c:v>
                </c:pt>
              </c:strCache>
            </c:strRef>
          </c:tx>
          <c:spPr>
            <a:noFill/>
            <a:ln w="25400">
              <a:noFill/>
            </a:ln>
          </c:spPr>
          <c:invertIfNegative val="0"/>
          <c:cat>
            <c:strRef>
              <c:f>'CO2 - Cenário RT 2'!$C$61:$D$61</c:f>
              <c:strCache>
                <c:ptCount val="2"/>
                <c:pt idx="0">
                  <c:v>Resíduos reciclados</c:v>
                </c:pt>
                <c:pt idx="1">
                  <c:v>Líquido</c:v>
                </c:pt>
              </c:strCache>
            </c:strRef>
          </c:cat>
          <c:val>
            <c:numRef>
              <c:f>'CO2 - Cenário RT 2'!$C$79:$D$79</c:f>
              <c:numCache>
                <c:formatCode>#,##0</c:formatCode>
                <c:ptCount val="2"/>
              </c:numCache>
            </c:numRef>
          </c:val>
          <c:extLst>
            <c:ext xmlns:c16="http://schemas.microsoft.com/office/drawing/2014/chart" uri="{C3380CC4-5D6E-409C-BE32-E72D297353CC}">
              <c16:uniqueId val="{00000011-7CF8-4A8E-903D-8D18C3E8607E}"/>
            </c:ext>
          </c:extLst>
        </c:ser>
        <c:ser>
          <c:idx val="18"/>
          <c:order val="18"/>
          <c:tx>
            <c:strRef>
              <c:f>'CO2 - Cenário RT 2'!$B$80</c:f>
              <c:strCache>
                <c:ptCount val="1"/>
                <c:pt idx="0">
                  <c:v>Líquido</c:v>
                </c:pt>
              </c:strCache>
            </c:strRef>
          </c:tx>
          <c:spPr>
            <a:solidFill>
              <a:srgbClr val="0000FF"/>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2'!$C$80:$D$80</c:f>
              <c:numCache>
                <c:formatCode>#,##0</c:formatCode>
                <c:ptCount val="2"/>
                <c:pt idx="1">
                  <c:v>-21262.545896</c:v>
                </c:pt>
              </c:numCache>
            </c:numRef>
          </c:val>
          <c:extLst>
            <c:ext xmlns:c16="http://schemas.microsoft.com/office/drawing/2014/chart" uri="{C3380CC4-5D6E-409C-BE32-E72D297353CC}">
              <c16:uniqueId val="{00000012-7CF8-4A8E-903D-8D18C3E8607E}"/>
            </c:ext>
          </c:extLst>
        </c:ser>
        <c:dLbls>
          <c:showLegendKey val="0"/>
          <c:showVal val="0"/>
          <c:showCatName val="0"/>
          <c:showSerName val="0"/>
          <c:showPercent val="0"/>
          <c:showBubbleSize val="0"/>
        </c:dLbls>
        <c:gapWidth val="100"/>
        <c:overlap val="100"/>
        <c:axId val="197706496"/>
        <c:axId val="197708032"/>
      </c:barChart>
      <c:catAx>
        <c:axId val="19770649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a:pPr>
            <a:endParaRPr lang="pt-BR"/>
          </a:p>
        </c:txPr>
        <c:crossAx val="197708032"/>
        <c:crosses val="autoZero"/>
        <c:auto val="1"/>
        <c:lblAlgn val="ctr"/>
        <c:lblOffset val="100"/>
        <c:tickLblSkip val="1"/>
        <c:tickMarkSkip val="1"/>
        <c:noMultiLvlLbl val="0"/>
      </c:catAx>
      <c:valAx>
        <c:axId val="197708032"/>
        <c:scaling>
          <c:orientation val="minMax"/>
        </c:scaling>
        <c:delete val="0"/>
        <c:axPos val="l"/>
        <c:majorGridlines>
          <c:spPr>
            <a:ln w="3175">
              <a:solidFill>
                <a:srgbClr val="000000"/>
              </a:solidFill>
              <a:prstDash val="solid"/>
            </a:ln>
          </c:spPr>
        </c:majorGridlines>
        <c:title>
          <c:tx>
            <c:rich>
              <a:bodyPr/>
              <a:lstStyle/>
              <a:p>
                <a:pPr>
                  <a:defRPr/>
                </a:pPr>
                <a:r>
                  <a:rPr lang="de-DE"/>
                  <a:t>tonelada CO2-eq / ano</a:t>
                </a:r>
              </a:p>
            </c:rich>
          </c:tx>
          <c:layout>
            <c:manualLayout>
              <c:xMode val="edge"/>
              <c:yMode val="edge"/>
              <c:x val="8.4175416734546919E-3"/>
              <c:y val="0.3633729953759501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a:pPr>
            <a:endParaRPr lang="pt-BR"/>
          </a:p>
        </c:txPr>
        <c:crossAx val="197706496"/>
        <c:crosses val="autoZero"/>
        <c:crossBetween val="between"/>
      </c:valAx>
      <c:spPr>
        <a:noFill/>
        <a:ln w="12700">
          <a:solidFill>
            <a:srgbClr val="808080"/>
          </a:solidFill>
          <a:prstDash val="solid"/>
        </a:ln>
      </c:spPr>
    </c:plotArea>
    <c:legend>
      <c:legendPos val="r"/>
      <c:layout>
        <c:manualLayout>
          <c:xMode val="edge"/>
          <c:yMode val="edge"/>
          <c:x val="0.69944751381215453"/>
          <c:y val="1.5988417481653919E-2"/>
          <c:w val="0.28839779005524885"/>
          <c:h val="0.97549216540435602"/>
        </c:manualLayout>
      </c:layout>
      <c:overlay val="0"/>
      <c:spPr>
        <a:solidFill>
          <a:srgbClr val="FFFFFF"/>
        </a:solidFill>
        <a:ln w="3175">
          <a:solidFill>
            <a:srgbClr val="000000"/>
          </a:solidFill>
          <a:prstDash val="solid"/>
        </a:ln>
      </c:sp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ysClr val="windowText" lastClr="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333257919466071"/>
          <c:y val="1.5172310896869899E-2"/>
        </c:manualLayout>
      </c:layout>
      <c:overlay val="0"/>
      <c:spPr>
        <a:noFill/>
        <a:ln w="25400">
          <a:noFill/>
        </a:ln>
      </c:spPr>
    </c:title>
    <c:autoTitleDeleted val="0"/>
    <c:plotArea>
      <c:layout>
        <c:manualLayout>
          <c:layoutTarget val="inner"/>
          <c:xMode val="edge"/>
          <c:yMode val="edge"/>
          <c:x val="0.16820529667998471"/>
          <c:y val="0.12689655172413788"/>
          <c:w val="0.54461593010409692"/>
          <c:h val="0.76137931034482786"/>
        </c:manualLayout>
      </c:layout>
      <c:barChart>
        <c:barDir val="col"/>
        <c:grouping val="stacked"/>
        <c:varyColors val="0"/>
        <c:ser>
          <c:idx val="0"/>
          <c:order val="0"/>
          <c:tx>
            <c:strRef>
              <c:f>'CO2 - Cenário RT 2'!$K$62</c:f>
              <c:strCache>
                <c:ptCount val="1"/>
                <c:pt idx="0">
                  <c:v>Resíduos dispersos</c:v>
                </c:pt>
              </c:strCache>
            </c:strRef>
          </c:tx>
          <c:spPr>
            <a:solidFill>
              <a:srgbClr val="FFFF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2'!$L$62:$M$62</c:f>
              <c:numCache>
                <c:formatCode>General</c:formatCode>
                <c:ptCount val="2"/>
                <c:pt idx="0" formatCode="#,##0">
                  <c:v>0</c:v>
                </c:pt>
              </c:numCache>
            </c:numRef>
          </c:val>
          <c:extLst>
            <c:ext xmlns:c16="http://schemas.microsoft.com/office/drawing/2014/chart" uri="{C3380CC4-5D6E-409C-BE32-E72D297353CC}">
              <c16:uniqueId val="{00000000-E9C0-4878-980D-6E39ACB7AC68}"/>
            </c:ext>
          </c:extLst>
        </c:ser>
        <c:ser>
          <c:idx val="1"/>
          <c:order val="1"/>
          <c:tx>
            <c:strRef>
              <c:f>'CO2 - Cenário RT 2'!$K$63</c:f>
              <c:strCache>
                <c:ptCount val="1"/>
                <c:pt idx="0">
                  <c:v>Queima a céu aberto</c:v>
                </c:pt>
              </c:strCache>
            </c:strRef>
          </c:tx>
          <c:spPr>
            <a:solidFill>
              <a:srgbClr val="FF808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2'!$L$63:$M$63</c:f>
              <c:numCache>
                <c:formatCode>General</c:formatCode>
                <c:ptCount val="2"/>
                <c:pt idx="0" formatCode="#,##0">
                  <c:v>0</c:v>
                </c:pt>
              </c:numCache>
            </c:numRef>
          </c:val>
          <c:extLst>
            <c:ext xmlns:c16="http://schemas.microsoft.com/office/drawing/2014/chart" uri="{C3380CC4-5D6E-409C-BE32-E72D297353CC}">
              <c16:uniqueId val="{00000001-E9C0-4878-980D-6E39ACB7AC68}"/>
            </c:ext>
          </c:extLst>
        </c:ser>
        <c:ser>
          <c:idx val="2"/>
          <c:order val="2"/>
          <c:tx>
            <c:strRef>
              <c:f>'CO2 - Cenário RT 2'!$K$64</c:f>
              <c:strCache>
                <c:ptCount val="1"/>
                <c:pt idx="0">
                  <c:v>Lixão não controlado</c:v>
                </c:pt>
              </c:strCache>
            </c:strRef>
          </c:tx>
          <c:spPr>
            <a:solidFill>
              <a:srgbClr val="9933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2'!$L$64:$M$64</c:f>
              <c:numCache>
                <c:formatCode>General</c:formatCode>
                <c:ptCount val="2"/>
                <c:pt idx="0" formatCode="#,##0">
                  <c:v>0</c:v>
                </c:pt>
              </c:numCache>
            </c:numRef>
          </c:val>
          <c:extLst>
            <c:ext xmlns:c16="http://schemas.microsoft.com/office/drawing/2014/chart" uri="{C3380CC4-5D6E-409C-BE32-E72D297353CC}">
              <c16:uniqueId val="{00000002-E9C0-4878-980D-6E39ACB7AC68}"/>
            </c:ext>
          </c:extLst>
        </c:ser>
        <c:ser>
          <c:idx val="3"/>
          <c:order val="3"/>
          <c:tx>
            <c:strRef>
              <c:f>'CO2 - Cenário RT 2'!$K$65</c:f>
              <c:strCache>
                <c:ptCount val="1"/>
                <c:pt idx="0">
                  <c:v>Aterro controlado</c:v>
                </c:pt>
              </c:strCache>
            </c:strRef>
          </c:tx>
          <c:spPr>
            <a:solidFill>
              <a:srgbClr val="99CC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2'!$L$65:$M$65</c:f>
              <c:numCache>
                <c:formatCode>General</c:formatCode>
                <c:ptCount val="2"/>
                <c:pt idx="0" formatCode="#,##0">
                  <c:v>0</c:v>
                </c:pt>
              </c:numCache>
            </c:numRef>
          </c:val>
          <c:extLst>
            <c:ext xmlns:c16="http://schemas.microsoft.com/office/drawing/2014/chart" uri="{C3380CC4-5D6E-409C-BE32-E72D297353CC}">
              <c16:uniqueId val="{00000003-E9C0-4878-980D-6E39ACB7AC68}"/>
            </c:ext>
          </c:extLst>
        </c:ser>
        <c:ser>
          <c:idx val="4"/>
          <c:order val="4"/>
          <c:tx>
            <c:strRef>
              <c:f>'CO2 - Cenário RT 2'!$K$66</c:f>
              <c:strCache>
                <c:ptCount val="1"/>
                <c:pt idx="0">
                  <c:v>Aterro sanitário</c:v>
                </c:pt>
              </c:strCache>
            </c:strRef>
          </c:tx>
          <c:spPr>
            <a:solidFill>
              <a:srgbClr val="FFFF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2'!$L$66:$M$66</c:f>
              <c:numCache>
                <c:formatCode>General</c:formatCode>
                <c:ptCount val="2"/>
                <c:pt idx="0" formatCode="#,##0">
                  <c:v>57836.728615648368</c:v>
                </c:pt>
              </c:numCache>
            </c:numRef>
          </c:val>
          <c:extLst>
            <c:ext xmlns:c16="http://schemas.microsoft.com/office/drawing/2014/chart" uri="{C3380CC4-5D6E-409C-BE32-E72D297353CC}">
              <c16:uniqueId val="{00000004-E9C0-4878-980D-6E39ACB7AC68}"/>
            </c:ext>
          </c:extLst>
        </c:ser>
        <c:ser>
          <c:idx val="5"/>
          <c:order val="5"/>
          <c:tx>
            <c:strRef>
              <c:f>'CO2 - Cenário RT 2'!$K$67</c:f>
              <c:strCache>
                <c:ptCount val="1"/>
                <c:pt idx="0">
                  <c:v>Trat. biol + cobertura at.</c:v>
                </c:pt>
              </c:strCache>
            </c:strRef>
          </c:tx>
          <c:spPr>
            <a:solidFill>
              <a:srgbClr val="FF00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2'!$L$67:$M$67</c:f>
              <c:numCache>
                <c:formatCode>General</c:formatCode>
                <c:ptCount val="2"/>
                <c:pt idx="0" formatCode="#,##0">
                  <c:v>2893.2878483493746</c:v>
                </c:pt>
              </c:numCache>
            </c:numRef>
          </c:val>
          <c:extLst>
            <c:ext xmlns:c16="http://schemas.microsoft.com/office/drawing/2014/chart" uri="{C3380CC4-5D6E-409C-BE32-E72D297353CC}">
              <c16:uniqueId val="{00000005-E9C0-4878-980D-6E39ACB7AC68}"/>
            </c:ext>
          </c:extLst>
        </c:ser>
        <c:ser>
          <c:idx val="6"/>
          <c:order val="6"/>
          <c:tx>
            <c:strRef>
              <c:f>'CO2 - Cenário RT 2'!$K$68</c:f>
              <c:strCache>
                <c:ptCount val="1"/>
                <c:pt idx="0">
                  <c:v>CDR seco + rejeito aterro</c:v>
                </c:pt>
              </c:strCache>
            </c:strRef>
          </c:tx>
          <c:spPr>
            <a:solidFill>
              <a:srgbClr val="00808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2'!$L$68:$M$68</c:f>
              <c:numCache>
                <c:formatCode>General</c:formatCode>
                <c:ptCount val="2"/>
                <c:pt idx="0" formatCode="#,##0">
                  <c:v>0</c:v>
                </c:pt>
              </c:numCache>
            </c:numRef>
          </c:val>
          <c:extLst>
            <c:ext xmlns:c16="http://schemas.microsoft.com/office/drawing/2014/chart" uri="{C3380CC4-5D6E-409C-BE32-E72D297353CC}">
              <c16:uniqueId val="{00000006-E9C0-4878-980D-6E39ACB7AC68}"/>
            </c:ext>
          </c:extLst>
        </c:ser>
        <c:ser>
          <c:idx val="7"/>
          <c:order val="7"/>
          <c:tx>
            <c:strRef>
              <c:f>'CO2 - Cenário RT 2'!$K$69</c:f>
              <c:strCache>
                <c:ptCount val="1"/>
                <c:pt idx="0">
                  <c:v>CDR seco + trat. biol.</c:v>
                </c:pt>
              </c:strCache>
            </c:strRef>
          </c:tx>
          <c:spPr>
            <a:solidFill>
              <a:srgbClr val="FF99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2'!$L$69:$M$69</c:f>
              <c:numCache>
                <c:formatCode>General</c:formatCode>
                <c:ptCount val="2"/>
                <c:pt idx="0" formatCode="#,##0">
                  <c:v>0</c:v>
                </c:pt>
              </c:numCache>
            </c:numRef>
          </c:val>
          <c:extLst>
            <c:ext xmlns:c16="http://schemas.microsoft.com/office/drawing/2014/chart" uri="{C3380CC4-5D6E-409C-BE32-E72D297353CC}">
              <c16:uniqueId val="{00000007-E9C0-4878-980D-6E39ACB7AC68}"/>
            </c:ext>
          </c:extLst>
        </c:ser>
        <c:ser>
          <c:idx val="21"/>
          <c:order val="8"/>
          <c:tx>
            <c:strRef>
              <c:f>'CO2 - Cenário RT 2'!$K$70</c:f>
              <c:strCache>
                <c:ptCount val="1"/>
                <c:pt idx="0">
                  <c:v>CDR seco + CDR org.</c:v>
                </c:pt>
              </c:strCache>
            </c:strRef>
          </c:tx>
          <c:spPr>
            <a:solidFill>
              <a:srgbClr val="00B0F0"/>
            </a:solidFill>
            <a:ln w="12700">
              <a:solidFill>
                <a:srgbClr val="000000"/>
              </a:solidFill>
            </a:ln>
          </c:spPr>
          <c:invertIfNegative val="0"/>
          <c:cat>
            <c:strRef>
              <c:f>'CO2 - Cenário RT 2'!$L$61:$M$61</c:f>
              <c:strCache>
                <c:ptCount val="2"/>
                <c:pt idx="0">
                  <c:v>Destinação de resíduos</c:v>
                </c:pt>
                <c:pt idx="1">
                  <c:v>Líquido</c:v>
                </c:pt>
              </c:strCache>
            </c:strRef>
          </c:cat>
          <c:val>
            <c:numRef>
              <c:f>'CO2 - Cenário RT 2'!$L$70:$M$70</c:f>
              <c:numCache>
                <c:formatCode>General</c:formatCode>
                <c:ptCount val="2"/>
                <c:pt idx="0" formatCode="#,##0">
                  <c:v>0</c:v>
                </c:pt>
              </c:numCache>
            </c:numRef>
          </c:val>
          <c:extLst>
            <c:ext xmlns:c16="http://schemas.microsoft.com/office/drawing/2014/chart" uri="{C3380CC4-5D6E-409C-BE32-E72D297353CC}">
              <c16:uniqueId val="{00000008-E9C0-4878-980D-6E39ACB7AC68}"/>
            </c:ext>
          </c:extLst>
        </c:ser>
        <c:ser>
          <c:idx val="8"/>
          <c:order val="9"/>
          <c:tx>
            <c:strRef>
              <c:f>'CO2 - Cenário RT 2'!$K$71</c:f>
              <c:strCache>
                <c:ptCount val="1"/>
                <c:pt idx="0">
                  <c:v>Incineração</c:v>
                </c:pt>
              </c:strCache>
            </c:strRef>
          </c:tx>
          <c:spPr>
            <a:solidFill>
              <a:srgbClr val="CCCC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2'!$L$71:$M$71</c:f>
              <c:numCache>
                <c:formatCode>General</c:formatCode>
                <c:ptCount val="2"/>
                <c:pt idx="0" formatCode="#,##0">
                  <c:v>0</c:v>
                </c:pt>
              </c:numCache>
            </c:numRef>
          </c:val>
          <c:extLst>
            <c:ext xmlns:c16="http://schemas.microsoft.com/office/drawing/2014/chart" uri="{C3380CC4-5D6E-409C-BE32-E72D297353CC}">
              <c16:uniqueId val="{00000009-E9C0-4878-980D-6E39ACB7AC68}"/>
            </c:ext>
          </c:extLst>
        </c:ser>
        <c:ser>
          <c:idx val="9"/>
          <c:order val="10"/>
          <c:tx>
            <c:strRef>
              <c:f>'CO2 - Cenário RT 2'!$K$72</c:f>
              <c:strCache>
                <c:ptCount val="1"/>
                <c:pt idx="0">
                  <c:v>Débitos</c:v>
                </c:pt>
              </c:strCache>
            </c:strRef>
          </c:tx>
          <c:spPr>
            <a:noFill/>
            <a:ln w="25400">
              <a:noFill/>
            </a:ln>
          </c:spPr>
          <c:invertIfNegative val="0"/>
          <c:cat>
            <c:strRef>
              <c:f>'CO2 - Cenário RT 2'!$L$61:$M$61</c:f>
              <c:strCache>
                <c:ptCount val="2"/>
                <c:pt idx="0">
                  <c:v>Destinação de resíduos</c:v>
                </c:pt>
                <c:pt idx="1">
                  <c:v>Líquido</c:v>
                </c:pt>
              </c:strCache>
            </c:strRef>
          </c:cat>
          <c:val>
            <c:numRef>
              <c:f>'CO2 - Cenário RT 2'!$L$72:$M$72</c:f>
              <c:numCache>
                <c:formatCode>General</c:formatCode>
                <c:ptCount val="2"/>
              </c:numCache>
            </c:numRef>
          </c:val>
          <c:extLst>
            <c:ext xmlns:c16="http://schemas.microsoft.com/office/drawing/2014/chart" uri="{C3380CC4-5D6E-409C-BE32-E72D297353CC}">
              <c16:uniqueId val="{0000000A-E9C0-4878-980D-6E39ACB7AC68}"/>
            </c:ext>
          </c:extLst>
        </c:ser>
        <c:ser>
          <c:idx val="10"/>
          <c:order val="11"/>
          <c:tx>
            <c:strRef>
              <c:f>'CO2 - Cenário RT 2'!$K$73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2'!$L$73:$M$73</c:f>
              <c:numCache>
                <c:formatCode>General</c:formatCode>
                <c:ptCount val="2"/>
                <c:pt idx="0" formatCode="#,##0">
                  <c:v>0</c:v>
                </c:pt>
              </c:numCache>
            </c:numRef>
          </c:val>
          <c:extLst>
            <c:ext xmlns:c16="http://schemas.microsoft.com/office/drawing/2014/chart" uri="{C3380CC4-5D6E-409C-BE32-E72D297353CC}">
              <c16:uniqueId val="{0000000B-E9C0-4878-980D-6E39ACB7AC68}"/>
            </c:ext>
          </c:extLst>
        </c:ser>
        <c:ser>
          <c:idx val="11"/>
          <c:order val="12"/>
          <c:tx>
            <c:strRef>
              <c:f>'CO2 - Cenário RT 2'!$K$74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2'!$L$74:$M$74</c:f>
              <c:numCache>
                <c:formatCode>General</c:formatCode>
                <c:ptCount val="2"/>
                <c:pt idx="0" formatCode="#,##0">
                  <c:v>0</c:v>
                </c:pt>
              </c:numCache>
            </c:numRef>
          </c:val>
          <c:extLst>
            <c:ext xmlns:c16="http://schemas.microsoft.com/office/drawing/2014/chart" uri="{C3380CC4-5D6E-409C-BE32-E72D297353CC}">
              <c16:uniqueId val="{0000000C-E9C0-4878-980D-6E39ACB7AC68}"/>
            </c:ext>
          </c:extLst>
        </c:ser>
        <c:ser>
          <c:idx val="12"/>
          <c:order val="13"/>
          <c:tx>
            <c:strRef>
              <c:f>'CO2 - Cenário RT 2'!$K$75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2'!$L$75:$M$75</c:f>
              <c:numCache>
                <c:formatCode>General</c:formatCode>
                <c:ptCount val="2"/>
                <c:pt idx="0" formatCode="#,##0">
                  <c:v>0</c:v>
                </c:pt>
              </c:numCache>
            </c:numRef>
          </c:val>
          <c:extLst>
            <c:ext xmlns:c16="http://schemas.microsoft.com/office/drawing/2014/chart" uri="{C3380CC4-5D6E-409C-BE32-E72D297353CC}">
              <c16:uniqueId val="{0000000D-E9C0-4878-980D-6E39ACB7AC68}"/>
            </c:ext>
          </c:extLst>
        </c:ser>
        <c:ser>
          <c:idx val="13"/>
          <c:order val="14"/>
          <c:tx>
            <c:strRef>
              <c:f>'CO2 - Cenário RT 2'!$K$76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2'!$L$76:$M$76</c:f>
              <c:numCache>
                <c:formatCode>General</c:formatCode>
                <c:ptCount val="2"/>
                <c:pt idx="0" formatCode="#,##0">
                  <c:v>0</c:v>
                </c:pt>
              </c:numCache>
            </c:numRef>
          </c:val>
          <c:extLst>
            <c:ext xmlns:c16="http://schemas.microsoft.com/office/drawing/2014/chart" uri="{C3380CC4-5D6E-409C-BE32-E72D297353CC}">
              <c16:uniqueId val="{0000000E-E9C0-4878-980D-6E39ACB7AC68}"/>
            </c:ext>
          </c:extLst>
        </c:ser>
        <c:ser>
          <c:idx val="14"/>
          <c:order val="15"/>
          <c:tx>
            <c:strRef>
              <c:f>'CO2 - Cenário RT 2'!$K$77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2'!$L$77:$M$77</c:f>
              <c:numCache>
                <c:formatCode>General</c:formatCode>
                <c:ptCount val="2"/>
                <c:pt idx="0" formatCode="#,##0">
                  <c:v>0</c:v>
                </c:pt>
              </c:numCache>
            </c:numRef>
          </c:val>
          <c:extLst>
            <c:ext xmlns:c16="http://schemas.microsoft.com/office/drawing/2014/chart" uri="{C3380CC4-5D6E-409C-BE32-E72D297353CC}">
              <c16:uniqueId val="{0000000F-E9C0-4878-980D-6E39ACB7AC68}"/>
            </c:ext>
          </c:extLst>
        </c:ser>
        <c:ser>
          <c:idx val="15"/>
          <c:order val="16"/>
          <c:tx>
            <c:strRef>
              <c:f>'CO2 - Cenário RT 2'!$K$78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2'!$L$78:$M$78</c:f>
              <c:numCache>
                <c:formatCode>General</c:formatCode>
                <c:ptCount val="2"/>
                <c:pt idx="0" formatCode="#,##0">
                  <c:v>0</c:v>
                </c:pt>
              </c:numCache>
            </c:numRef>
          </c:val>
          <c:extLst>
            <c:ext xmlns:c16="http://schemas.microsoft.com/office/drawing/2014/chart" uri="{C3380CC4-5D6E-409C-BE32-E72D297353CC}">
              <c16:uniqueId val="{00000010-E9C0-4878-980D-6E39ACB7AC68}"/>
            </c:ext>
          </c:extLst>
        </c:ser>
        <c:ser>
          <c:idx val="16"/>
          <c:order val="17"/>
          <c:tx>
            <c:strRef>
              <c:f>'CO2 - Cenário RT 2'!$K$79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2'!$L$79:$M$79</c:f>
              <c:numCache>
                <c:formatCode>General</c:formatCode>
                <c:ptCount val="2"/>
                <c:pt idx="0" formatCode="#,##0">
                  <c:v>0</c:v>
                </c:pt>
              </c:numCache>
            </c:numRef>
          </c:val>
          <c:extLst>
            <c:ext xmlns:c16="http://schemas.microsoft.com/office/drawing/2014/chart" uri="{C3380CC4-5D6E-409C-BE32-E72D297353CC}">
              <c16:uniqueId val="{00000011-E9C0-4878-980D-6E39ACB7AC68}"/>
            </c:ext>
          </c:extLst>
        </c:ser>
        <c:ser>
          <c:idx val="17"/>
          <c:order val="18"/>
          <c:tx>
            <c:strRef>
              <c:f>'CO2 - Cenário RT 2'!$K$80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2'!$L$80:$M$80</c:f>
              <c:numCache>
                <c:formatCode>General</c:formatCode>
                <c:ptCount val="2"/>
                <c:pt idx="0" formatCode="#,##0">
                  <c:v>0</c:v>
                </c:pt>
              </c:numCache>
            </c:numRef>
          </c:val>
          <c:extLst>
            <c:ext xmlns:c16="http://schemas.microsoft.com/office/drawing/2014/chart" uri="{C3380CC4-5D6E-409C-BE32-E72D297353CC}">
              <c16:uniqueId val="{00000012-E9C0-4878-980D-6E39ACB7AC68}"/>
            </c:ext>
          </c:extLst>
        </c:ser>
        <c:ser>
          <c:idx val="22"/>
          <c:order val="19"/>
          <c:tx>
            <c:strRef>
              <c:f>'CO2 - Cenário RT 2'!$K$81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2'!$L$61:$M$61</c:f>
              <c:strCache>
                <c:ptCount val="2"/>
                <c:pt idx="0">
                  <c:v>Destinação de resíduos</c:v>
                </c:pt>
                <c:pt idx="1">
                  <c:v>Líquido</c:v>
                </c:pt>
              </c:strCache>
            </c:strRef>
          </c:cat>
          <c:val>
            <c:numRef>
              <c:f>'CO2 - Cenário RT 2'!$L$81:$M$81</c:f>
              <c:numCache>
                <c:formatCode>General</c:formatCode>
                <c:ptCount val="2"/>
                <c:pt idx="0" formatCode="#,##0">
                  <c:v>0</c:v>
                </c:pt>
              </c:numCache>
            </c:numRef>
          </c:val>
          <c:extLst>
            <c:ext xmlns:c16="http://schemas.microsoft.com/office/drawing/2014/chart" uri="{C3380CC4-5D6E-409C-BE32-E72D297353CC}">
              <c16:uniqueId val="{00000013-E9C0-4878-980D-6E39ACB7AC68}"/>
            </c:ext>
          </c:extLst>
        </c:ser>
        <c:ser>
          <c:idx val="18"/>
          <c:order val="20"/>
          <c:tx>
            <c:strRef>
              <c:f>'CO2 - Cenário RT 2'!$K$82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2'!$L$82:$M$82</c:f>
              <c:numCache>
                <c:formatCode>General</c:formatCode>
                <c:ptCount val="2"/>
                <c:pt idx="0" formatCode="#,##0">
                  <c:v>0</c:v>
                </c:pt>
              </c:numCache>
            </c:numRef>
          </c:val>
          <c:extLst>
            <c:ext xmlns:c16="http://schemas.microsoft.com/office/drawing/2014/chart" uri="{C3380CC4-5D6E-409C-BE32-E72D297353CC}">
              <c16:uniqueId val="{00000014-E9C0-4878-980D-6E39ACB7AC68}"/>
            </c:ext>
          </c:extLst>
        </c:ser>
        <c:ser>
          <c:idx val="19"/>
          <c:order val="21"/>
          <c:tx>
            <c:strRef>
              <c:f>'CO2 - Cenário RT 2'!$K$83</c:f>
              <c:strCache>
                <c:ptCount val="1"/>
                <c:pt idx="0">
                  <c:v>Créditos</c:v>
                </c:pt>
              </c:strCache>
            </c:strRef>
          </c:tx>
          <c:spPr>
            <a:noFill/>
            <a:ln w="25400">
              <a:noFill/>
            </a:ln>
          </c:spPr>
          <c:invertIfNegative val="0"/>
          <c:cat>
            <c:strRef>
              <c:f>'CO2 - Cenário RT 2'!$L$61:$M$61</c:f>
              <c:strCache>
                <c:ptCount val="2"/>
                <c:pt idx="0">
                  <c:v>Destinação de resíduos</c:v>
                </c:pt>
                <c:pt idx="1">
                  <c:v>Líquido</c:v>
                </c:pt>
              </c:strCache>
            </c:strRef>
          </c:cat>
          <c:val>
            <c:numRef>
              <c:f>'CO2 - Cenário RT 2'!$L$83:$M$83</c:f>
              <c:numCache>
                <c:formatCode>General</c:formatCode>
                <c:ptCount val="2"/>
              </c:numCache>
            </c:numRef>
          </c:val>
          <c:extLst>
            <c:ext xmlns:c16="http://schemas.microsoft.com/office/drawing/2014/chart" uri="{C3380CC4-5D6E-409C-BE32-E72D297353CC}">
              <c16:uniqueId val="{00000015-E9C0-4878-980D-6E39ACB7AC68}"/>
            </c:ext>
          </c:extLst>
        </c:ser>
        <c:ser>
          <c:idx val="20"/>
          <c:order val="22"/>
          <c:tx>
            <c:strRef>
              <c:f>'CO2 - Cenário RT 2'!$K$84</c:f>
              <c:strCache>
                <c:ptCount val="1"/>
                <c:pt idx="0">
                  <c:v>Líquido</c:v>
                </c:pt>
              </c:strCache>
            </c:strRef>
          </c:tx>
          <c:spPr>
            <a:solidFill>
              <a:srgbClr val="0000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2'!$L$84:$M$84</c:f>
              <c:numCache>
                <c:formatCode>#,##0</c:formatCode>
                <c:ptCount val="2"/>
                <c:pt idx="1">
                  <c:v>60730.016463997745</c:v>
                </c:pt>
              </c:numCache>
            </c:numRef>
          </c:val>
          <c:extLst>
            <c:ext xmlns:c16="http://schemas.microsoft.com/office/drawing/2014/chart" uri="{C3380CC4-5D6E-409C-BE32-E72D297353CC}">
              <c16:uniqueId val="{00000016-E9C0-4878-980D-6E39ACB7AC68}"/>
            </c:ext>
          </c:extLst>
        </c:ser>
        <c:dLbls>
          <c:showLegendKey val="0"/>
          <c:showVal val="0"/>
          <c:showCatName val="0"/>
          <c:showSerName val="0"/>
          <c:showPercent val="0"/>
          <c:showBubbleSize val="0"/>
        </c:dLbls>
        <c:gapWidth val="100"/>
        <c:overlap val="100"/>
        <c:axId val="197621632"/>
        <c:axId val="197623168"/>
      </c:barChart>
      <c:catAx>
        <c:axId val="19762163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7623168"/>
        <c:crosses val="autoZero"/>
        <c:auto val="1"/>
        <c:lblAlgn val="ctr"/>
        <c:lblOffset val="100"/>
        <c:tickLblSkip val="1"/>
        <c:tickMarkSkip val="1"/>
        <c:noMultiLvlLbl val="0"/>
      </c:catAx>
      <c:valAx>
        <c:axId val="19762316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5.2069555550346737E-3"/>
              <c:y val="0.375172522968860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7621632"/>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3241295379035887"/>
          <c:y val="1.379406613671616E-3"/>
          <c:w val="0.25295402590805183"/>
          <c:h val="0.97700328922295776"/>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2'!$G$53</c:f>
              <c:strCache>
                <c:ptCount val="1"/>
                <c:pt idx="0">
                  <c:v>Débitos</c:v>
                </c:pt>
              </c:strCache>
            </c:strRef>
          </c:tx>
          <c:spPr>
            <a:solidFill>
              <a:srgbClr val="FFCC99"/>
            </a:solidFill>
            <a:ln w="12700">
              <a:solidFill>
                <a:srgbClr val="000000"/>
              </a:solidFill>
              <a:prstDash val="solid"/>
            </a:ln>
          </c:spPr>
          <c:invertIfNegative val="0"/>
          <c:cat>
            <c:strRef>
              <c:f>'CO2 - Cenário RT 2'!$H$52:$J$52</c:f>
              <c:strCache>
                <c:ptCount val="3"/>
                <c:pt idx="0">
                  <c:v>Resíduo reciclado</c:v>
                </c:pt>
                <c:pt idx="1">
                  <c:v>Destinação de resíduo</c:v>
                </c:pt>
                <c:pt idx="2">
                  <c:v>RSU total</c:v>
                </c:pt>
              </c:strCache>
            </c:strRef>
          </c:cat>
          <c:val>
            <c:numRef>
              <c:f>'CO2 - Cenário RT 2'!$H$53:$J$53</c:f>
              <c:numCache>
                <c:formatCode>#,##0</c:formatCode>
                <c:ptCount val="3"/>
                <c:pt idx="0">
                  <c:v>10561.463048000001</c:v>
                </c:pt>
                <c:pt idx="1">
                  <c:v>60730.016463997745</c:v>
                </c:pt>
                <c:pt idx="2">
                  <c:v>71291.47951199775</c:v>
                </c:pt>
              </c:numCache>
            </c:numRef>
          </c:val>
          <c:extLst>
            <c:ext xmlns:c16="http://schemas.microsoft.com/office/drawing/2014/chart" uri="{C3380CC4-5D6E-409C-BE32-E72D297353CC}">
              <c16:uniqueId val="{00000000-E86B-4CFF-9733-366035C8A533}"/>
            </c:ext>
          </c:extLst>
        </c:ser>
        <c:ser>
          <c:idx val="1"/>
          <c:order val="1"/>
          <c:tx>
            <c:strRef>
              <c:f>'CO2 - Cenário RT 2'!$G$54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2'!$H$52:$J$52</c:f>
              <c:strCache>
                <c:ptCount val="3"/>
                <c:pt idx="0">
                  <c:v>Resíduo reciclado</c:v>
                </c:pt>
                <c:pt idx="1">
                  <c:v>Destinação de resíduo</c:v>
                </c:pt>
                <c:pt idx="2">
                  <c:v>RSU total</c:v>
                </c:pt>
              </c:strCache>
            </c:strRef>
          </c:cat>
          <c:val>
            <c:numRef>
              <c:f>'CO2 - Cenário RT 2'!$H$54:$J$54</c:f>
              <c:numCache>
                <c:formatCode>#,##0</c:formatCode>
                <c:ptCount val="3"/>
                <c:pt idx="0">
                  <c:v>-31824.008943999997</c:v>
                </c:pt>
                <c:pt idx="1">
                  <c:v>0</c:v>
                </c:pt>
                <c:pt idx="2">
                  <c:v>-31824.008943999997</c:v>
                </c:pt>
              </c:numCache>
            </c:numRef>
          </c:val>
          <c:extLst>
            <c:ext xmlns:c16="http://schemas.microsoft.com/office/drawing/2014/chart" uri="{C3380CC4-5D6E-409C-BE32-E72D297353CC}">
              <c16:uniqueId val="{00000001-E86B-4CFF-9733-366035C8A533}"/>
            </c:ext>
          </c:extLst>
        </c:ser>
        <c:ser>
          <c:idx val="2"/>
          <c:order val="2"/>
          <c:tx>
            <c:strRef>
              <c:f>'CO2 - Cenário RT 2'!$G$55</c:f>
              <c:strCache>
                <c:ptCount val="1"/>
                <c:pt idx="0">
                  <c:v>Líquido</c:v>
                </c:pt>
              </c:strCache>
            </c:strRef>
          </c:tx>
          <c:spPr>
            <a:solidFill>
              <a:srgbClr val="0000FF"/>
            </a:solidFill>
            <a:ln w="12700">
              <a:solidFill>
                <a:srgbClr val="000000"/>
              </a:solidFill>
              <a:prstDash val="solid"/>
            </a:ln>
          </c:spPr>
          <c:invertIfNegative val="0"/>
          <c:cat>
            <c:strRef>
              <c:f>'CO2 - Cenário RT 2'!$H$52:$J$52</c:f>
              <c:strCache>
                <c:ptCount val="3"/>
                <c:pt idx="0">
                  <c:v>Resíduo reciclado</c:v>
                </c:pt>
                <c:pt idx="1">
                  <c:v>Destinação de resíduo</c:v>
                </c:pt>
                <c:pt idx="2">
                  <c:v>RSU total</c:v>
                </c:pt>
              </c:strCache>
            </c:strRef>
          </c:cat>
          <c:val>
            <c:numRef>
              <c:f>'CO2 - Cenário RT 2'!$H$55:$J$55</c:f>
              <c:numCache>
                <c:formatCode>#,##0</c:formatCode>
                <c:ptCount val="3"/>
                <c:pt idx="0">
                  <c:v>-21262.545895999996</c:v>
                </c:pt>
                <c:pt idx="1">
                  <c:v>60730.016463997745</c:v>
                </c:pt>
                <c:pt idx="2">
                  <c:v>39467.470567997749</c:v>
                </c:pt>
              </c:numCache>
            </c:numRef>
          </c:val>
          <c:extLst>
            <c:ext xmlns:c16="http://schemas.microsoft.com/office/drawing/2014/chart" uri="{C3380CC4-5D6E-409C-BE32-E72D297353CC}">
              <c16:uniqueId val="{00000002-E86B-4CFF-9733-366035C8A533}"/>
            </c:ext>
          </c:extLst>
        </c:ser>
        <c:dLbls>
          <c:showLegendKey val="0"/>
          <c:showVal val="0"/>
          <c:showCatName val="0"/>
          <c:showSerName val="0"/>
          <c:showPercent val="0"/>
          <c:showBubbleSize val="0"/>
        </c:dLbls>
        <c:gapWidth val="100"/>
        <c:axId val="197736704"/>
        <c:axId val="197742592"/>
      </c:barChart>
      <c:catAx>
        <c:axId val="19773670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742592"/>
        <c:crosses val="autoZero"/>
        <c:auto val="1"/>
        <c:lblAlgn val="ctr"/>
        <c:lblOffset val="50"/>
        <c:tickLblSkip val="1"/>
        <c:tickMarkSkip val="1"/>
        <c:noMultiLvlLbl val="0"/>
      </c:catAx>
      <c:valAx>
        <c:axId val="197742592"/>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8640024743070773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736704"/>
        <c:crosses val="autoZero"/>
        <c:crossBetween val="between"/>
      </c:valAx>
      <c:spPr>
        <a:noFill/>
        <a:ln w="3175">
          <a:solidFill>
            <a:srgbClr val="000000"/>
          </a:solidFill>
          <a:prstDash val="solid"/>
        </a:ln>
      </c:spPr>
    </c:plotArea>
    <c:legend>
      <c:legendPos val="r"/>
      <c:layout>
        <c:manualLayout>
          <c:xMode val="edge"/>
          <c:yMode val="edge"/>
          <c:x val="0.18641531379535659"/>
          <c:y val="2.850750632338095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34887542620636"/>
          <c:y val="1.3317222772640101E-2"/>
        </c:manualLayout>
      </c:layout>
      <c:overlay val="0"/>
      <c:spPr>
        <a:noFill/>
        <a:ln w="25400">
          <a:noFill/>
        </a:ln>
      </c:spPr>
    </c:title>
    <c:autoTitleDeleted val="0"/>
    <c:plotArea>
      <c:layout>
        <c:manualLayout>
          <c:layoutTarget val="inner"/>
          <c:xMode val="edge"/>
          <c:yMode val="edge"/>
          <c:x val="0.18750017339549072"/>
          <c:y val="0.10653778218112091"/>
          <c:w val="0.78598557534473334"/>
          <c:h val="0.5859578019961643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3'!$B$7:$B$15,'CO2 - Cenário RT 3'!$B$18:$B$27)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3'!$C$7:$C$15,'CO2 - Cenário RT 3'!$C$18:$C$27)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39381.762599999995</c:v>
                </c:pt>
                <c:pt idx="13">
                  <c:v>0</c:v>
                </c:pt>
                <c:pt idx="14">
                  <c:v>0</c:v>
                </c:pt>
                <c:pt idx="15">
                  <c:v>0</c:v>
                </c:pt>
                <c:pt idx="16">
                  <c:v>0</c:v>
                </c:pt>
                <c:pt idx="17">
                  <c:v>91890.779399999985</c:v>
                </c:pt>
                <c:pt idx="18">
                  <c:v>0</c:v>
                </c:pt>
              </c:numCache>
            </c:numRef>
          </c:val>
          <c:extLst>
            <c:ext xmlns:c16="http://schemas.microsoft.com/office/drawing/2014/chart" uri="{C3380CC4-5D6E-409C-BE32-E72D297353CC}">
              <c16:uniqueId val="{00000000-48B8-4582-834A-CFE86D75C968}"/>
            </c:ext>
          </c:extLst>
        </c:ser>
        <c:dLbls>
          <c:showLegendKey val="0"/>
          <c:showVal val="0"/>
          <c:showCatName val="0"/>
          <c:showSerName val="0"/>
          <c:showPercent val="0"/>
          <c:showBubbleSize val="0"/>
        </c:dLbls>
        <c:gapWidth val="100"/>
        <c:axId val="197835392"/>
        <c:axId val="197837184"/>
      </c:barChart>
      <c:catAx>
        <c:axId val="19783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837184"/>
        <c:crosses val="autoZero"/>
        <c:auto val="1"/>
        <c:lblAlgn val="ctr"/>
        <c:lblOffset val="100"/>
        <c:tickLblSkip val="1"/>
        <c:tickMarkSkip val="1"/>
        <c:noMultiLvlLbl val="0"/>
      </c:catAx>
      <c:valAx>
        <c:axId val="19783718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1.2487080419295414E-2"/>
              <c:y val="0.363720882653520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83539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a:t>
            </a:r>
            <a:r>
              <a:rPr lang="de-DE" baseline="0"/>
              <a:t> de GEE</a:t>
            </a:r>
            <a:r>
              <a:rPr lang="de-DE"/>
              <a:t> </a:t>
            </a:r>
            <a:r>
              <a:rPr lang="pt-BR" sz="975" b="0" i="0" u="none" strike="noStrike" baseline="0">
                <a:solidFill>
                  <a:sysClr val="windowText" lastClr="000000"/>
                </a:solidFill>
                <a:effectLst/>
              </a:rPr>
              <a:t>—</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3'!$B$62</c:f>
              <c:strCache>
                <c:ptCount val="1"/>
                <c:pt idx="0">
                  <c:v>Resíduos de alimentos</c:v>
                </c:pt>
              </c:strCache>
            </c:strRef>
          </c:tx>
          <c:spPr>
            <a:solidFill>
              <a:srgbClr val="99CC0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3'!$C$62:$D$62</c:f>
              <c:numCache>
                <c:formatCode>General</c:formatCode>
                <c:ptCount val="2"/>
                <c:pt idx="0" formatCode="#,##0">
                  <c:v>0</c:v>
                </c:pt>
              </c:numCache>
            </c:numRef>
          </c:val>
          <c:extLst>
            <c:ext xmlns:c16="http://schemas.microsoft.com/office/drawing/2014/chart" uri="{C3380CC4-5D6E-409C-BE32-E72D297353CC}">
              <c16:uniqueId val="{00000000-A137-4DA1-9553-8AA13C72592D}"/>
            </c:ext>
          </c:extLst>
        </c:ser>
        <c:ser>
          <c:idx val="1"/>
          <c:order val="1"/>
          <c:tx>
            <c:strRef>
              <c:f>'CO2 - Cenário RT 3'!$B$63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3'!$C$63:$D$63</c:f>
              <c:numCache>
                <c:formatCode>General</c:formatCode>
                <c:ptCount val="2"/>
                <c:pt idx="0" formatCode="#,##0">
                  <c:v>0</c:v>
                </c:pt>
              </c:numCache>
            </c:numRef>
          </c:val>
          <c:extLst>
            <c:ext xmlns:c16="http://schemas.microsoft.com/office/drawing/2014/chart" uri="{C3380CC4-5D6E-409C-BE32-E72D297353CC}">
              <c16:uniqueId val="{00000001-A137-4DA1-9553-8AA13C72592D}"/>
            </c:ext>
          </c:extLst>
        </c:ser>
        <c:ser>
          <c:idx val="2"/>
          <c:order val="2"/>
          <c:tx>
            <c:strRef>
              <c:f>'CO2 - Cenário RT 3'!$B$64</c:f>
              <c:strCache>
                <c:ptCount val="1"/>
                <c:pt idx="0">
                  <c:v>Papel, papelão</c:v>
                </c:pt>
              </c:strCache>
            </c:strRef>
          </c:tx>
          <c:spPr>
            <a:solidFill>
              <a:srgbClr val="CC99FF"/>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3'!$C$64:$D$64</c:f>
              <c:numCache>
                <c:formatCode>General</c:formatCode>
                <c:ptCount val="2"/>
                <c:pt idx="0" formatCode="#,##0">
                  <c:v>7999.4112480000003</c:v>
                </c:pt>
              </c:numCache>
            </c:numRef>
          </c:val>
          <c:extLst>
            <c:ext xmlns:c16="http://schemas.microsoft.com/office/drawing/2014/chart" uri="{C3380CC4-5D6E-409C-BE32-E72D297353CC}">
              <c16:uniqueId val="{00000002-A137-4DA1-9553-8AA13C72592D}"/>
            </c:ext>
          </c:extLst>
        </c:ser>
        <c:ser>
          <c:idx val="3"/>
          <c:order val="3"/>
          <c:tx>
            <c:strRef>
              <c:f>'CO2 - Cenário RT 3'!$B$65</c:f>
              <c:strCache>
                <c:ptCount val="1"/>
                <c:pt idx="0">
                  <c:v>Plásticos</c:v>
                </c:pt>
              </c:strCache>
            </c:strRef>
          </c:tx>
          <c:spPr>
            <a:solidFill>
              <a:srgbClr val="FFFF0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3'!$C$65:$D$65</c:f>
              <c:numCache>
                <c:formatCode>General</c:formatCode>
                <c:ptCount val="2"/>
                <c:pt idx="0" formatCode="#,##0">
                  <c:v>1777.8420000000001</c:v>
                </c:pt>
              </c:numCache>
            </c:numRef>
          </c:val>
          <c:extLst>
            <c:ext xmlns:c16="http://schemas.microsoft.com/office/drawing/2014/chart" uri="{C3380CC4-5D6E-409C-BE32-E72D297353CC}">
              <c16:uniqueId val="{00000003-A137-4DA1-9553-8AA13C72592D}"/>
            </c:ext>
          </c:extLst>
        </c:ser>
        <c:ser>
          <c:idx val="4"/>
          <c:order val="4"/>
          <c:tx>
            <c:strRef>
              <c:f>'CO2 - Cenário RT 3'!$B$66</c:f>
              <c:strCache>
                <c:ptCount val="1"/>
                <c:pt idx="0">
                  <c:v>Vidros</c:v>
                </c:pt>
              </c:strCache>
            </c:strRef>
          </c:tx>
          <c:spPr>
            <a:solidFill>
              <a:srgbClr val="FF99CC"/>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3'!$C$66:$D$66</c:f>
              <c:numCache>
                <c:formatCode>General</c:formatCode>
                <c:ptCount val="2"/>
                <c:pt idx="0" formatCode="#,##0">
                  <c:v>0</c:v>
                </c:pt>
              </c:numCache>
            </c:numRef>
          </c:val>
          <c:extLst>
            <c:ext xmlns:c16="http://schemas.microsoft.com/office/drawing/2014/chart" uri="{C3380CC4-5D6E-409C-BE32-E72D297353CC}">
              <c16:uniqueId val="{00000004-A137-4DA1-9553-8AA13C72592D}"/>
            </c:ext>
          </c:extLst>
        </c:ser>
        <c:ser>
          <c:idx val="5"/>
          <c:order val="5"/>
          <c:tx>
            <c:strRef>
              <c:f>'CO2 - Cenário RT 3'!$B$67</c:f>
              <c:strCache>
                <c:ptCount val="1"/>
                <c:pt idx="0">
                  <c:v>Metais ferrosos</c:v>
                </c:pt>
              </c:strCache>
            </c:strRef>
          </c:tx>
          <c:spPr>
            <a:solidFill>
              <a:srgbClr val="C0C0C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3'!$C$67:$D$67</c:f>
              <c:numCache>
                <c:formatCode>General</c:formatCode>
                <c:ptCount val="2"/>
                <c:pt idx="0" formatCode="#,##0">
                  <c:v>204.16639999999998</c:v>
                </c:pt>
              </c:numCache>
            </c:numRef>
          </c:val>
          <c:extLst>
            <c:ext xmlns:c16="http://schemas.microsoft.com/office/drawing/2014/chart" uri="{C3380CC4-5D6E-409C-BE32-E72D297353CC}">
              <c16:uniqueId val="{00000005-A137-4DA1-9553-8AA13C72592D}"/>
            </c:ext>
          </c:extLst>
        </c:ser>
        <c:ser>
          <c:idx val="6"/>
          <c:order val="6"/>
          <c:tx>
            <c:strRef>
              <c:f>'CO2 - Cenário RT 3'!$B$68</c:f>
              <c:strCache>
                <c:ptCount val="1"/>
                <c:pt idx="0">
                  <c:v>Alumínio</c:v>
                </c:pt>
              </c:strCache>
            </c:strRef>
          </c:tx>
          <c:spPr>
            <a:solidFill>
              <a:srgbClr val="993366"/>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3'!$C$68:$D$68</c:f>
              <c:numCache>
                <c:formatCode>General</c:formatCode>
                <c:ptCount val="2"/>
                <c:pt idx="0" formatCode="#,##0">
                  <c:v>580.04339999999991</c:v>
                </c:pt>
              </c:numCache>
            </c:numRef>
          </c:val>
          <c:extLst>
            <c:ext xmlns:c16="http://schemas.microsoft.com/office/drawing/2014/chart" uri="{C3380CC4-5D6E-409C-BE32-E72D297353CC}">
              <c16:uniqueId val="{00000006-A137-4DA1-9553-8AA13C72592D}"/>
            </c:ext>
          </c:extLst>
        </c:ser>
        <c:ser>
          <c:idx val="7"/>
          <c:order val="7"/>
          <c:tx>
            <c:strRef>
              <c:f>'CO2 - Cenário RT 3'!$B$69</c:f>
              <c:strCache>
                <c:ptCount val="1"/>
                <c:pt idx="0">
                  <c:v>Têxteis</c:v>
                </c:pt>
              </c:strCache>
            </c:strRef>
          </c:tx>
          <c:spPr>
            <a:solidFill>
              <a:srgbClr val="9999FF"/>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3'!$C$69:$D$69</c:f>
              <c:numCache>
                <c:formatCode>General</c:formatCode>
                <c:ptCount val="2"/>
                <c:pt idx="0" formatCode="#,##0">
                  <c:v>0</c:v>
                </c:pt>
              </c:numCache>
            </c:numRef>
          </c:val>
          <c:extLst>
            <c:ext xmlns:c16="http://schemas.microsoft.com/office/drawing/2014/chart" uri="{C3380CC4-5D6E-409C-BE32-E72D297353CC}">
              <c16:uniqueId val="{00000007-A137-4DA1-9553-8AA13C72592D}"/>
            </c:ext>
          </c:extLst>
        </c:ser>
        <c:ser>
          <c:idx val="8"/>
          <c:order val="8"/>
          <c:tx>
            <c:strRef>
              <c:f>'CO2 - Cenário RT 3'!$B$70</c:f>
              <c:strCache>
                <c:ptCount val="1"/>
                <c:pt idx="0">
                  <c:v>Débitos</c:v>
                </c:pt>
              </c:strCache>
            </c:strRef>
          </c:tx>
          <c:spPr>
            <a:noFill/>
            <a:ln w="25400">
              <a:noFill/>
            </a:ln>
          </c:spPr>
          <c:invertIfNegative val="0"/>
          <c:cat>
            <c:strRef>
              <c:f>'CO2 - Cenário RT 3'!$C$61:$D$61</c:f>
              <c:strCache>
                <c:ptCount val="2"/>
                <c:pt idx="0">
                  <c:v>Resíduos reciclados</c:v>
                </c:pt>
                <c:pt idx="1">
                  <c:v>Líquido</c:v>
                </c:pt>
              </c:strCache>
            </c:strRef>
          </c:cat>
          <c:val>
            <c:numRef>
              <c:f>'CO2 - Cenário RT 3'!$C$70:$D$70</c:f>
              <c:numCache>
                <c:formatCode>#,##0</c:formatCode>
                <c:ptCount val="2"/>
              </c:numCache>
            </c:numRef>
          </c:val>
          <c:extLst>
            <c:ext xmlns:c16="http://schemas.microsoft.com/office/drawing/2014/chart" uri="{C3380CC4-5D6E-409C-BE32-E72D297353CC}">
              <c16:uniqueId val="{00000008-A137-4DA1-9553-8AA13C72592D}"/>
            </c:ext>
          </c:extLst>
        </c:ser>
        <c:ser>
          <c:idx val="9"/>
          <c:order val="9"/>
          <c:tx>
            <c:strRef>
              <c:f>'CO2 - Cenário RT 3'!$B$71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3'!$C$71:$D$71</c:f>
              <c:numCache>
                <c:formatCode>General</c:formatCode>
                <c:ptCount val="2"/>
                <c:pt idx="0" formatCode="#,##0">
                  <c:v>0</c:v>
                </c:pt>
              </c:numCache>
            </c:numRef>
          </c:val>
          <c:extLst>
            <c:ext xmlns:c16="http://schemas.microsoft.com/office/drawing/2014/chart" uri="{C3380CC4-5D6E-409C-BE32-E72D297353CC}">
              <c16:uniqueId val="{00000009-A137-4DA1-9553-8AA13C72592D}"/>
            </c:ext>
          </c:extLst>
        </c:ser>
        <c:ser>
          <c:idx val="10"/>
          <c:order val="10"/>
          <c:tx>
            <c:strRef>
              <c:f>'CO2 - Cenário RT 3'!$B$72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3'!$C$72:$D$72</c:f>
              <c:numCache>
                <c:formatCode>General</c:formatCode>
                <c:ptCount val="2"/>
                <c:pt idx="0" formatCode="#,##0">
                  <c:v>0</c:v>
                </c:pt>
              </c:numCache>
            </c:numRef>
          </c:val>
          <c:extLst>
            <c:ext xmlns:c16="http://schemas.microsoft.com/office/drawing/2014/chart" uri="{C3380CC4-5D6E-409C-BE32-E72D297353CC}">
              <c16:uniqueId val="{0000000A-A137-4DA1-9553-8AA13C72592D}"/>
            </c:ext>
          </c:extLst>
        </c:ser>
        <c:ser>
          <c:idx val="11"/>
          <c:order val="11"/>
          <c:tx>
            <c:strRef>
              <c:f>'CO2 - Cenário RT 3'!$B$73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3'!$C$73:$D$73</c:f>
              <c:numCache>
                <c:formatCode>General</c:formatCode>
                <c:ptCount val="2"/>
                <c:pt idx="0" formatCode="#,##0">
                  <c:v>-9859.1469840000009</c:v>
                </c:pt>
              </c:numCache>
            </c:numRef>
          </c:val>
          <c:extLst>
            <c:ext xmlns:c16="http://schemas.microsoft.com/office/drawing/2014/chart" uri="{C3380CC4-5D6E-409C-BE32-E72D297353CC}">
              <c16:uniqueId val="{0000000B-A137-4DA1-9553-8AA13C72592D}"/>
            </c:ext>
          </c:extLst>
        </c:ser>
        <c:ser>
          <c:idx val="12"/>
          <c:order val="12"/>
          <c:tx>
            <c:strRef>
              <c:f>'CO2 - Cenário RT 3'!$B$74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3'!$C$74:$D$74</c:f>
              <c:numCache>
                <c:formatCode>General</c:formatCode>
                <c:ptCount val="2"/>
                <c:pt idx="0" formatCode="#,##0">
                  <c:v>-8281.2747600000002</c:v>
                </c:pt>
              </c:numCache>
            </c:numRef>
          </c:val>
          <c:extLst>
            <c:ext xmlns:c16="http://schemas.microsoft.com/office/drawing/2014/chart" uri="{C3380CC4-5D6E-409C-BE32-E72D297353CC}">
              <c16:uniqueId val="{0000000C-A137-4DA1-9553-8AA13C72592D}"/>
            </c:ext>
          </c:extLst>
        </c:ser>
        <c:ser>
          <c:idx val="13"/>
          <c:order val="13"/>
          <c:tx>
            <c:strRef>
              <c:f>'CO2 - Cenário RT 3'!$B$75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3'!$C$75:$D$75</c:f>
              <c:numCache>
                <c:formatCode>General</c:formatCode>
                <c:ptCount val="2"/>
                <c:pt idx="0" formatCode="#,##0">
                  <c:v>0</c:v>
                </c:pt>
              </c:numCache>
            </c:numRef>
          </c:val>
          <c:extLst>
            <c:ext xmlns:c16="http://schemas.microsoft.com/office/drawing/2014/chart" uri="{C3380CC4-5D6E-409C-BE32-E72D297353CC}">
              <c16:uniqueId val="{0000000D-A137-4DA1-9553-8AA13C72592D}"/>
            </c:ext>
          </c:extLst>
        </c:ser>
        <c:ser>
          <c:idx val="14"/>
          <c:order val="14"/>
          <c:tx>
            <c:strRef>
              <c:f>'CO2 - Cenário RT 3'!$B$76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3'!$C$76:$D$76</c:f>
              <c:numCache>
                <c:formatCode>General</c:formatCode>
                <c:ptCount val="2"/>
                <c:pt idx="0" formatCode="#,##0">
                  <c:v>-5461.4512000000004</c:v>
                </c:pt>
              </c:numCache>
            </c:numRef>
          </c:val>
          <c:extLst>
            <c:ext xmlns:c16="http://schemas.microsoft.com/office/drawing/2014/chart" uri="{C3380CC4-5D6E-409C-BE32-E72D297353CC}">
              <c16:uniqueId val="{0000000E-A137-4DA1-9553-8AA13C72592D}"/>
            </c:ext>
          </c:extLst>
        </c:ser>
        <c:ser>
          <c:idx val="15"/>
          <c:order val="15"/>
          <c:tx>
            <c:strRef>
              <c:f>'CO2 - Cenário RT 3'!$B$77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3'!$C$77:$D$77</c:f>
              <c:numCache>
                <c:formatCode>General</c:formatCode>
                <c:ptCount val="2"/>
                <c:pt idx="0" formatCode="#,##0">
                  <c:v>-8222.1359999999986</c:v>
                </c:pt>
              </c:numCache>
            </c:numRef>
          </c:val>
          <c:extLst>
            <c:ext xmlns:c16="http://schemas.microsoft.com/office/drawing/2014/chart" uri="{C3380CC4-5D6E-409C-BE32-E72D297353CC}">
              <c16:uniqueId val="{0000000F-A137-4DA1-9553-8AA13C72592D}"/>
            </c:ext>
          </c:extLst>
        </c:ser>
        <c:ser>
          <c:idx val="16"/>
          <c:order val="16"/>
          <c:tx>
            <c:strRef>
              <c:f>'CO2 - Cenário RT 3'!$B$78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3'!$C$78:$D$78</c:f>
              <c:numCache>
                <c:formatCode>General</c:formatCode>
                <c:ptCount val="2"/>
                <c:pt idx="0" formatCode="#,##0">
                  <c:v>0</c:v>
                </c:pt>
              </c:numCache>
            </c:numRef>
          </c:val>
          <c:extLst>
            <c:ext xmlns:c16="http://schemas.microsoft.com/office/drawing/2014/chart" uri="{C3380CC4-5D6E-409C-BE32-E72D297353CC}">
              <c16:uniqueId val="{00000010-A137-4DA1-9553-8AA13C72592D}"/>
            </c:ext>
          </c:extLst>
        </c:ser>
        <c:ser>
          <c:idx val="17"/>
          <c:order val="17"/>
          <c:tx>
            <c:strRef>
              <c:f>'CO2 - Cenário RT 3'!$B$79</c:f>
              <c:strCache>
                <c:ptCount val="1"/>
                <c:pt idx="0">
                  <c:v>Créditos</c:v>
                </c:pt>
              </c:strCache>
            </c:strRef>
          </c:tx>
          <c:spPr>
            <a:noFill/>
            <a:ln w="25400">
              <a:noFill/>
            </a:ln>
          </c:spPr>
          <c:invertIfNegative val="0"/>
          <c:cat>
            <c:strRef>
              <c:f>'CO2 - Cenário RT 3'!$C$61:$D$61</c:f>
              <c:strCache>
                <c:ptCount val="2"/>
                <c:pt idx="0">
                  <c:v>Resíduos reciclados</c:v>
                </c:pt>
                <c:pt idx="1">
                  <c:v>Líquido</c:v>
                </c:pt>
              </c:strCache>
            </c:strRef>
          </c:cat>
          <c:val>
            <c:numRef>
              <c:f>'CO2 - Cenário RT 3'!$C$79:$D$79</c:f>
              <c:numCache>
                <c:formatCode>#,##0</c:formatCode>
                <c:ptCount val="2"/>
              </c:numCache>
            </c:numRef>
          </c:val>
          <c:extLst>
            <c:ext xmlns:c16="http://schemas.microsoft.com/office/drawing/2014/chart" uri="{C3380CC4-5D6E-409C-BE32-E72D297353CC}">
              <c16:uniqueId val="{00000011-A137-4DA1-9553-8AA13C72592D}"/>
            </c:ext>
          </c:extLst>
        </c:ser>
        <c:ser>
          <c:idx val="18"/>
          <c:order val="18"/>
          <c:tx>
            <c:strRef>
              <c:f>'CO2 - Cenário RT 3'!$B$80</c:f>
              <c:strCache>
                <c:ptCount val="1"/>
                <c:pt idx="0">
                  <c:v>Líquido</c:v>
                </c:pt>
              </c:strCache>
            </c:strRef>
          </c:tx>
          <c:spPr>
            <a:solidFill>
              <a:srgbClr val="0000FF"/>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3'!$C$80:$D$80</c:f>
              <c:numCache>
                <c:formatCode>#,##0</c:formatCode>
                <c:ptCount val="2"/>
                <c:pt idx="1">
                  <c:v>-21262.545896</c:v>
                </c:pt>
              </c:numCache>
            </c:numRef>
          </c:val>
          <c:extLst>
            <c:ext xmlns:c16="http://schemas.microsoft.com/office/drawing/2014/chart" uri="{C3380CC4-5D6E-409C-BE32-E72D297353CC}">
              <c16:uniqueId val="{00000012-A137-4DA1-9553-8AA13C72592D}"/>
            </c:ext>
          </c:extLst>
        </c:ser>
        <c:dLbls>
          <c:showLegendKey val="0"/>
          <c:showVal val="0"/>
          <c:showCatName val="0"/>
          <c:showSerName val="0"/>
          <c:showPercent val="0"/>
          <c:showBubbleSize val="0"/>
        </c:dLbls>
        <c:gapWidth val="100"/>
        <c:overlap val="100"/>
        <c:axId val="198289664"/>
        <c:axId val="198299648"/>
      </c:barChart>
      <c:catAx>
        <c:axId val="1982896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299648"/>
        <c:crosses val="autoZero"/>
        <c:auto val="1"/>
        <c:lblAlgn val="ctr"/>
        <c:lblOffset val="100"/>
        <c:tickLblSkip val="1"/>
        <c:tickMarkSkip val="1"/>
        <c:noMultiLvlLbl val="0"/>
      </c:catAx>
      <c:valAx>
        <c:axId val="1982996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1.1369026467846592E-2"/>
              <c:y val="0.359461555472192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2896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9670442842430488"/>
          <c:y val="0.12689655172413788"/>
          <c:w val="0.51802265705458328"/>
          <c:h val="0.76137931034482786"/>
        </c:manualLayout>
      </c:layout>
      <c:barChart>
        <c:barDir val="col"/>
        <c:grouping val="stacked"/>
        <c:varyColors val="0"/>
        <c:ser>
          <c:idx val="0"/>
          <c:order val="0"/>
          <c:tx>
            <c:strRef>
              <c:f>'CO2 - Cenário RT 3'!$K$62</c:f>
              <c:strCache>
                <c:ptCount val="1"/>
                <c:pt idx="0">
                  <c:v>Resíduos dispersos</c:v>
                </c:pt>
              </c:strCache>
            </c:strRef>
          </c:tx>
          <c:spPr>
            <a:solidFill>
              <a:srgbClr val="FFFF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3'!$L$62:$M$62</c:f>
              <c:numCache>
                <c:formatCode>General</c:formatCode>
                <c:ptCount val="2"/>
                <c:pt idx="0" formatCode="#,##0">
                  <c:v>0</c:v>
                </c:pt>
              </c:numCache>
            </c:numRef>
          </c:val>
          <c:extLst>
            <c:ext xmlns:c16="http://schemas.microsoft.com/office/drawing/2014/chart" uri="{C3380CC4-5D6E-409C-BE32-E72D297353CC}">
              <c16:uniqueId val="{00000000-0F58-4960-BAFB-C692B985AA95}"/>
            </c:ext>
          </c:extLst>
        </c:ser>
        <c:ser>
          <c:idx val="1"/>
          <c:order val="1"/>
          <c:tx>
            <c:strRef>
              <c:f>'CO2 - Cenário RT 3'!$K$63</c:f>
              <c:strCache>
                <c:ptCount val="1"/>
                <c:pt idx="0">
                  <c:v>Queima a céu aberto</c:v>
                </c:pt>
              </c:strCache>
            </c:strRef>
          </c:tx>
          <c:spPr>
            <a:solidFill>
              <a:srgbClr val="FF808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3'!$L$63:$M$63</c:f>
              <c:numCache>
                <c:formatCode>General</c:formatCode>
                <c:ptCount val="2"/>
                <c:pt idx="0" formatCode="#,##0">
                  <c:v>0</c:v>
                </c:pt>
              </c:numCache>
            </c:numRef>
          </c:val>
          <c:extLst>
            <c:ext xmlns:c16="http://schemas.microsoft.com/office/drawing/2014/chart" uri="{C3380CC4-5D6E-409C-BE32-E72D297353CC}">
              <c16:uniqueId val="{00000001-0F58-4960-BAFB-C692B985AA95}"/>
            </c:ext>
          </c:extLst>
        </c:ser>
        <c:ser>
          <c:idx val="2"/>
          <c:order val="2"/>
          <c:tx>
            <c:strRef>
              <c:f>'CO2 - Cenário RT 3'!$K$64</c:f>
              <c:strCache>
                <c:ptCount val="1"/>
                <c:pt idx="0">
                  <c:v>Lixão não controlado</c:v>
                </c:pt>
              </c:strCache>
            </c:strRef>
          </c:tx>
          <c:spPr>
            <a:solidFill>
              <a:srgbClr val="9933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3'!$L$64:$M$64</c:f>
              <c:numCache>
                <c:formatCode>General</c:formatCode>
                <c:ptCount val="2"/>
                <c:pt idx="0" formatCode="#,##0">
                  <c:v>0</c:v>
                </c:pt>
              </c:numCache>
            </c:numRef>
          </c:val>
          <c:extLst>
            <c:ext xmlns:c16="http://schemas.microsoft.com/office/drawing/2014/chart" uri="{C3380CC4-5D6E-409C-BE32-E72D297353CC}">
              <c16:uniqueId val="{00000002-0F58-4960-BAFB-C692B985AA95}"/>
            </c:ext>
          </c:extLst>
        </c:ser>
        <c:ser>
          <c:idx val="3"/>
          <c:order val="3"/>
          <c:tx>
            <c:strRef>
              <c:f>'CO2 - Cenário RT 3'!$K$65</c:f>
              <c:strCache>
                <c:ptCount val="1"/>
                <c:pt idx="0">
                  <c:v>Aterro controlado</c:v>
                </c:pt>
              </c:strCache>
            </c:strRef>
          </c:tx>
          <c:spPr>
            <a:solidFill>
              <a:srgbClr val="99CC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3'!$L$65:$M$65</c:f>
              <c:numCache>
                <c:formatCode>General</c:formatCode>
                <c:ptCount val="2"/>
                <c:pt idx="0" formatCode="#,##0">
                  <c:v>52922.54492561012</c:v>
                </c:pt>
              </c:numCache>
            </c:numRef>
          </c:val>
          <c:extLst>
            <c:ext xmlns:c16="http://schemas.microsoft.com/office/drawing/2014/chart" uri="{C3380CC4-5D6E-409C-BE32-E72D297353CC}">
              <c16:uniqueId val="{00000003-0F58-4960-BAFB-C692B985AA95}"/>
            </c:ext>
          </c:extLst>
        </c:ser>
        <c:ser>
          <c:idx val="4"/>
          <c:order val="4"/>
          <c:tx>
            <c:strRef>
              <c:f>'CO2 - Cenário RT 3'!$K$66</c:f>
              <c:strCache>
                <c:ptCount val="1"/>
                <c:pt idx="0">
                  <c:v>Aterro sanitário</c:v>
                </c:pt>
              </c:strCache>
            </c:strRef>
          </c:tx>
          <c:spPr>
            <a:solidFill>
              <a:srgbClr val="FFFF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3'!$L$66:$M$66</c:f>
              <c:numCache>
                <c:formatCode>General</c:formatCode>
                <c:ptCount val="2"/>
                <c:pt idx="0" formatCode="#,##0">
                  <c:v>0</c:v>
                </c:pt>
              </c:numCache>
            </c:numRef>
          </c:val>
          <c:extLst>
            <c:ext xmlns:c16="http://schemas.microsoft.com/office/drawing/2014/chart" uri="{C3380CC4-5D6E-409C-BE32-E72D297353CC}">
              <c16:uniqueId val="{00000004-0F58-4960-BAFB-C692B985AA95}"/>
            </c:ext>
          </c:extLst>
        </c:ser>
        <c:ser>
          <c:idx val="5"/>
          <c:order val="5"/>
          <c:tx>
            <c:strRef>
              <c:f>'CO2 - Cenário RT 3'!$K$67</c:f>
              <c:strCache>
                <c:ptCount val="1"/>
                <c:pt idx="0">
                  <c:v>Trat. biol + cobertura at.</c:v>
                </c:pt>
              </c:strCache>
            </c:strRef>
          </c:tx>
          <c:spPr>
            <a:solidFill>
              <a:srgbClr val="FF00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3'!$L$67:$M$67</c:f>
              <c:numCache>
                <c:formatCode>General</c:formatCode>
                <c:ptCount val="2"/>
                <c:pt idx="0" formatCode="#,##0">
                  <c:v>0</c:v>
                </c:pt>
              </c:numCache>
            </c:numRef>
          </c:val>
          <c:extLst>
            <c:ext xmlns:c16="http://schemas.microsoft.com/office/drawing/2014/chart" uri="{C3380CC4-5D6E-409C-BE32-E72D297353CC}">
              <c16:uniqueId val="{00000005-0F58-4960-BAFB-C692B985AA95}"/>
            </c:ext>
          </c:extLst>
        </c:ser>
        <c:ser>
          <c:idx val="6"/>
          <c:order val="6"/>
          <c:tx>
            <c:strRef>
              <c:f>'CO2 - Cenário RT 3'!$K$68</c:f>
              <c:strCache>
                <c:ptCount val="1"/>
                <c:pt idx="0">
                  <c:v>CDR seco + rejeito aterro</c:v>
                </c:pt>
              </c:strCache>
            </c:strRef>
          </c:tx>
          <c:spPr>
            <a:solidFill>
              <a:srgbClr val="00808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3'!$L$68:$M$68</c:f>
              <c:numCache>
                <c:formatCode>General</c:formatCode>
                <c:ptCount val="2"/>
                <c:pt idx="0" formatCode="#,##0">
                  <c:v>0</c:v>
                </c:pt>
              </c:numCache>
            </c:numRef>
          </c:val>
          <c:extLst>
            <c:ext xmlns:c16="http://schemas.microsoft.com/office/drawing/2014/chart" uri="{C3380CC4-5D6E-409C-BE32-E72D297353CC}">
              <c16:uniqueId val="{00000006-0F58-4960-BAFB-C692B985AA95}"/>
            </c:ext>
          </c:extLst>
        </c:ser>
        <c:ser>
          <c:idx val="7"/>
          <c:order val="7"/>
          <c:tx>
            <c:strRef>
              <c:f>'CO2 - Cenário RT 3'!$K$69</c:f>
              <c:strCache>
                <c:ptCount val="1"/>
                <c:pt idx="0">
                  <c:v>CDR seco + trat. biol.</c:v>
                </c:pt>
              </c:strCache>
            </c:strRef>
          </c:tx>
          <c:spPr>
            <a:solidFill>
              <a:srgbClr val="FF99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3'!$L$69:$M$69</c:f>
              <c:numCache>
                <c:formatCode>General</c:formatCode>
                <c:ptCount val="2"/>
                <c:pt idx="0" formatCode="#,##0">
                  <c:v>0</c:v>
                </c:pt>
              </c:numCache>
            </c:numRef>
          </c:val>
          <c:extLst>
            <c:ext xmlns:c16="http://schemas.microsoft.com/office/drawing/2014/chart" uri="{C3380CC4-5D6E-409C-BE32-E72D297353CC}">
              <c16:uniqueId val="{00000007-0F58-4960-BAFB-C692B985AA95}"/>
            </c:ext>
          </c:extLst>
        </c:ser>
        <c:ser>
          <c:idx val="21"/>
          <c:order val="8"/>
          <c:tx>
            <c:strRef>
              <c:f>'CO2 - Cenário RT 3'!$K$70</c:f>
              <c:strCache>
                <c:ptCount val="1"/>
                <c:pt idx="0">
                  <c:v>CDR seco + CDR org.</c:v>
                </c:pt>
              </c:strCache>
            </c:strRef>
          </c:tx>
          <c:spPr>
            <a:solidFill>
              <a:srgbClr val="00B0F0"/>
            </a:solidFill>
            <a:ln w="12700">
              <a:solidFill>
                <a:srgbClr val="000000"/>
              </a:solidFill>
            </a:ln>
          </c:spPr>
          <c:invertIfNegative val="0"/>
          <c:cat>
            <c:strRef>
              <c:f>'CO2 - Cenário RT 3'!$L$61:$M$61</c:f>
              <c:strCache>
                <c:ptCount val="2"/>
                <c:pt idx="0">
                  <c:v>Destinação de resíduos</c:v>
                </c:pt>
                <c:pt idx="1">
                  <c:v>Líquido</c:v>
                </c:pt>
              </c:strCache>
            </c:strRef>
          </c:cat>
          <c:val>
            <c:numRef>
              <c:f>'CO2 - Cenário RT 3'!$L$70:$M$70</c:f>
              <c:numCache>
                <c:formatCode>General</c:formatCode>
                <c:ptCount val="2"/>
                <c:pt idx="0" formatCode="#,##0">
                  <c:v>14297.711968001611</c:v>
                </c:pt>
              </c:numCache>
            </c:numRef>
          </c:val>
          <c:extLst>
            <c:ext xmlns:c16="http://schemas.microsoft.com/office/drawing/2014/chart" uri="{C3380CC4-5D6E-409C-BE32-E72D297353CC}">
              <c16:uniqueId val="{00000008-0F58-4960-BAFB-C692B985AA95}"/>
            </c:ext>
          </c:extLst>
        </c:ser>
        <c:ser>
          <c:idx val="8"/>
          <c:order val="9"/>
          <c:tx>
            <c:strRef>
              <c:f>'CO2 - Cenário RT 3'!$K$71</c:f>
              <c:strCache>
                <c:ptCount val="1"/>
                <c:pt idx="0">
                  <c:v>Incineração</c:v>
                </c:pt>
              </c:strCache>
            </c:strRef>
          </c:tx>
          <c:spPr>
            <a:solidFill>
              <a:srgbClr val="CCCC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3'!$L$71:$M$71</c:f>
              <c:numCache>
                <c:formatCode>General</c:formatCode>
                <c:ptCount val="2"/>
                <c:pt idx="0" formatCode="#,##0">
                  <c:v>0</c:v>
                </c:pt>
              </c:numCache>
            </c:numRef>
          </c:val>
          <c:extLst>
            <c:ext xmlns:c16="http://schemas.microsoft.com/office/drawing/2014/chart" uri="{C3380CC4-5D6E-409C-BE32-E72D297353CC}">
              <c16:uniqueId val="{00000009-0F58-4960-BAFB-C692B985AA95}"/>
            </c:ext>
          </c:extLst>
        </c:ser>
        <c:ser>
          <c:idx val="9"/>
          <c:order val="10"/>
          <c:tx>
            <c:strRef>
              <c:f>'CO2 - Cenário RT 3'!$K$72</c:f>
              <c:strCache>
                <c:ptCount val="1"/>
                <c:pt idx="0">
                  <c:v>Débitos</c:v>
                </c:pt>
              </c:strCache>
            </c:strRef>
          </c:tx>
          <c:spPr>
            <a:noFill/>
            <a:ln w="25400">
              <a:noFill/>
            </a:ln>
          </c:spPr>
          <c:invertIfNegative val="0"/>
          <c:cat>
            <c:strRef>
              <c:f>'CO2 - Cenário RT 3'!$L$61:$M$61</c:f>
              <c:strCache>
                <c:ptCount val="2"/>
                <c:pt idx="0">
                  <c:v>Destinação de resíduos</c:v>
                </c:pt>
                <c:pt idx="1">
                  <c:v>Líquido</c:v>
                </c:pt>
              </c:strCache>
            </c:strRef>
          </c:cat>
          <c:val>
            <c:numRef>
              <c:f>'CO2 - Cenário RT 3'!$L$72:$M$72</c:f>
              <c:numCache>
                <c:formatCode>General</c:formatCode>
                <c:ptCount val="2"/>
              </c:numCache>
            </c:numRef>
          </c:val>
          <c:extLst>
            <c:ext xmlns:c16="http://schemas.microsoft.com/office/drawing/2014/chart" uri="{C3380CC4-5D6E-409C-BE32-E72D297353CC}">
              <c16:uniqueId val="{0000000A-0F58-4960-BAFB-C692B985AA95}"/>
            </c:ext>
          </c:extLst>
        </c:ser>
        <c:ser>
          <c:idx val="10"/>
          <c:order val="11"/>
          <c:tx>
            <c:strRef>
              <c:f>'CO2 - Cenário RT 3'!$K$73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3'!$L$73:$M$73</c:f>
              <c:numCache>
                <c:formatCode>General</c:formatCode>
                <c:ptCount val="2"/>
                <c:pt idx="0" formatCode="#,##0">
                  <c:v>0</c:v>
                </c:pt>
              </c:numCache>
            </c:numRef>
          </c:val>
          <c:extLst>
            <c:ext xmlns:c16="http://schemas.microsoft.com/office/drawing/2014/chart" uri="{C3380CC4-5D6E-409C-BE32-E72D297353CC}">
              <c16:uniqueId val="{0000000B-0F58-4960-BAFB-C692B985AA95}"/>
            </c:ext>
          </c:extLst>
        </c:ser>
        <c:ser>
          <c:idx val="11"/>
          <c:order val="12"/>
          <c:tx>
            <c:strRef>
              <c:f>'CO2 - Cenário RT 3'!$K$74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3'!$L$74:$M$74</c:f>
              <c:numCache>
                <c:formatCode>General</c:formatCode>
                <c:ptCount val="2"/>
                <c:pt idx="0" formatCode="#,##0">
                  <c:v>0</c:v>
                </c:pt>
              </c:numCache>
            </c:numRef>
          </c:val>
          <c:extLst>
            <c:ext xmlns:c16="http://schemas.microsoft.com/office/drawing/2014/chart" uri="{C3380CC4-5D6E-409C-BE32-E72D297353CC}">
              <c16:uniqueId val="{0000000C-0F58-4960-BAFB-C692B985AA95}"/>
            </c:ext>
          </c:extLst>
        </c:ser>
        <c:ser>
          <c:idx val="12"/>
          <c:order val="13"/>
          <c:tx>
            <c:strRef>
              <c:f>'CO2 - Cenário RT 3'!$K$75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3'!$L$75:$M$75</c:f>
              <c:numCache>
                <c:formatCode>General</c:formatCode>
                <c:ptCount val="2"/>
                <c:pt idx="0" formatCode="#,##0">
                  <c:v>0</c:v>
                </c:pt>
              </c:numCache>
            </c:numRef>
          </c:val>
          <c:extLst>
            <c:ext xmlns:c16="http://schemas.microsoft.com/office/drawing/2014/chart" uri="{C3380CC4-5D6E-409C-BE32-E72D297353CC}">
              <c16:uniqueId val="{0000000D-0F58-4960-BAFB-C692B985AA95}"/>
            </c:ext>
          </c:extLst>
        </c:ser>
        <c:ser>
          <c:idx val="13"/>
          <c:order val="14"/>
          <c:tx>
            <c:strRef>
              <c:f>'CO2 - Cenário RT 3'!$K$76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3'!$L$76:$M$76</c:f>
              <c:numCache>
                <c:formatCode>General</c:formatCode>
                <c:ptCount val="2"/>
                <c:pt idx="0" formatCode="#,##0">
                  <c:v>0</c:v>
                </c:pt>
              </c:numCache>
            </c:numRef>
          </c:val>
          <c:extLst>
            <c:ext xmlns:c16="http://schemas.microsoft.com/office/drawing/2014/chart" uri="{C3380CC4-5D6E-409C-BE32-E72D297353CC}">
              <c16:uniqueId val="{0000000E-0F58-4960-BAFB-C692B985AA95}"/>
            </c:ext>
          </c:extLst>
        </c:ser>
        <c:ser>
          <c:idx val="14"/>
          <c:order val="15"/>
          <c:tx>
            <c:strRef>
              <c:f>'CO2 - Cenário RT 3'!$K$77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3'!$L$77:$M$77</c:f>
              <c:numCache>
                <c:formatCode>General</c:formatCode>
                <c:ptCount val="2"/>
                <c:pt idx="0" formatCode="#,##0">
                  <c:v>0</c:v>
                </c:pt>
              </c:numCache>
            </c:numRef>
          </c:val>
          <c:extLst>
            <c:ext xmlns:c16="http://schemas.microsoft.com/office/drawing/2014/chart" uri="{C3380CC4-5D6E-409C-BE32-E72D297353CC}">
              <c16:uniqueId val="{0000000F-0F58-4960-BAFB-C692B985AA95}"/>
            </c:ext>
          </c:extLst>
        </c:ser>
        <c:ser>
          <c:idx val="15"/>
          <c:order val="16"/>
          <c:tx>
            <c:strRef>
              <c:f>'CO2 - Cenário RT 3'!$K$78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3'!$L$78:$M$78</c:f>
              <c:numCache>
                <c:formatCode>General</c:formatCode>
                <c:ptCount val="2"/>
                <c:pt idx="0" formatCode="#,##0">
                  <c:v>0</c:v>
                </c:pt>
              </c:numCache>
            </c:numRef>
          </c:val>
          <c:extLst>
            <c:ext xmlns:c16="http://schemas.microsoft.com/office/drawing/2014/chart" uri="{C3380CC4-5D6E-409C-BE32-E72D297353CC}">
              <c16:uniqueId val="{00000010-0F58-4960-BAFB-C692B985AA95}"/>
            </c:ext>
          </c:extLst>
        </c:ser>
        <c:ser>
          <c:idx val="16"/>
          <c:order val="17"/>
          <c:tx>
            <c:strRef>
              <c:f>'CO2 - Cenário RT 3'!$K$79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3'!$L$79:$M$79</c:f>
              <c:numCache>
                <c:formatCode>General</c:formatCode>
                <c:ptCount val="2"/>
                <c:pt idx="0" formatCode="#,##0">
                  <c:v>0</c:v>
                </c:pt>
              </c:numCache>
            </c:numRef>
          </c:val>
          <c:extLst>
            <c:ext xmlns:c16="http://schemas.microsoft.com/office/drawing/2014/chart" uri="{C3380CC4-5D6E-409C-BE32-E72D297353CC}">
              <c16:uniqueId val="{00000011-0F58-4960-BAFB-C692B985AA95}"/>
            </c:ext>
          </c:extLst>
        </c:ser>
        <c:ser>
          <c:idx val="17"/>
          <c:order val="18"/>
          <c:tx>
            <c:strRef>
              <c:f>'CO2 - Cenário RT 3'!$K$80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3'!$L$80:$M$80</c:f>
              <c:numCache>
                <c:formatCode>General</c:formatCode>
                <c:ptCount val="2"/>
                <c:pt idx="0" formatCode="#,##0">
                  <c:v>0</c:v>
                </c:pt>
              </c:numCache>
            </c:numRef>
          </c:val>
          <c:extLst>
            <c:ext xmlns:c16="http://schemas.microsoft.com/office/drawing/2014/chart" uri="{C3380CC4-5D6E-409C-BE32-E72D297353CC}">
              <c16:uniqueId val="{00000012-0F58-4960-BAFB-C692B985AA95}"/>
            </c:ext>
          </c:extLst>
        </c:ser>
        <c:ser>
          <c:idx val="22"/>
          <c:order val="19"/>
          <c:tx>
            <c:strRef>
              <c:f>'CO2 - Cenário RT 3'!$K$81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3'!$L$61:$M$61</c:f>
              <c:strCache>
                <c:ptCount val="2"/>
                <c:pt idx="0">
                  <c:v>Destinação de resíduos</c:v>
                </c:pt>
                <c:pt idx="1">
                  <c:v>Líquido</c:v>
                </c:pt>
              </c:strCache>
            </c:strRef>
          </c:cat>
          <c:val>
            <c:numRef>
              <c:f>'CO2 - Cenário RT 3'!$L$81:$M$81</c:f>
              <c:numCache>
                <c:formatCode>General</c:formatCode>
                <c:ptCount val="2"/>
                <c:pt idx="0" formatCode="#,##0">
                  <c:v>-80794.489341582099</c:v>
                </c:pt>
              </c:numCache>
            </c:numRef>
          </c:val>
          <c:extLst>
            <c:ext xmlns:c16="http://schemas.microsoft.com/office/drawing/2014/chart" uri="{C3380CC4-5D6E-409C-BE32-E72D297353CC}">
              <c16:uniqueId val="{00000013-0F58-4960-BAFB-C692B985AA95}"/>
            </c:ext>
          </c:extLst>
        </c:ser>
        <c:ser>
          <c:idx val="18"/>
          <c:order val="20"/>
          <c:tx>
            <c:strRef>
              <c:f>'CO2 - Cenário RT 3'!$K$82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3'!$L$82:$M$82</c:f>
              <c:numCache>
                <c:formatCode>General</c:formatCode>
                <c:ptCount val="2"/>
                <c:pt idx="0" formatCode="#,##0">
                  <c:v>0</c:v>
                </c:pt>
              </c:numCache>
            </c:numRef>
          </c:val>
          <c:extLst>
            <c:ext xmlns:c16="http://schemas.microsoft.com/office/drawing/2014/chart" uri="{C3380CC4-5D6E-409C-BE32-E72D297353CC}">
              <c16:uniqueId val="{00000014-0F58-4960-BAFB-C692B985AA95}"/>
            </c:ext>
          </c:extLst>
        </c:ser>
        <c:ser>
          <c:idx val="19"/>
          <c:order val="21"/>
          <c:tx>
            <c:strRef>
              <c:f>'CO2 - Cenário RT 3'!$K$83</c:f>
              <c:strCache>
                <c:ptCount val="1"/>
                <c:pt idx="0">
                  <c:v>Créditos</c:v>
                </c:pt>
              </c:strCache>
            </c:strRef>
          </c:tx>
          <c:spPr>
            <a:noFill/>
            <a:ln w="25400">
              <a:noFill/>
            </a:ln>
          </c:spPr>
          <c:invertIfNegative val="0"/>
          <c:cat>
            <c:strRef>
              <c:f>'CO2 - Cenário RT 3'!$L$61:$M$61</c:f>
              <c:strCache>
                <c:ptCount val="2"/>
                <c:pt idx="0">
                  <c:v>Destinação de resíduos</c:v>
                </c:pt>
                <c:pt idx="1">
                  <c:v>Líquido</c:v>
                </c:pt>
              </c:strCache>
            </c:strRef>
          </c:cat>
          <c:val>
            <c:numRef>
              <c:f>'CO2 - Cenário RT 3'!$L$83:$M$83</c:f>
              <c:numCache>
                <c:formatCode>General</c:formatCode>
                <c:ptCount val="2"/>
              </c:numCache>
            </c:numRef>
          </c:val>
          <c:extLst>
            <c:ext xmlns:c16="http://schemas.microsoft.com/office/drawing/2014/chart" uri="{C3380CC4-5D6E-409C-BE32-E72D297353CC}">
              <c16:uniqueId val="{00000015-0F58-4960-BAFB-C692B985AA95}"/>
            </c:ext>
          </c:extLst>
        </c:ser>
        <c:ser>
          <c:idx val="20"/>
          <c:order val="22"/>
          <c:tx>
            <c:strRef>
              <c:f>'CO2 - Cenário RT 3'!$K$84</c:f>
              <c:strCache>
                <c:ptCount val="1"/>
                <c:pt idx="0">
                  <c:v>Líquido</c:v>
                </c:pt>
              </c:strCache>
            </c:strRef>
          </c:tx>
          <c:spPr>
            <a:solidFill>
              <a:srgbClr val="0000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3'!$L$84:$M$84</c:f>
              <c:numCache>
                <c:formatCode>#,##0</c:formatCode>
                <c:ptCount val="2"/>
                <c:pt idx="1">
                  <c:v>-13574.232447970368</c:v>
                </c:pt>
              </c:numCache>
            </c:numRef>
          </c:val>
          <c:extLst>
            <c:ext xmlns:c16="http://schemas.microsoft.com/office/drawing/2014/chart" uri="{C3380CC4-5D6E-409C-BE32-E72D297353CC}">
              <c16:uniqueId val="{00000016-0F58-4960-BAFB-C692B985AA95}"/>
            </c:ext>
          </c:extLst>
        </c:ser>
        <c:dLbls>
          <c:showLegendKey val="0"/>
          <c:showVal val="0"/>
          <c:showCatName val="0"/>
          <c:showSerName val="0"/>
          <c:showPercent val="0"/>
          <c:showBubbleSize val="0"/>
        </c:dLbls>
        <c:gapWidth val="100"/>
        <c:overlap val="100"/>
        <c:axId val="198032768"/>
        <c:axId val="198046848"/>
      </c:barChart>
      <c:catAx>
        <c:axId val="1980327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046848"/>
        <c:crosses val="autoZero"/>
        <c:auto val="1"/>
        <c:lblAlgn val="ctr"/>
        <c:lblOffset val="100"/>
        <c:tickLblSkip val="1"/>
        <c:tickMarkSkip val="1"/>
        <c:noMultiLvlLbl val="0"/>
      </c:catAx>
      <c:valAx>
        <c:axId val="1980468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684130583057021E-3"/>
              <c:y val="0.37517229552362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0327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0957775489186381"/>
          <c:y val="1.5172413793103448E-2"/>
          <c:w val="0.28823678878313236"/>
          <c:h val="0.9715843345251842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958412098298676"/>
          <c:y val="0.11312849162011174"/>
          <c:w val="0.78827977315690001"/>
          <c:h val="0.77374301675977719"/>
        </c:manualLayout>
      </c:layout>
      <c:barChart>
        <c:barDir val="col"/>
        <c:grouping val="clustered"/>
        <c:varyColors val="0"/>
        <c:ser>
          <c:idx val="0"/>
          <c:order val="0"/>
          <c:tx>
            <c:strRef>
              <c:f>'CO2 - Cenário RT 3'!$G$53</c:f>
              <c:strCache>
                <c:ptCount val="1"/>
                <c:pt idx="0">
                  <c:v>Débitos</c:v>
                </c:pt>
              </c:strCache>
            </c:strRef>
          </c:tx>
          <c:spPr>
            <a:solidFill>
              <a:srgbClr val="FFCC99"/>
            </a:solidFill>
            <a:ln w="12700">
              <a:solidFill>
                <a:srgbClr val="000000"/>
              </a:solidFill>
              <a:prstDash val="solid"/>
            </a:ln>
          </c:spPr>
          <c:invertIfNegative val="0"/>
          <c:cat>
            <c:strRef>
              <c:f>'CO2 - Cenário RT 3'!$H$52:$J$52</c:f>
              <c:strCache>
                <c:ptCount val="3"/>
                <c:pt idx="0">
                  <c:v>Resíduo reciclado</c:v>
                </c:pt>
                <c:pt idx="1">
                  <c:v>Destinação de resíduo</c:v>
                </c:pt>
                <c:pt idx="2">
                  <c:v>RSU total</c:v>
                </c:pt>
              </c:strCache>
            </c:strRef>
          </c:cat>
          <c:val>
            <c:numRef>
              <c:f>'CO2 - Cenário RT 3'!$H$53:$J$53</c:f>
              <c:numCache>
                <c:formatCode>#,##0</c:formatCode>
                <c:ptCount val="3"/>
                <c:pt idx="0">
                  <c:v>10561.463048000001</c:v>
                </c:pt>
                <c:pt idx="1">
                  <c:v>67220.256893611731</c:v>
                </c:pt>
                <c:pt idx="2">
                  <c:v>77781.719941611736</c:v>
                </c:pt>
              </c:numCache>
            </c:numRef>
          </c:val>
          <c:extLst>
            <c:ext xmlns:c16="http://schemas.microsoft.com/office/drawing/2014/chart" uri="{C3380CC4-5D6E-409C-BE32-E72D297353CC}">
              <c16:uniqueId val="{00000000-72B9-4685-A7A8-37098243BEF8}"/>
            </c:ext>
          </c:extLst>
        </c:ser>
        <c:ser>
          <c:idx val="1"/>
          <c:order val="1"/>
          <c:tx>
            <c:strRef>
              <c:f>'CO2 - Cenário RT 3'!$G$54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3'!$H$52:$J$52</c:f>
              <c:strCache>
                <c:ptCount val="3"/>
                <c:pt idx="0">
                  <c:v>Resíduo reciclado</c:v>
                </c:pt>
                <c:pt idx="1">
                  <c:v>Destinação de resíduo</c:v>
                </c:pt>
                <c:pt idx="2">
                  <c:v>RSU total</c:v>
                </c:pt>
              </c:strCache>
            </c:strRef>
          </c:cat>
          <c:val>
            <c:numRef>
              <c:f>'CO2 - Cenário RT 3'!$H$54:$J$54</c:f>
              <c:numCache>
                <c:formatCode>#,##0</c:formatCode>
                <c:ptCount val="3"/>
                <c:pt idx="0">
                  <c:v>-31824.008943999997</c:v>
                </c:pt>
                <c:pt idx="1">
                  <c:v>-80794.489341582099</c:v>
                </c:pt>
                <c:pt idx="2">
                  <c:v>-112618.4982855821</c:v>
                </c:pt>
              </c:numCache>
            </c:numRef>
          </c:val>
          <c:extLst>
            <c:ext xmlns:c16="http://schemas.microsoft.com/office/drawing/2014/chart" uri="{C3380CC4-5D6E-409C-BE32-E72D297353CC}">
              <c16:uniqueId val="{00000001-72B9-4685-A7A8-37098243BEF8}"/>
            </c:ext>
          </c:extLst>
        </c:ser>
        <c:ser>
          <c:idx val="2"/>
          <c:order val="2"/>
          <c:tx>
            <c:strRef>
              <c:f>'CO2 - Cenário RT 3'!$G$55</c:f>
              <c:strCache>
                <c:ptCount val="1"/>
                <c:pt idx="0">
                  <c:v>Líquido</c:v>
                </c:pt>
              </c:strCache>
            </c:strRef>
          </c:tx>
          <c:spPr>
            <a:solidFill>
              <a:srgbClr val="0000FF"/>
            </a:solidFill>
            <a:ln w="12700">
              <a:solidFill>
                <a:srgbClr val="000000"/>
              </a:solidFill>
              <a:prstDash val="solid"/>
            </a:ln>
          </c:spPr>
          <c:invertIfNegative val="0"/>
          <c:cat>
            <c:strRef>
              <c:f>'CO2 - Cenário RT 3'!$H$52:$J$52</c:f>
              <c:strCache>
                <c:ptCount val="3"/>
                <c:pt idx="0">
                  <c:v>Resíduo reciclado</c:v>
                </c:pt>
                <c:pt idx="1">
                  <c:v>Destinação de resíduo</c:v>
                </c:pt>
                <c:pt idx="2">
                  <c:v>RSU total</c:v>
                </c:pt>
              </c:strCache>
            </c:strRef>
          </c:cat>
          <c:val>
            <c:numRef>
              <c:f>'CO2 - Cenário RT 3'!$H$55:$J$55</c:f>
              <c:numCache>
                <c:formatCode>#,##0</c:formatCode>
                <c:ptCount val="3"/>
                <c:pt idx="0">
                  <c:v>-21262.545895999996</c:v>
                </c:pt>
                <c:pt idx="1">
                  <c:v>-13574.232447970368</c:v>
                </c:pt>
                <c:pt idx="2">
                  <c:v>-34836.778343970363</c:v>
                </c:pt>
              </c:numCache>
            </c:numRef>
          </c:val>
          <c:extLst>
            <c:ext xmlns:c16="http://schemas.microsoft.com/office/drawing/2014/chart" uri="{C3380CC4-5D6E-409C-BE32-E72D297353CC}">
              <c16:uniqueId val="{00000002-72B9-4685-A7A8-37098243BEF8}"/>
            </c:ext>
          </c:extLst>
        </c:ser>
        <c:dLbls>
          <c:showLegendKey val="0"/>
          <c:showVal val="0"/>
          <c:showCatName val="0"/>
          <c:showSerName val="0"/>
          <c:showPercent val="0"/>
          <c:showBubbleSize val="0"/>
        </c:dLbls>
        <c:gapWidth val="100"/>
        <c:axId val="198103040"/>
        <c:axId val="198104576"/>
      </c:barChart>
      <c:catAx>
        <c:axId val="19810304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4576"/>
        <c:crosses val="autoZero"/>
        <c:auto val="1"/>
        <c:lblAlgn val="ctr"/>
        <c:lblOffset val="50"/>
        <c:tickLblSkip val="1"/>
        <c:tickMarkSkip val="1"/>
        <c:noMultiLvlLbl val="0"/>
      </c:catAx>
      <c:valAx>
        <c:axId val="198104576"/>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353659280961973E-3"/>
              <c:y val="0.354748603351955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3040"/>
        <c:crosses val="autoZero"/>
        <c:crossBetween val="between"/>
      </c:valAx>
      <c:spPr>
        <a:noFill/>
        <a:ln w="3175">
          <a:solidFill>
            <a:srgbClr val="000000"/>
          </a:solidFill>
          <a:prstDash val="solid"/>
        </a:ln>
      </c:spPr>
    </c:plotArea>
    <c:legend>
      <c:legendPos val="r"/>
      <c:layout>
        <c:manualLayout>
          <c:xMode val="edge"/>
          <c:yMode val="edge"/>
          <c:x val="0.18830567484476371"/>
          <c:y val="2.4787008843065887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34887542620636"/>
          <c:y val="1.3317222772640101E-2"/>
        </c:manualLayout>
      </c:layout>
      <c:overlay val="0"/>
      <c:spPr>
        <a:noFill/>
        <a:ln w="25400">
          <a:noFill/>
        </a:ln>
      </c:spPr>
    </c:title>
    <c:autoTitleDeleted val="0"/>
    <c:plotArea>
      <c:layout>
        <c:manualLayout>
          <c:layoutTarget val="inner"/>
          <c:xMode val="edge"/>
          <c:yMode val="edge"/>
          <c:x val="0.18750017339549072"/>
          <c:y val="0.10653778218112091"/>
          <c:w val="0.78598557534473334"/>
          <c:h val="0.5859578019961643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4'!$B$7:$B$15,'CO2 - Cenário RT 4'!$B$18:$B$27)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4'!$C$7:$C$15,'CO2 - Cenário RT 4'!$C$18:$C$27)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19690.881299999997</c:v>
                </c:pt>
                <c:pt idx="13">
                  <c:v>0</c:v>
                </c:pt>
                <c:pt idx="14">
                  <c:v>0</c:v>
                </c:pt>
                <c:pt idx="15">
                  <c:v>0</c:v>
                </c:pt>
                <c:pt idx="16">
                  <c:v>0</c:v>
                </c:pt>
                <c:pt idx="17">
                  <c:v>0</c:v>
                </c:pt>
                <c:pt idx="18">
                  <c:v>111581.66069999998</c:v>
                </c:pt>
              </c:numCache>
            </c:numRef>
          </c:val>
          <c:extLst>
            <c:ext xmlns:c16="http://schemas.microsoft.com/office/drawing/2014/chart" uri="{C3380CC4-5D6E-409C-BE32-E72D297353CC}">
              <c16:uniqueId val="{00000000-DA69-41D9-ABAB-005B54497BF3}"/>
            </c:ext>
          </c:extLst>
        </c:ser>
        <c:dLbls>
          <c:showLegendKey val="0"/>
          <c:showVal val="0"/>
          <c:showCatName val="0"/>
          <c:showSerName val="0"/>
          <c:showPercent val="0"/>
          <c:showBubbleSize val="0"/>
        </c:dLbls>
        <c:gapWidth val="100"/>
        <c:axId val="197835392"/>
        <c:axId val="197837184"/>
      </c:barChart>
      <c:catAx>
        <c:axId val="19783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837184"/>
        <c:crosses val="autoZero"/>
        <c:auto val="1"/>
        <c:lblAlgn val="ctr"/>
        <c:lblOffset val="100"/>
        <c:tickLblSkip val="1"/>
        <c:tickMarkSkip val="1"/>
        <c:noMultiLvlLbl val="0"/>
      </c:catAx>
      <c:valAx>
        <c:axId val="19783718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1.2487080419295414E-2"/>
              <c:y val="0.363720882653520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83539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a:t>
            </a:r>
            <a:r>
              <a:rPr lang="de-DE" baseline="0"/>
              <a:t> de GEE</a:t>
            </a:r>
            <a:r>
              <a:rPr lang="de-DE"/>
              <a:t> </a:t>
            </a:r>
            <a:r>
              <a:rPr lang="pt-BR" sz="975" b="0" i="0" u="none" strike="noStrike" baseline="0">
                <a:solidFill>
                  <a:sysClr val="windowText" lastClr="000000"/>
                </a:solidFill>
                <a:effectLst/>
              </a:rPr>
              <a:t>—</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4'!$B$62</c:f>
              <c:strCache>
                <c:ptCount val="1"/>
                <c:pt idx="0">
                  <c:v>Resíduos de alimentos</c:v>
                </c:pt>
              </c:strCache>
            </c:strRef>
          </c:tx>
          <c:spPr>
            <a:solidFill>
              <a:srgbClr val="99CC0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4'!$C$62:$D$62</c:f>
              <c:numCache>
                <c:formatCode>General</c:formatCode>
                <c:ptCount val="2"/>
                <c:pt idx="0" formatCode="#,##0">
                  <c:v>0</c:v>
                </c:pt>
              </c:numCache>
            </c:numRef>
          </c:val>
          <c:extLst>
            <c:ext xmlns:c16="http://schemas.microsoft.com/office/drawing/2014/chart" uri="{C3380CC4-5D6E-409C-BE32-E72D297353CC}">
              <c16:uniqueId val="{00000000-DA01-4B73-ADF9-0F42BA976B67}"/>
            </c:ext>
          </c:extLst>
        </c:ser>
        <c:ser>
          <c:idx val="1"/>
          <c:order val="1"/>
          <c:tx>
            <c:strRef>
              <c:f>'CO2 - Cenário RT 4'!$B$63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4'!$C$63:$D$63</c:f>
              <c:numCache>
                <c:formatCode>General</c:formatCode>
                <c:ptCount val="2"/>
                <c:pt idx="0" formatCode="#,##0">
                  <c:v>0</c:v>
                </c:pt>
              </c:numCache>
            </c:numRef>
          </c:val>
          <c:extLst>
            <c:ext xmlns:c16="http://schemas.microsoft.com/office/drawing/2014/chart" uri="{C3380CC4-5D6E-409C-BE32-E72D297353CC}">
              <c16:uniqueId val="{00000001-DA01-4B73-ADF9-0F42BA976B67}"/>
            </c:ext>
          </c:extLst>
        </c:ser>
        <c:ser>
          <c:idx val="2"/>
          <c:order val="2"/>
          <c:tx>
            <c:strRef>
              <c:f>'CO2 - Cenário RT 4'!$B$64</c:f>
              <c:strCache>
                <c:ptCount val="1"/>
                <c:pt idx="0">
                  <c:v>Papel, papelão</c:v>
                </c:pt>
              </c:strCache>
            </c:strRef>
          </c:tx>
          <c:spPr>
            <a:solidFill>
              <a:srgbClr val="CC99FF"/>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4'!$C$64:$D$64</c:f>
              <c:numCache>
                <c:formatCode>General</c:formatCode>
                <c:ptCount val="2"/>
                <c:pt idx="0" formatCode="#,##0">
                  <c:v>7999.4112480000003</c:v>
                </c:pt>
              </c:numCache>
            </c:numRef>
          </c:val>
          <c:extLst>
            <c:ext xmlns:c16="http://schemas.microsoft.com/office/drawing/2014/chart" uri="{C3380CC4-5D6E-409C-BE32-E72D297353CC}">
              <c16:uniqueId val="{00000002-DA01-4B73-ADF9-0F42BA976B67}"/>
            </c:ext>
          </c:extLst>
        </c:ser>
        <c:ser>
          <c:idx val="3"/>
          <c:order val="3"/>
          <c:tx>
            <c:strRef>
              <c:f>'CO2 - Cenário RT 4'!$B$65</c:f>
              <c:strCache>
                <c:ptCount val="1"/>
                <c:pt idx="0">
                  <c:v>Plásticos</c:v>
                </c:pt>
              </c:strCache>
            </c:strRef>
          </c:tx>
          <c:spPr>
            <a:solidFill>
              <a:srgbClr val="FFFF0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4'!$C$65:$D$65</c:f>
              <c:numCache>
                <c:formatCode>General</c:formatCode>
                <c:ptCount val="2"/>
                <c:pt idx="0" formatCode="#,##0">
                  <c:v>1777.8420000000001</c:v>
                </c:pt>
              </c:numCache>
            </c:numRef>
          </c:val>
          <c:extLst>
            <c:ext xmlns:c16="http://schemas.microsoft.com/office/drawing/2014/chart" uri="{C3380CC4-5D6E-409C-BE32-E72D297353CC}">
              <c16:uniqueId val="{00000003-DA01-4B73-ADF9-0F42BA976B67}"/>
            </c:ext>
          </c:extLst>
        </c:ser>
        <c:ser>
          <c:idx val="4"/>
          <c:order val="4"/>
          <c:tx>
            <c:strRef>
              <c:f>'CO2 - Cenário RT 4'!$B$66</c:f>
              <c:strCache>
                <c:ptCount val="1"/>
                <c:pt idx="0">
                  <c:v>Vidros</c:v>
                </c:pt>
              </c:strCache>
            </c:strRef>
          </c:tx>
          <c:spPr>
            <a:solidFill>
              <a:srgbClr val="FF99CC"/>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4'!$C$66:$D$66</c:f>
              <c:numCache>
                <c:formatCode>General</c:formatCode>
                <c:ptCount val="2"/>
                <c:pt idx="0" formatCode="#,##0">
                  <c:v>0</c:v>
                </c:pt>
              </c:numCache>
            </c:numRef>
          </c:val>
          <c:extLst>
            <c:ext xmlns:c16="http://schemas.microsoft.com/office/drawing/2014/chart" uri="{C3380CC4-5D6E-409C-BE32-E72D297353CC}">
              <c16:uniqueId val="{00000004-DA01-4B73-ADF9-0F42BA976B67}"/>
            </c:ext>
          </c:extLst>
        </c:ser>
        <c:ser>
          <c:idx val="5"/>
          <c:order val="5"/>
          <c:tx>
            <c:strRef>
              <c:f>'CO2 - Cenário RT 4'!$B$67</c:f>
              <c:strCache>
                <c:ptCount val="1"/>
                <c:pt idx="0">
                  <c:v>Metais ferrosos</c:v>
                </c:pt>
              </c:strCache>
            </c:strRef>
          </c:tx>
          <c:spPr>
            <a:solidFill>
              <a:srgbClr val="C0C0C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4'!$C$67:$D$67</c:f>
              <c:numCache>
                <c:formatCode>General</c:formatCode>
                <c:ptCount val="2"/>
                <c:pt idx="0" formatCode="#,##0">
                  <c:v>204.16639999999998</c:v>
                </c:pt>
              </c:numCache>
            </c:numRef>
          </c:val>
          <c:extLst>
            <c:ext xmlns:c16="http://schemas.microsoft.com/office/drawing/2014/chart" uri="{C3380CC4-5D6E-409C-BE32-E72D297353CC}">
              <c16:uniqueId val="{00000005-DA01-4B73-ADF9-0F42BA976B67}"/>
            </c:ext>
          </c:extLst>
        </c:ser>
        <c:ser>
          <c:idx val="6"/>
          <c:order val="6"/>
          <c:tx>
            <c:strRef>
              <c:f>'CO2 - Cenário RT 4'!$B$68</c:f>
              <c:strCache>
                <c:ptCount val="1"/>
                <c:pt idx="0">
                  <c:v>Alumínio</c:v>
                </c:pt>
              </c:strCache>
            </c:strRef>
          </c:tx>
          <c:spPr>
            <a:solidFill>
              <a:srgbClr val="993366"/>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4'!$C$68:$D$68</c:f>
              <c:numCache>
                <c:formatCode>General</c:formatCode>
                <c:ptCount val="2"/>
                <c:pt idx="0" formatCode="#,##0">
                  <c:v>580.04339999999991</c:v>
                </c:pt>
              </c:numCache>
            </c:numRef>
          </c:val>
          <c:extLst>
            <c:ext xmlns:c16="http://schemas.microsoft.com/office/drawing/2014/chart" uri="{C3380CC4-5D6E-409C-BE32-E72D297353CC}">
              <c16:uniqueId val="{00000006-DA01-4B73-ADF9-0F42BA976B67}"/>
            </c:ext>
          </c:extLst>
        </c:ser>
        <c:ser>
          <c:idx val="7"/>
          <c:order val="7"/>
          <c:tx>
            <c:strRef>
              <c:f>'CO2 - Cenário RT 4'!$B$69</c:f>
              <c:strCache>
                <c:ptCount val="1"/>
                <c:pt idx="0">
                  <c:v>Têxteis</c:v>
                </c:pt>
              </c:strCache>
            </c:strRef>
          </c:tx>
          <c:spPr>
            <a:solidFill>
              <a:srgbClr val="9999FF"/>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4'!$C$69:$D$69</c:f>
              <c:numCache>
                <c:formatCode>General</c:formatCode>
                <c:ptCount val="2"/>
                <c:pt idx="0" formatCode="#,##0">
                  <c:v>0</c:v>
                </c:pt>
              </c:numCache>
            </c:numRef>
          </c:val>
          <c:extLst>
            <c:ext xmlns:c16="http://schemas.microsoft.com/office/drawing/2014/chart" uri="{C3380CC4-5D6E-409C-BE32-E72D297353CC}">
              <c16:uniqueId val="{00000007-DA01-4B73-ADF9-0F42BA976B67}"/>
            </c:ext>
          </c:extLst>
        </c:ser>
        <c:ser>
          <c:idx val="8"/>
          <c:order val="8"/>
          <c:tx>
            <c:strRef>
              <c:f>'CO2 - Cenário RT 4'!$B$70</c:f>
              <c:strCache>
                <c:ptCount val="1"/>
                <c:pt idx="0">
                  <c:v>Débitos</c:v>
                </c:pt>
              </c:strCache>
            </c:strRef>
          </c:tx>
          <c:spPr>
            <a:noFill/>
            <a:ln w="25400">
              <a:noFill/>
            </a:ln>
          </c:spPr>
          <c:invertIfNegative val="0"/>
          <c:cat>
            <c:strRef>
              <c:f>'CO2 - Cenário RT 4'!$C$61:$D$61</c:f>
              <c:strCache>
                <c:ptCount val="2"/>
                <c:pt idx="0">
                  <c:v>Resíduos reciclados</c:v>
                </c:pt>
                <c:pt idx="1">
                  <c:v>Líquido</c:v>
                </c:pt>
              </c:strCache>
            </c:strRef>
          </c:cat>
          <c:val>
            <c:numRef>
              <c:f>'CO2 - Cenário RT 4'!$C$70:$D$70</c:f>
              <c:numCache>
                <c:formatCode>#,##0</c:formatCode>
                <c:ptCount val="2"/>
              </c:numCache>
            </c:numRef>
          </c:val>
          <c:extLst>
            <c:ext xmlns:c16="http://schemas.microsoft.com/office/drawing/2014/chart" uri="{C3380CC4-5D6E-409C-BE32-E72D297353CC}">
              <c16:uniqueId val="{00000008-DA01-4B73-ADF9-0F42BA976B67}"/>
            </c:ext>
          </c:extLst>
        </c:ser>
        <c:ser>
          <c:idx val="9"/>
          <c:order val="9"/>
          <c:tx>
            <c:strRef>
              <c:f>'CO2 - Cenário RT 4'!$B$71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4'!$C$71:$D$71</c:f>
              <c:numCache>
                <c:formatCode>General</c:formatCode>
                <c:ptCount val="2"/>
                <c:pt idx="0" formatCode="#,##0">
                  <c:v>0</c:v>
                </c:pt>
              </c:numCache>
            </c:numRef>
          </c:val>
          <c:extLst>
            <c:ext xmlns:c16="http://schemas.microsoft.com/office/drawing/2014/chart" uri="{C3380CC4-5D6E-409C-BE32-E72D297353CC}">
              <c16:uniqueId val="{00000009-DA01-4B73-ADF9-0F42BA976B67}"/>
            </c:ext>
          </c:extLst>
        </c:ser>
        <c:ser>
          <c:idx val="10"/>
          <c:order val="10"/>
          <c:tx>
            <c:strRef>
              <c:f>'CO2 - Cenário RT 4'!$B$72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4'!$C$72:$D$72</c:f>
              <c:numCache>
                <c:formatCode>General</c:formatCode>
                <c:ptCount val="2"/>
                <c:pt idx="0" formatCode="#,##0">
                  <c:v>0</c:v>
                </c:pt>
              </c:numCache>
            </c:numRef>
          </c:val>
          <c:extLst>
            <c:ext xmlns:c16="http://schemas.microsoft.com/office/drawing/2014/chart" uri="{C3380CC4-5D6E-409C-BE32-E72D297353CC}">
              <c16:uniqueId val="{0000000A-DA01-4B73-ADF9-0F42BA976B67}"/>
            </c:ext>
          </c:extLst>
        </c:ser>
        <c:ser>
          <c:idx val="11"/>
          <c:order val="11"/>
          <c:tx>
            <c:strRef>
              <c:f>'CO2 - Cenário RT 4'!$B$73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4'!$C$73:$D$73</c:f>
              <c:numCache>
                <c:formatCode>General</c:formatCode>
                <c:ptCount val="2"/>
                <c:pt idx="0" formatCode="#,##0">
                  <c:v>-9859.1469840000009</c:v>
                </c:pt>
              </c:numCache>
            </c:numRef>
          </c:val>
          <c:extLst>
            <c:ext xmlns:c16="http://schemas.microsoft.com/office/drawing/2014/chart" uri="{C3380CC4-5D6E-409C-BE32-E72D297353CC}">
              <c16:uniqueId val="{0000000B-DA01-4B73-ADF9-0F42BA976B67}"/>
            </c:ext>
          </c:extLst>
        </c:ser>
        <c:ser>
          <c:idx val="12"/>
          <c:order val="12"/>
          <c:tx>
            <c:strRef>
              <c:f>'CO2 - Cenário RT 4'!$B$74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4'!$C$74:$D$74</c:f>
              <c:numCache>
                <c:formatCode>General</c:formatCode>
                <c:ptCount val="2"/>
                <c:pt idx="0" formatCode="#,##0">
                  <c:v>-8281.2747600000002</c:v>
                </c:pt>
              </c:numCache>
            </c:numRef>
          </c:val>
          <c:extLst>
            <c:ext xmlns:c16="http://schemas.microsoft.com/office/drawing/2014/chart" uri="{C3380CC4-5D6E-409C-BE32-E72D297353CC}">
              <c16:uniqueId val="{0000000C-DA01-4B73-ADF9-0F42BA976B67}"/>
            </c:ext>
          </c:extLst>
        </c:ser>
        <c:ser>
          <c:idx val="13"/>
          <c:order val="13"/>
          <c:tx>
            <c:strRef>
              <c:f>'CO2 - Cenário RT 4'!$B$75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4'!$C$75:$D$75</c:f>
              <c:numCache>
                <c:formatCode>General</c:formatCode>
                <c:ptCount val="2"/>
                <c:pt idx="0" formatCode="#,##0">
                  <c:v>0</c:v>
                </c:pt>
              </c:numCache>
            </c:numRef>
          </c:val>
          <c:extLst>
            <c:ext xmlns:c16="http://schemas.microsoft.com/office/drawing/2014/chart" uri="{C3380CC4-5D6E-409C-BE32-E72D297353CC}">
              <c16:uniqueId val="{0000000D-DA01-4B73-ADF9-0F42BA976B67}"/>
            </c:ext>
          </c:extLst>
        </c:ser>
        <c:ser>
          <c:idx val="14"/>
          <c:order val="14"/>
          <c:tx>
            <c:strRef>
              <c:f>'CO2 - Cenário RT 4'!$B$76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4'!$C$76:$D$76</c:f>
              <c:numCache>
                <c:formatCode>General</c:formatCode>
                <c:ptCount val="2"/>
                <c:pt idx="0" formatCode="#,##0">
                  <c:v>-5461.4512000000004</c:v>
                </c:pt>
              </c:numCache>
            </c:numRef>
          </c:val>
          <c:extLst>
            <c:ext xmlns:c16="http://schemas.microsoft.com/office/drawing/2014/chart" uri="{C3380CC4-5D6E-409C-BE32-E72D297353CC}">
              <c16:uniqueId val="{0000000E-DA01-4B73-ADF9-0F42BA976B67}"/>
            </c:ext>
          </c:extLst>
        </c:ser>
        <c:ser>
          <c:idx val="15"/>
          <c:order val="15"/>
          <c:tx>
            <c:strRef>
              <c:f>'CO2 - Cenário RT 4'!$B$77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4'!$C$77:$D$77</c:f>
              <c:numCache>
                <c:formatCode>General</c:formatCode>
                <c:ptCount val="2"/>
                <c:pt idx="0" formatCode="#,##0">
                  <c:v>-8222.1359999999986</c:v>
                </c:pt>
              </c:numCache>
            </c:numRef>
          </c:val>
          <c:extLst>
            <c:ext xmlns:c16="http://schemas.microsoft.com/office/drawing/2014/chart" uri="{C3380CC4-5D6E-409C-BE32-E72D297353CC}">
              <c16:uniqueId val="{0000000F-DA01-4B73-ADF9-0F42BA976B67}"/>
            </c:ext>
          </c:extLst>
        </c:ser>
        <c:ser>
          <c:idx val="16"/>
          <c:order val="16"/>
          <c:tx>
            <c:strRef>
              <c:f>'CO2 - Cenário RT 4'!$B$78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4'!$C$78:$D$78</c:f>
              <c:numCache>
                <c:formatCode>General</c:formatCode>
                <c:ptCount val="2"/>
                <c:pt idx="0" formatCode="#,##0">
                  <c:v>0</c:v>
                </c:pt>
              </c:numCache>
            </c:numRef>
          </c:val>
          <c:extLst>
            <c:ext xmlns:c16="http://schemas.microsoft.com/office/drawing/2014/chart" uri="{C3380CC4-5D6E-409C-BE32-E72D297353CC}">
              <c16:uniqueId val="{00000010-DA01-4B73-ADF9-0F42BA976B67}"/>
            </c:ext>
          </c:extLst>
        </c:ser>
        <c:ser>
          <c:idx val="17"/>
          <c:order val="17"/>
          <c:tx>
            <c:strRef>
              <c:f>'CO2 - Cenário RT 4'!$B$79</c:f>
              <c:strCache>
                <c:ptCount val="1"/>
                <c:pt idx="0">
                  <c:v>Créditos</c:v>
                </c:pt>
              </c:strCache>
            </c:strRef>
          </c:tx>
          <c:spPr>
            <a:noFill/>
            <a:ln w="25400">
              <a:noFill/>
            </a:ln>
          </c:spPr>
          <c:invertIfNegative val="0"/>
          <c:cat>
            <c:strRef>
              <c:f>'CO2 - Cenário RT 4'!$C$61:$D$61</c:f>
              <c:strCache>
                <c:ptCount val="2"/>
                <c:pt idx="0">
                  <c:v>Resíduos reciclados</c:v>
                </c:pt>
                <c:pt idx="1">
                  <c:v>Líquido</c:v>
                </c:pt>
              </c:strCache>
            </c:strRef>
          </c:cat>
          <c:val>
            <c:numRef>
              <c:f>'CO2 - Cenário RT 4'!$C$79:$D$79</c:f>
              <c:numCache>
                <c:formatCode>#,##0</c:formatCode>
                <c:ptCount val="2"/>
              </c:numCache>
            </c:numRef>
          </c:val>
          <c:extLst>
            <c:ext xmlns:c16="http://schemas.microsoft.com/office/drawing/2014/chart" uri="{C3380CC4-5D6E-409C-BE32-E72D297353CC}">
              <c16:uniqueId val="{00000011-DA01-4B73-ADF9-0F42BA976B67}"/>
            </c:ext>
          </c:extLst>
        </c:ser>
        <c:ser>
          <c:idx val="18"/>
          <c:order val="18"/>
          <c:tx>
            <c:strRef>
              <c:f>'CO2 - Cenário RT 4'!$B$80</c:f>
              <c:strCache>
                <c:ptCount val="1"/>
                <c:pt idx="0">
                  <c:v>Líquido</c:v>
                </c:pt>
              </c:strCache>
            </c:strRef>
          </c:tx>
          <c:spPr>
            <a:solidFill>
              <a:srgbClr val="0000FF"/>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4'!$C$80:$D$80</c:f>
              <c:numCache>
                <c:formatCode>#,##0</c:formatCode>
                <c:ptCount val="2"/>
                <c:pt idx="1">
                  <c:v>-21262.545896</c:v>
                </c:pt>
              </c:numCache>
            </c:numRef>
          </c:val>
          <c:extLst>
            <c:ext xmlns:c16="http://schemas.microsoft.com/office/drawing/2014/chart" uri="{C3380CC4-5D6E-409C-BE32-E72D297353CC}">
              <c16:uniqueId val="{00000012-DA01-4B73-ADF9-0F42BA976B67}"/>
            </c:ext>
          </c:extLst>
        </c:ser>
        <c:dLbls>
          <c:showLegendKey val="0"/>
          <c:showVal val="0"/>
          <c:showCatName val="0"/>
          <c:showSerName val="0"/>
          <c:showPercent val="0"/>
          <c:showBubbleSize val="0"/>
        </c:dLbls>
        <c:gapWidth val="100"/>
        <c:overlap val="100"/>
        <c:axId val="198289664"/>
        <c:axId val="198299648"/>
      </c:barChart>
      <c:catAx>
        <c:axId val="1982896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299648"/>
        <c:crosses val="autoZero"/>
        <c:auto val="1"/>
        <c:lblAlgn val="ctr"/>
        <c:lblOffset val="100"/>
        <c:tickLblSkip val="1"/>
        <c:tickMarkSkip val="1"/>
        <c:noMultiLvlLbl val="0"/>
      </c:catAx>
      <c:valAx>
        <c:axId val="1982996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1.1369026467846592E-2"/>
              <c:y val="0.359461555472192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2896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9670442842430488"/>
          <c:y val="0.12689655172413788"/>
          <c:w val="0.51802265705458328"/>
          <c:h val="0.76137931034482786"/>
        </c:manualLayout>
      </c:layout>
      <c:barChart>
        <c:barDir val="col"/>
        <c:grouping val="stacked"/>
        <c:varyColors val="0"/>
        <c:ser>
          <c:idx val="0"/>
          <c:order val="0"/>
          <c:tx>
            <c:strRef>
              <c:f>'CO2 - Cenário RT 4'!$K$62</c:f>
              <c:strCache>
                <c:ptCount val="1"/>
                <c:pt idx="0">
                  <c:v>Resíduos dispersos</c:v>
                </c:pt>
              </c:strCache>
            </c:strRef>
          </c:tx>
          <c:spPr>
            <a:solidFill>
              <a:srgbClr val="FFFF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4'!$L$62:$M$62</c:f>
              <c:numCache>
                <c:formatCode>General</c:formatCode>
                <c:ptCount val="2"/>
                <c:pt idx="0" formatCode="#,##0">
                  <c:v>0</c:v>
                </c:pt>
              </c:numCache>
            </c:numRef>
          </c:val>
          <c:extLst>
            <c:ext xmlns:c16="http://schemas.microsoft.com/office/drawing/2014/chart" uri="{C3380CC4-5D6E-409C-BE32-E72D297353CC}">
              <c16:uniqueId val="{00000000-CE94-4825-8F5B-8FE7D70B8564}"/>
            </c:ext>
          </c:extLst>
        </c:ser>
        <c:ser>
          <c:idx val="1"/>
          <c:order val="1"/>
          <c:tx>
            <c:strRef>
              <c:f>'CO2 - Cenário RT 4'!$K$63</c:f>
              <c:strCache>
                <c:ptCount val="1"/>
                <c:pt idx="0">
                  <c:v>Queima a céu aberto</c:v>
                </c:pt>
              </c:strCache>
            </c:strRef>
          </c:tx>
          <c:spPr>
            <a:solidFill>
              <a:srgbClr val="FF808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4'!$L$63:$M$63</c:f>
              <c:numCache>
                <c:formatCode>General</c:formatCode>
                <c:ptCount val="2"/>
                <c:pt idx="0" formatCode="#,##0">
                  <c:v>0</c:v>
                </c:pt>
              </c:numCache>
            </c:numRef>
          </c:val>
          <c:extLst>
            <c:ext xmlns:c16="http://schemas.microsoft.com/office/drawing/2014/chart" uri="{C3380CC4-5D6E-409C-BE32-E72D297353CC}">
              <c16:uniqueId val="{00000001-CE94-4825-8F5B-8FE7D70B8564}"/>
            </c:ext>
          </c:extLst>
        </c:ser>
        <c:ser>
          <c:idx val="2"/>
          <c:order val="2"/>
          <c:tx>
            <c:strRef>
              <c:f>'CO2 - Cenário RT 4'!$K$64</c:f>
              <c:strCache>
                <c:ptCount val="1"/>
                <c:pt idx="0">
                  <c:v>Lixão não controlado</c:v>
                </c:pt>
              </c:strCache>
            </c:strRef>
          </c:tx>
          <c:spPr>
            <a:solidFill>
              <a:srgbClr val="9933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4'!$L$64:$M$64</c:f>
              <c:numCache>
                <c:formatCode>General</c:formatCode>
                <c:ptCount val="2"/>
                <c:pt idx="0" formatCode="#,##0">
                  <c:v>0</c:v>
                </c:pt>
              </c:numCache>
            </c:numRef>
          </c:val>
          <c:extLst>
            <c:ext xmlns:c16="http://schemas.microsoft.com/office/drawing/2014/chart" uri="{C3380CC4-5D6E-409C-BE32-E72D297353CC}">
              <c16:uniqueId val="{00000002-CE94-4825-8F5B-8FE7D70B8564}"/>
            </c:ext>
          </c:extLst>
        </c:ser>
        <c:ser>
          <c:idx val="3"/>
          <c:order val="3"/>
          <c:tx>
            <c:strRef>
              <c:f>'CO2 - Cenário RT 4'!$K$65</c:f>
              <c:strCache>
                <c:ptCount val="1"/>
                <c:pt idx="0">
                  <c:v>Aterro controlado</c:v>
                </c:pt>
              </c:strCache>
            </c:strRef>
          </c:tx>
          <c:spPr>
            <a:solidFill>
              <a:srgbClr val="99CC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4'!$L$65:$M$65</c:f>
              <c:numCache>
                <c:formatCode>General</c:formatCode>
                <c:ptCount val="2"/>
                <c:pt idx="0" formatCode="#,##0">
                  <c:v>26461.27246280506</c:v>
                </c:pt>
              </c:numCache>
            </c:numRef>
          </c:val>
          <c:extLst>
            <c:ext xmlns:c16="http://schemas.microsoft.com/office/drawing/2014/chart" uri="{C3380CC4-5D6E-409C-BE32-E72D297353CC}">
              <c16:uniqueId val="{00000003-CE94-4825-8F5B-8FE7D70B8564}"/>
            </c:ext>
          </c:extLst>
        </c:ser>
        <c:ser>
          <c:idx val="4"/>
          <c:order val="4"/>
          <c:tx>
            <c:strRef>
              <c:f>'CO2 - Cenário RT 4'!$K$66</c:f>
              <c:strCache>
                <c:ptCount val="1"/>
                <c:pt idx="0">
                  <c:v>Aterro sanitário</c:v>
                </c:pt>
              </c:strCache>
            </c:strRef>
          </c:tx>
          <c:spPr>
            <a:solidFill>
              <a:srgbClr val="FFFF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4'!$L$66:$M$66</c:f>
              <c:numCache>
                <c:formatCode>General</c:formatCode>
                <c:ptCount val="2"/>
                <c:pt idx="0" formatCode="#,##0">
                  <c:v>0</c:v>
                </c:pt>
              </c:numCache>
            </c:numRef>
          </c:val>
          <c:extLst>
            <c:ext xmlns:c16="http://schemas.microsoft.com/office/drawing/2014/chart" uri="{C3380CC4-5D6E-409C-BE32-E72D297353CC}">
              <c16:uniqueId val="{00000004-CE94-4825-8F5B-8FE7D70B8564}"/>
            </c:ext>
          </c:extLst>
        </c:ser>
        <c:ser>
          <c:idx val="5"/>
          <c:order val="5"/>
          <c:tx>
            <c:strRef>
              <c:f>'CO2 - Cenário RT 4'!$K$67</c:f>
              <c:strCache>
                <c:ptCount val="1"/>
                <c:pt idx="0">
                  <c:v>Trat. biol + cobertura at.</c:v>
                </c:pt>
              </c:strCache>
            </c:strRef>
          </c:tx>
          <c:spPr>
            <a:solidFill>
              <a:srgbClr val="FF00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4'!$L$67:$M$67</c:f>
              <c:numCache>
                <c:formatCode>General</c:formatCode>
                <c:ptCount val="2"/>
                <c:pt idx="0" formatCode="#,##0">
                  <c:v>0</c:v>
                </c:pt>
              </c:numCache>
            </c:numRef>
          </c:val>
          <c:extLst>
            <c:ext xmlns:c16="http://schemas.microsoft.com/office/drawing/2014/chart" uri="{C3380CC4-5D6E-409C-BE32-E72D297353CC}">
              <c16:uniqueId val="{00000005-CE94-4825-8F5B-8FE7D70B8564}"/>
            </c:ext>
          </c:extLst>
        </c:ser>
        <c:ser>
          <c:idx val="6"/>
          <c:order val="6"/>
          <c:tx>
            <c:strRef>
              <c:f>'CO2 - Cenário RT 4'!$K$68</c:f>
              <c:strCache>
                <c:ptCount val="1"/>
                <c:pt idx="0">
                  <c:v>CDR seco + rejeito aterro</c:v>
                </c:pt>
              </c:strCache>
            </c:strRef>
          </c:tx>
          <c:spPr>
            <a:solidFill>
              <a:srgbClr val="00808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4'!$L$68:$M$68</c:f>
              <c:numCache>
                <c:formatCode>General</c:formatCode>
                <c:ptCount val="2"/>
                <c:pt idx="0" formatCode="#,##0">
                  <c:v>0</c:v>
                </c:pt>
              </c:numCache>
            </c:numRef>
          </c:val>
          <c:extLst>
            <c:ext xmlns:c16="http://schemas.microsoft.com/office/drawing/2014/chart" uri="{C3380CC4-5D6E-409C-BE32-E72D297353CC}">
              <c16:uniqueId val="{00000006-CE94-4825-8F5B-8FE7D70B8564}"/>
            </c:ext>
          </c:extLst>
        </c:ser>
        <c:ser>
          <c:idx val="7"/>
          <c:order val="7"/>
          <c:tx>
            <c:strRef>
              <c:f>'CO2 - Cenário RT 4'!$K$69</c:f>
              <c:strCache>
                <c:ptCount val="1"/>
                <c:pt idx="0">
                  <c:v>CDR seco + trat. biol.</c:v>
                </c:pt>
              </c:strCache>
            </c:strRef>
          </c:tx>
          <c:spPr>
            <a:solidFill>
              <a:srgbClr val="FF99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4'!$L$69:$M$69</c:f>
              <c:numCache>
                <c:formatCode>General</c:formatCode>
                <c:ptCount val="2"/>
                <c:pt idx="0" formatCode="#,##0">
                  <c:v>0</c:v>
                </c:pt>
              </c:numCache>
            </c:numRef>
          </c:val>
          <c:extLst>
            <c:ext xmlns:c16="http://schemas.microsoft.com/office/drawing/2014/chart" uri="{C3380CC4-5D6E-409C-BE32-E72D297353CC}">
              <c16:uniqueId val="{00000007-CE94-4825-8F5B-8FE7D70B8564}"/>
            </c:ext>
          </c:extLst>
        </c:ser>
        <c:ser>
          <c:idx val="21"/>
          <c:order val="8"/>
          <c:tx>
            <c:strRef>
              <c:f>'CO2 - Cenário RT 4'!$K$70</c:f>
              <c:strCache>
                <c:ptCount val="1"/>
                <c:pt idx="0">
                  <c:v>CDR seco + CDR org.</c:v>
                </c:pt>
              </c:strCache>
            </c:strRef>
          </c:tx>
          <c:spPr>
            <a:solidFill>
              <a:srgbClr val="00B0F0"/>
            </a:solidFill>
            <a:ln w="12700">
              <a:solidFill>
                <a:srgbClr val="000000"/>
              </a:solidFill>
            </a:ln>
          </c:spPr>
          <c:invertIfNegative val="0"/>
          <c:cat>
            <c:strRef>
              <c:f>'CO2 - Cenário RT 4'!$L$61:$M$61</c:f>
              <c:strCache>
                <c:ptCount val="2"/>
                <c:pt idx="0">
                  <c:v>Destinação de resíduos</c:v>
                </c:pt>
                <c:pt idx="1">
                  <c:v>Líquido</c:v>
                </c:pt>
              </c:strCache>
            </c:strRef>
          </c:cat>
          <c:val>
            <c:numRef>
              <c:f>'CO2 - Cenário RT 4'!$L$70:$M$70</c:f>
              <c:numCache>
                <c:formatCode>General</c:formatCode>
                <c:ptCount val="2"/>
                <c:pt idx="0" formatCode="#,##0">
                  <c:v>0</c:v>
                </c:pt>
              </c:numCache>
            </c:numRef>
          </c:val>
          <c:extLst>
            <c:ext xmlns:c16="http://schemas.microsoft.com/office/drawing/2014/chart" uri="{C3380CC4-5D6E-409C-BE32-E72D297353CC}">
              <c16:uniqueId val="{00000008-CE94-4825-8F5B-8FE7D70B8564}"/>
            </c:ext>
          </c:extLst>
        </c:ser>
        <c:ser>
          <c:idx val="8"/>
          <c:order val="9"/>
          <c:tx>
            <c:strRef>
              <c:f>'CO2 - Cenário RT 4'!$K$71</c:f>
              <c:strCache>
                <c:ptCount val="1"/>
                <c:pt idx="0">
                  <c:v>Incineração</c:v>
                </c:pt>
              </c:strCache>
            </c:strRef>
          </c:tx>
          <c:spPr>
            <a:solidFill>
              <a:srgbClr val="CCCC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4'!$L$71:$M$71</c:f>
              <c:numCache>
                <c:formatCode>General</c:formatCode>
                <c:ptCount val="2"/>
                <c:pt idx="0" formatCode="#,##0">
                  <c:v>39528.245484926003</c:v>
                </c:pt>
              </c:numCache>
            </c:numRef>
          </c:val>
          <c:extLst>
            <c:ext xmlns:c16="http://schemas.microsoft.com/office/drawing/2014/chart" uri="{C3380CC4-5D6E-409C-BE32-E72D297353CC}">
              <c16:uniqueId val="{00000009-CE94-4825-8F5B-8FE7D70B8564}"/>
            </c:ext>
          </c:extLst>
        </c:ser>
        <c:ser>
          <c:idx val="9"/>
          <c:order val="10"/>
          <c:tx>
            <c:strRef>
              <c:f>'CO2 - Cenário RT 4'!$K$72</c:f>
              <c:strCache>
                <c:ptCount val="1"/>
                <c:pt idx="0">
                  <c:v>Débitos</c:v>
                </c:pt>
              </c:strCache>
            </c:strRef>
          </c:tx>
          <c:spPr>
            <a:noFill/>
            <a:ln w="25400">
              <a:noFill/>
            </a:ln>
          </c:spPr>
          <c:invertIfNegative val="0"/>
          <c:cat>
            <c:strRef>
              <c:f>'CO2 - Cenário RT 4'!$L$61:$M$61</c:f>
              <c:strCache>
                <c:ptCount val="2"/>
                <c:pt idx="0">
                  <c:v>Destinação de resíduos</c:v>
                </c:pt>
                <c:pt idx="1">
                  <c:v>Líquido</c:v>
                </c:pt>
              </c:strCache>
            </c:strRef>
          </c:cat>
          <c:val>
            <c:numRef>
              <c:f>'CO2 - Cenário RT 4'!$L$72:$M$72</c:f>
              <c:numCache>
                <c:formatCode>General</c:formatCode>
                <c:ptCount val="2"/>
              </c:numCache>
            </c:numRef>
          </c:val>
          <c:extLst>
            <c:ext xmlns:c16="http://schemas.microsoft.com/office/drawing/2014/chart" uri="{C3380CC4-5D6E-409C-BE32-E72D297353CC}">
              <c16:uniqueId val="{0000000A-CE94-4825-8F5B-8FE7D70B8564}"/>
            </c:ext>
          </c:extLst>
        </c:ser>
        <c:ser>
          <c:idx val="10"/>
          <c:order val="11"/>
          <c:tx>
            <c:strRef>
              <c:f>'CO2 - Cenário RT 4'!$K$73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4'!$L$73:$M$73</c:f>
              <c:numCache>
                <c:formatCode>General</c:formatCode>
                <c:ptCount val="2"/>
                <c:pt idx="0" formatCode="#,##0">
                  <c:v>0</c:v>
                </c:pt>
              </c:numCache>
            </c:numRef>
          </c:val>
          <c:extLst>
            <c:ext xmlns:c16="http://schemas.microsoft.com/office/drawing/2014/chart" uri="{C3380CC4-5D6E-409C-BE32-E72D297353CC}">
              <c16:uniqueId val="{0000000B-CE94-4825-8F5B-8FE7D70B8564}"/>
            </c:ext>
          </c:extLst>
        </c:ser>
        <c:ser>
          <c:idx val="11"/>
          <c:order val="12"/>
          <c:tx>
            <c:strRef>
              <c:f>'CO2 - Cenário RT 4'!$K$74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4'!$L$74:$M$74</c:f>
              <c:numCache>
                <c:formatCode>General</c:formatCode>
                <c:ptCount val="2"/>
                <c:pt idx="0" formatCode="#,##0">
                  <c:v>0</c:v>
                </c:pt>
              </c:numCache>
            </c:numRef>
          </c:val>
          <c:extLst>
            <c:ext xmlns:c16="http://schemas.microsoft.com/office/drawing/2014/chart" uri="{C3380CC4-5D6E-409C-BE32-E72D297353CC}">
              <c16:uniqueId val="{0000000C-CE94-4825-8F5B-8FE7D70B8564}"/>
            </c:ext>
          </c:extLst>
        </c:ser>
        <c:ser>
          <c:idx val="12"/>
          <c:order val="13"/>
          <c:tx>
            <c:strRef>
              <c:f>'CO2 - Cenário RT 4'!$K$75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4'!$L$75:$M$75</c:f>
              <c:numCache>
                <c:formatCode>General</c:formatCode>
                <c:ptCount val="2"/>
                <c:pt idx="0" formatCode="#,##0">
                  <c:v>0</c:v>
                </c:pt>
              </c:numCache>
            </c:numRef>
          </c:val>
          <c:extLst>
            <c:ext xmlns:c16="http://schemas.microsoft.com/office/drawing/2014/chart" uri="{C3380CC4-5D6E-409C-BE32-E72D297353CC}">
              <c16:uniqueId val="{0000000D-CE94-4825-8F5B-8FE7D70B8564}"/>
            </c:ext>
          </c:extLst>
        </c:ser>
        <c:ser>
          <c:idx val="13"/>
          <c:order val="14"/>
          <c:tx>
            <c:strRef>
              <c:f>'CO2 - Cenário RT 4'!$K$76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4'!$L$76:$M$76</c:f>
              <c:numCache>
                <c:formatCode>General</c:formatCode>
                <c:ptCount val="2"/>
                <c:pt idx="0" formatCode="#,##0">
                  <c:v>0</c:v>
                </c:pt>
              </c:numCache>
            </c:numRef>
          </c:val>
          <c:extLst>
            <c:ext xmlns:c16="http://schemas.microsoft.com/office/drawing/2014/chart" uri="{C3380CC4-5D6E-409C-BE32-E72D297353CC}">
              <c16:uniqueId val="{0000000E-CE94-4825-8F5B-8FE7D70B8564}"/>
            </c:ext>
          </c:extLst>
        </c:ser>
        <c:ser>
          <c:idx val="14"/>
          <c:order val="15"/>
          <c:tx>
            <c:strRef>
              <c:f>'CO2 - Cenário RT 4'!$K$77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4'!$L$77:$M$77</c:f>
              <c:numCache>
                <c:formatCode>General</c:formatCode>
                <c:ptCount val="2"/>
                <c:pt idx="0" formatCode="#,##0">
                  <c:v>0</c:v>
                </c:pt>
              </c:numCache>
            </c:numRef>
          </c:val>
          <c:extLst>
            <c:ext xmlns:c16="http://schemas.microsoft.com/office/drawing/2014/chart" uri="{C3380CC4-5D6E-409C-BE32-E72D297353CC}">
              <c16:uniqueId val="{0000000F-CE94-4825-8F5B-8FE7D70B8564}"/>
            </c:ext>
          </c:extLst>
        </c:ser>
        <c:ser>
          <c:idx val="15"/>
          <c:order val="16"/>
          <c:tx>
            <c:strRef>
              <c:f>'CO2 - Cenário RT 4'!$K$78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4'!$L$78:$M$78</c:f>
              <c:numCache>
                <c:formatCode>General</c:formatCode>
                <c:ptCount val="2"/>
                <c:pt idx="0" formatCode="#,##0">
                  <c:v>0</c:v>
                </c:pt>
              </c:numCache>
            </c:numRef>
          </c:val>
          <c:extLst>
            <c:ext xmlns:c16="http://schemas.microsoft.com/office/drawing/2014/chart" uri="{C3380CC4-5D6E-409C-BE32-E72D297353CC}">
              <c16:uniqueId val="{00000010-CE94-4825-8F5B-8FE7D70B8564}"/>
            </c:ext>
          </c:extLst>
        </c:ser>
        <c:ser>
          <c:idx val="16"/>
          <c:order val="17"/>
          <c:tx>
            <c:strRef>
              <c:f>'CO2 - Cenário RT 4'!$K$79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4'!$L$79:$M$79</c:f>
              <c:numCache>
                <c:formatCode>General</c:formatCode>
                <c:ptCount val="2"/>
                <c:pt idx="0" formatCode="#,##0">
                  <c:v>0</c:v>
                </c:pt>
              </c:numCache>
            </c:numRef>
          </c:val>
          <c:extLst>
            <c:ext xmlns:c16="http://schemas.microsoft.com/office/drawing/2014/chart" uri="{C3380CC4-5D6E-409C-BE32-E72D297353CC}">
              <c16:uniqueId val="{00000011-CE94-4825-8F5B-8FE7D70B8564}"/>
            </c:ext>
          </c:extLst>
        </c:ser>
        <c:ser>
          <c:idx val="17"/>
          <c:order val="18"/>
          <c:tx>
            <c:strRef>
              <c:f>'CO2 - Cenário RT 4'!$K$80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4'!$L$80:$M$80</c:f>
              <c:numCache>
                <c:formatCode>General</c:formatCode>
                <c:ptCount val="2"/>
                <c:pt idx="0" formatCode="#,##0">
                  <c:v>0</c:v>
                </c:pt>
              </c:numCache>
            </c:numRef>
          </c:val>
          <c:extLst>
            <c:ext xmlns:c16="http://schemas.microsoft.com/office/drawing/2014/chart" uri="{C3380CC4-5D6E-409C-BE32-E72D297353CC}">
              <c16:uniqueId val="{00000012-CE94-4825-8F5B-8FE7D70B8564}"/>
            </c:ext>
          </c:extLst>
        </c:ser>
        <c:ser>
          <c:idx val="22"/>
          <c:order val="19"/>
          <c:tx>
            <c:strRef>
              <c:f>'CO2 - Cenário RT 4'!$K$81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4'!$L$61:$M$61</c:f>
              <c:strCache>
                <c:ptCount val="2"/>
                <c:pt idx="0">
                  <c:v>Destinação de resíduos</c:v>
                </c:pt>
                <c:pt idx="1">
                  <c:v>Líquido</c:v>
                </c:pt>
              </c:strCache>
            </c:strRef>
          </c:cat>
          <c:val>
            <c:numRef>
              <c:f>'CO2 - Cenário RT 4'!$L$81:$M$81</c:f>
              <c:numCache>
                <c:formatCode>General</c:formatCode>
                <c:ptCount val="2"/>
                <c:pt idx="0" formatCode="#,##0">
                  <c:v>0</c:v>
                </c:pt>
              </c:numCache>
            </c:numRef>
          </c:val>
          <c:extLst>
            <c:ext xmlns:c16="http://schemas.microsoft.com/office/drawing/2014/chart" uri="{C3380CC4-5D6E-409C-BE32-E72D297353CC}">
              <c16:uniqueId val="{00000013-CE94-4825-8F5B-8FE7D70B8564}"/>
            </c:ext>
          </c:extLst>
        </c:ser>
        <c:ser>
          <c:idx val="18"/>
          <c:order val="20"/>
          <c:tx>
            <c:strRef>
              <c:f>'CO2 - Cenário RT 4'!$K$82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4'!$L$82:$M$82</c:f>
              <c:numCache>
                <c:formatCode>General</c:formatCode>
                <c:ptCount val="2"/>
                <c:pt idx="0" formatCode="#,##0">
                  <c:v>-2810.5079200893747</c:v>
                </c:pt>
              </c:numCache>
            </c:numRef>
          </c:val>
          <c:extLst>
            <c:ext xmlns:c16="http://schemas.microsoft.com/office/drawing/2014/chart" uri="{C3380CC4-5D6E-409C-BE32-E72D297353CC}">
              <c16:uniqueId val="{00000014-CE94-4825-8F5B-8FE7D70B8564}"/>
            </c:ext>
          </c:extLst>
        </c:ser>
        <c:ser>
          <c:idx val="19"/>
          <c:order val="21"/>
          <c:tx>
            <c:strRef>
              <c:f>'CO2 - Cenário RT 4'!$K$83</c:f>
              <c:strCache>
                <c:ptCount val="1"/>
                <c:pt idx="0">
                  <c:v>Créditos</c:v>
                </c:pt>
              </c:strCache>
            </c:strRef>
          </c:tx>
          <c:spPr>
            <a:noFill/>
            <a:ln w="25400">
              <a:noFill/>
            </a:ln>
          </c:spPr>
          <c:invertIfNegative val="0"/>
          <c:cat>
            <c:strRef>
              <c:f>'CO2 - Cenário RT 4'!$L$61:$M$61</c:f>
              <c:strCache>
                <c:ptCount val="2"/>
                <c:pt idx="0">
                  <c:v>Destinação de resíduos</c:v>
                </c:pt>
                <c:pt idx="1">
                  <c:v>Líquido</c:v>
                </c:pt>
              </c:strCache>
            </c:strRef>
          </c:cat>
          <c:val>
            <c:numRef>
              <c:f>'CO2 - Cenário RT 4'!$L$83:$M$83</c:f>
              <c:numCache>
                <c:formatCode>General</c:formatCode>
                <c:ptCount val="2"/>
              </c:numCache>
            </c:numRef>
          </c:val>
          <c:extLst>
            <c:ext xmlns:c16="http://schemas.microsoft.com/office/drawing/2014/chart" uri="{C3380CC4-5D6E-409C-BE32-E72D297353CC}">
              <c16:uniqueId val="{00000015-CE94-4825-8F5B-8FE7D70B8564}"/>
            </c:ext>
          </c:extLst>
        </c:ser>
        <c:ser>
          <c:idx val="20"/>
          <c:order val="22"/>
          <c:tx>
            <c:strRef>
              <c:f>'CO2 - Cenário RT 4'!$K$84</c:f>
              <c:strCache>
                <c:ptCount val="1"/>
                <c:pt idx="0">
                  <c:v>Líquido</c:v>
                </c:pt>
              </c:strCache>
            </c:strRef>
          </c:tx>
          <c:spPr>
            <a:solidFill>
              <a:srgbClr val="0000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4'!$L$84:$M$84</c:f>
              <c:numCache>
                <c:formatCode>#,##0</c:formatCode>
                <c:ptCount val="2"/>
                <c:pt idx="1">
                  <c:v>63179.010027641685</c:v>
                </c:pt>
              </c:numCache>
            </c:numRef>
          </c:val>
          <c:extLst>
            <c:ext xmlns:c16="http://schemas.microsoft.com/office/drawing/2014/chart" uri="{C3380CC4-5D6E-409C-BE32-E72D297353CC}">
              <c16:uniqueId val="{00000016-CE94-4825-8F5B-8FE7D70B8564}"/>
            </c:ext>
          </c:extLst>
        </c:ser>
        <c:dLbls>
          <c:showLegendKey val="0"/>
          <c:showVal val="0"/>
          <c:showCatName val="0"/>
          <c:showSerName val="0"/>
          <c:showPercent val="0"/>
          <c:showBubbleSize val="0"/>
        </c:dLbls>
        <c:gapWidth val="100"/>
        <c:overlap val="100"/>
        <c:axId val="198032768"/>
        <c:axId val="198046848"/>
      </c:barChart>
      <c:catAx>
        <c:axId val="1980327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046848"/>
        <c:crosses val="autoZero"/>
        <c:auto val="1"/>
        <c:lblAlgn val="ctr"/>
        <c:lblOffset val="100"/>
        <c:tickLblSkip val="1"/>
        <c:tickMarkSkip val="1"/>
        <c:noMultiLvlLbl val="0"/>
      </c:catAx>
      <c:valAx>
        <c:axId val="1980468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684130583057021E-3"/>
              <c:y val="0.37517229552362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0327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0957775489186381"/>
          <c:y val="1.5172413793103448E-2"/>
          <c:w val="0.28823678878313236"/>
          <c:h val="0.9715843345251842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958412098298676"/>
          <c:y val="0.11312849162011174"/>
          <c:w val="0.78827977315690001"/>
          <c:h val="0.77374301675977719"/>
        </c:manualLayout>
      </c:layout>
      <c:barChart>
        <c:barDir val="col"/>
        <c:grouping val="clustered"/>
        <c:varyColors val="0"/>
        <c:ser>
          <c:idx val="0"/>
          <c:order val="0"/>
          <c:tx>
            <c:strRef>
              <c:f>'CO2 - Cenário RT 4'!$G$53</c:f>
              <c:strCache>
                <c:ptCount val="1"/>
                <c:pt idx="0">
                  <c:v>Débitos</c:v>
                </c:pt>
              </c:strCache>
            </c:strRef>
          </c:tx>
          <c:spPr>
            <a:solidFill>
              <a:srgbClr val="FFCC99"/>
            </a:solidFill>
            <a:ln w="12700">
              <a:solidFill>
                <a:srgbClr val="000000"/>
              </a:solidFill>
              <a:prstDash val="solid"/>
            </a:ln>
          </c:spPr>
          <c:invertIfNegative val="0"/>
          <c:cat>
            <c:strRef>
              <c:f>'CO2 - Cenário RT 4'!$H$52:$J$52</c:f>
              <c:strCache>
                <c:ptCount val="3"/>
                <c:pt idx="0">
                  <c:v>Resíduo reciclado</c:v>
                </c:pt>
                <c:pt idx="1">
                  <c:v>Destinação de resíduo</c:v>
                </c:pt>
                <c:pt idx="2">
                  <c:v>RSU total</c:v>
                </c:pt>
              </c:strCache>
            </c:strRef>
          </c:cat>
          <c:val>
            <c:numRef>
              <c:f>'CO2 - Cenário RT 4'!$H$53:$J$53</c:f>
              <c:numCache>
                <c:formatCode>#,##0</c:formatCode>
                <c:ptCount val="3"/>
                <c:pt idx="0">
                  <c:v>10561.463048000001</c:v>
                </c:pt>
                <c:pt idx="1">
                  <c:v>65989.517947731059</c:v>
                </c:pt>
                <c:pt idx="2">
                  <c:v>76550.980995731064</c:v>
                </c:pt>
              </c:numCache>
            </c:numRef>
          </c:val>
          <c:extLst>
            <c:ext xmlns:c16="http://schemas.microsoft.com/office/drawing/2014/chart" uri="{C3380CC4-5D6E-409C-BE32-E72D297353CC}">
              <c16:uniqueId val="{00000000-2FD9-4671-B97E-EDBAC780AE8D}"/>
            </c:ext>
          </c:extLst>
        </c:ser>
        <c:ser>
          <c:idx val="1"/>
          <c:order val="1"/>
          <c:tx>
            <c:strRef>
              <c:f>'CO2 - Cenário RT 4'!$G$54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4'!$H$52:$J$52</c:f>
              <c:strCache>
                <c:ptCount val="3"/>
                <c:pt idx="0">
                  <c:v>Resíduo reciclado</c:v>
                </c:pt>
                <c:pt idx="1">
                  <c:v>Destinação de resíduo</c:v>
                </c:pt>
                <c:pt idx="2">
                  <c:v>RSU total</c:v>
                </c:pt>
              </c:strCache>
            </c:strRef>
          </c:cat>
          <c:val>
            <c:numRef>
              <c:f>'CO2 - Cenário RT 4'!$H$54:$J$54</c:f>
              <c:numCache>
                <c:formatCode>#,##0</c:formatCode>
                <c:ptCount val="3"/>
                <c:pt idx="0">
                  <c:v>-31824.008943999997</c:v>
                </c:pt>
                <c:pt idx="1">
                  <c:v>-2810.5079200893747</c:v>
                </c:pt>
                <c:pt idx="2">
                  <c:v>-34634.516864089375</c:v>
                </c:pt>
              </c:numCache>
            </c:numRef>
          </c:val>
          <c:extLst>
            <c:ext xmlns:c16="http://schemas.microsoft.com/office/drawing/2014/chart" uri="{C3380CC4-5D6E-409C-BE32-E72D297353CC}">
              <c16:uniqueId val="{00000001-2FD9-4671-B97E-EDBAC780AE8D}"/>
            </c:ext>
          </c:extLst>
        </c:ser>
        <c:ser>
          <c:idx val="2"/>
          <c:order val="2"/>
          <c:tx>
            <c:strRef>
              <c:f>'CO2 - Cenário RT 4'!$G$55</c:f>
              <c:strCache>
                <c:ptCount val="1"/>
                <c:pt idx="0">
                  <c:v>Líquido</c:v>
                </c:pt>
              </c:strCache>
            </c:strRef>
          </c:tx>
          <c:spPr>
            <a:solidFill>
              <a:srgbClr val="0000FF"/>
            </a:solidFill>
            <a:ln w="12700">
              <a:solidFill>
                <a:srgbClr val="000000"/>
              </a:solidFill>
              <a:prstDash val="solid"/>
            </a:ln>
          </c:spPr>
          <c:invertIfNegative val="0"/>
          <c:cat>
            <c:strRef>
              <c:f>'CO2 - Cenário RT 4'!$H$52:$J$52</c:f>
              <c:strCache>
                <c:ptCount val="3"/>
                <c:pt idx="0">
                  <c:v>Resíduo reciclado</c:v>
                </c:pt>
                <c:pt idx="1">
                  <c:v>Destinação de resíduo</c:v>
                </c:pt>
                <c:pt idx="2">
                  <c:v>RSU total</c:v>
                </c:pt>
              </c:strCache>
            </c:strRef>
          </c:cat>
          <c:val>
            <c:numRef>
              <c:f>'CO2 - Cenário RT 4'!$H$55:$J$55</c:f>
              <c:numCache>
                <c:formatCode>#,##0</c:formatCode>
                <c:ptCount val="3"/>
                <c:pt idx="0">
                  <c:v>-21262.545895999996</c:v>
                </c:pt>
                <c:pt idx="1">
                  <c:v>63179.010027641685</c:v>
                </c:pt>
                <c:pt idx="2">
                  <c:v>41916.464131641689</c:v>
                </c:pt>
              </c:numCache>
            </c:numRef>
          </c:val>
          <c:extLst>
            <c:ext xmlns:c16="http://schemas.microsoft.com/office/drawing/2014/chart" uri="{C3380CC4-5D6E-409C-BE32-E72D297353CC}">
              <c16:uniqueId val="{00000002-2FD9-4671-B97E-EDBAC780AE8D}"/>
            </c:ext>
          </c:extLst>
        </c:ser>
        <c:dLbls>
          <c:showLegendKey val="0"/>
          <c:showVal val="0"/>
          <c:showCatName val="0"/>
          <c:showSerName val="0"/>
          <c:showPercent val="0"/>
          <c:showBubbleSize val="0"/>
        </c:dLbls>
        <c:gapWidth val="100"/>
        <c:axId val="198103040"/>
        <c:axId val="198104576"/>
      </c:barChart>
      <c:catAx>
        <c:axId val="19810304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4576"/>
        <c:crosses val="autoZero"/>
        <c:auto val="1"/>
        <c:lblAlgn val="ctr"/>
        <c:lblOffset val="50"/>
        <c:tickLblSkip val="1"/>
        <c:tickMarkSkip val="1"/>
        <c:noMultiLvlLbl val="0"/>
      </c:catAx>
      <c:valAx>
        <c:axId val="198104576"/>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353659280961973E-3"/>
              <c:y val="0.354748603351955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3040"/>
        <c:crosses val="autoZero"/>
        <c:crossBetween val="between"/>
      </c:valAx>
      <c:spPr>
        <a:noFill/>
        <a:ln w="3175">
          <a:solidFill>
            <a:srgbClr val="000000"/>
          </a:solidFill>
          <a:prstDash val="solid"/>
        </a:ln>
      </c:spPr>
    </c:plotArea>
    <c:legend>
      <c:legendPos val="r"/>
      <c:layout>
        <c:manualLayout>
          <c:xMode val="edge"/>
          <c:yMode val="edge"/>
          <c:x val="0.18830567484476371"/>
          <c:y val="2.4787008843065887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34887542620636"/>
          <c:y val="1.3317222772640101E-2"/>
        </c:manualLayout>
      </c:layout>
      <c:overlay val="0"/>
      <c:spPr>
        <a:noFill/>
        <a:ln w="25400">
          <a:noFill/>
        </a:ln>
      </c:spPr>
    </c:title>
    <c:autoTitleDeleted val="0"/>
    <c:plotArea>
      <c:layout>
        <c:manualLayout>
          <c:layoutTarget val="inner"/>
          <c:xMode val="edge"/>
          <c:yMode val="edge"/>
          <c:x val="0.18750017339549072"/>
          <c:y val="0.10653778218112091"/>
          <c:w val="0.78598557534473334"/>
          <c:h val="0.5859578019961643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5'!$B$7:$B$15,'CO2 - Cenário RT 5'!$B$18:$B$27)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5'!$C$7:$C$15,'CO2 - Cenário RT 5'!$C$18:$C$27)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19690.881299999997</c:v>
                </c:pt>
                <c:pt idx="13">
                  <c:v>0</c:v>
                </c:pt>
                <c:pt idx="14">
                  <c:v>0</c:v>
                </c:pt>
                <c:pt idx="15">
                  <c:v>0</c:v>
                </c:pt>
                <c:pt idx="16">
                  <c:v>0</c:v>
                </c:pt>
                <c:pt idx="17">
                  <c:v>0</c:v>
                </c:pt>
                <c:pt idx="18">
                  <c:v>111581.66069999998</c:v>
                </c:pt>
              </c:numCache>
            </c:numRef>
          </c:val>
          <c:extLst>
            <c:ext xmlns:c16="http://schemas.microsoft.com/office/drawing/2014/chart" uri="{C3380CC4-5D6E-409C-BE32-E72D297353CC}">
              <c16:uniqueId val="{00000000-F3F6-4F8E-8D2E-D960A19B790B}"/>
            </c:ext>
          </c:extLst>
        </c:ser>
        <c:dLbls>
          <c:showLegendKey val="0"/>
          <c:showVal val="0"/>
          <c:showCatName val="0"/>
          <c:showSerName val="0"/>
          <c:showPercent val="0"/>
          <c:showBubbleSize val="0"/>
        </c:dLbls>
        <c:gapWidth val="100"/>
        <c:axId val="197835392"/>
        <c:axId val="197837184"/>
      </c:barChart>
      <c:catAx>
        <c:axId val="19783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837184"/>
        <c:crosses val="autoZero"/>
        <c:auto val="1"/>
        <c:lblAlgn val="ctr"/>
        <c:lblOffset val="100"/>
        <c:tickLblSkip val="1"/>
        <c:tickMarkSkip val="1"/>
        <c:noMultiLvlLbl val="0"/>
      </c:catAx>
      <c:valAx>
        <c:axId val="19783718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1.2487080419295414E-2"/>
              <c:y val="0.363720882653520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83539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a:t>
            </a:r>
            <a:r>
              <a:rPr lang="de-DE" baseline="0"/>
              <a:t> de GEE</a:t>
            </a:r>
            <a:r>
              <a:rPr lang="de-DE"/>
              <a:t> </a:t>
            </a:r>
            <a:r>
              <a:rPr lang="pt-BR" sz="975" b="0" i="0" u="none" strike="noStrike" baseline="0">
                <a:solidFill>
                  <a:sysClr val="windowText" lastClr="000000"/>
                </a:solidFill>
                <a:effectLst/>
              </a:rPr>
              <a:t>—</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5'!$B$62</c:f>
              <c:strCache>
                <c:ptCount val="1"/>
                <c:pt idx="0">
                  <c:v>Resíduos de alimentos</c:v>
                </c:pt>
              </c:strCache>
            </c:strRef>
          </c:tx>
          <c:spPr>
            <a:solidFill>
              <a:srgbClr val="99CC0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5'!$C$62:$D$62</c:f>
              <c:numCache>
                <c:formatCode>General</c:formatCode>
                <c:ptCount val="2"/>
                <c:pt idx="0" formatCode="#,##0">
                  <c:v>0</c:v>
                </c:pt>
              </c:numCache>
            </c:numRef>
          </c:val>
          <c:extLst>
            <c:ext xmlns:c16="http://schemas.microsoft.com/office/drawing/2014/chart" uri="{C3380CC4-5D6E-409C-BE32-E72D297353CC}">
              <c16:uniqueId val="{00000000-534E-4A5F-A572-487900109EC2}"/>
            </c:ext>
          </c:extLst>
        </c:ser>
        <c:ser>
          <c:idx val="1"/>
          <c:order val="1"/>
          <c:tx>
            <c:strRef>
              <c:f>'CO2 - Cenário RT 5'!$B$63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5'!$C$63:$D$63</c:f>
              <c:numCache>
                <c:formatCode>General</c:formatCode>
                <c:ptCount val="2"/>
                <c:pt idx="0" formatCode="#,##0">
                  <c:v>0</c:v>
                </c:pt>
              </c:numCache>
            </c:numRef>
          </c:val>
          <c:extLst>
            <c:ext xmlns:c16="http://schemas.microsoft.com/office/drawing/2014/chart" uri="{C3380CC4-5D6E-409C-BE32-E72D297353CC}">
              <c16:uniqueId val="{00000001-534E-4A5F-A572-487900109EC2}"/>
            </c:ext>
          </c:extLst>
        </c:ser>
        <c:ser>
          <c:idx val="2"/>
          <c:order val="2"/>
          <c:tx>
            <c:strRef>
              <c:f>'CO2 - Cenário RT 5'!$B$64</c:f>
              <c:strCache>
                <c:ptCount val="1"/>
                <c:pt idx="0">
                  <c:v>Papel, papelão</c:v>
                </c:pt>
              </c:strCache>
            </c:strRef>
          </c:tx>
          <c:spPr>
            <a:solidFill>
              <a:srgbClr val="CC99FF"/>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5'!$C$64:$D$64</c:f>
              <c:numCache>
                <c:formatCode>General</c:formatCode>
                <c:ptCount val="2"/>
                <c:pt idx="0" formatCode="#,##0">
                  <c:v>7999.4112480000003</c:v>
                </c:pt>
              </c:numCache>
            </c:numRef>
          </c:val>
          <c:extLst>
            <c:ext xmlns:c16="http://schemas.microsoft.com/office/drawing/2014/chart" uri="{C3380CC4-5D6E-409C-BE32-E72D297353CC}">
              <c16:uniqueId val="{00000002-534E-4A5F-A572-487900109EC2}"/>
            </c:ext>
          </c:extLst>
        </c:ser>
        <c:ser>
          <c:idx val="3"/>
          <c:order val="3"/>
          <c:tx>
            <c:strRef>
              <c:f>'CO2 - Cenário RT 5'!$B$65</c:f>
              <c:strCache>
                <c:ptCount val="1"/>
                <c:pt idx="0">
                  <c:v>Plásticos</c:v>
                </c:pt>
              </c:strCache>
            </c:strRef>
          </c:tx>
          <c:spPr>
            <a:solidFill>
              <a:srgbClr val="FFFF0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5'!$C$65:$D$65</c:f>
              <c:numCache>
                <c:formatCode>General</c:formatCode>
                <c:ptCount val="2"/>
                <c:pt idx="0" formatCode="#,##0">
                  <c:v>1777.8420000000001</c:v>
                </c:pt>
              </c:numCache>
            </c:numRef>
          </c:val>
          <c:extLst>
            <c:ext xmlns:c16="http://schemas.microsoft.com/office/drawing/2014/chart" uri="{C3380CC4-5D6E-409C-BE32-E72D297353CC}">
              <c16:uniqueId val="{00000003-534E-4A5F-A572-487900109EC2}"/>
            </c:ext>
          </c:extLst>
        </c:ser>
        <c:ser>
          <c:idx val="4"/>
          <c:order val="4"/>
          <c:tx>
            <c:strRef>
              <c:f>'CO2 - Cenário RT 5'!$B$66</c:f>
              <c:strCache>
                <c:ptCount val="1"/>
                <c:pt idx="0">
                  <c:v>Vidros</c:v>
                </c:pt>
              </c:strCache>
            </c:strRef>
          </c:tx>
          <c:spPr>
            <a:solidFill>
              <a:srgbClr val="FF99CC"/>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5'!$C$66:$D$66</c:f>
              <c:numCache>
                <c:formatCode>General</c:formatCode>
                <c:ptCount val="2"/>
                <c:pt idx="0" formatCode="#,##0">
                  <c:v>0</c:v>
                </c:pt>
              </c:numCache>
            </c:numRef>
          </c:val>
          <c:extLst>
            <c:ext xmlns:c16="http://schemas.microsoft.com/office/drawing/2014/chart" uri="{C3380CC4-5D6E-409C-BE32-E72D297353CC}">
              <c16:uniqueId val="{00000004-534E-4A5F-A572-487900109EC2}"/>
            </c:ext>
          </c:extLst>
        </c:ser>
        <c:ser>
          <c:idx val="5"/>
          <c:order val="5"/>
          <c:tx>
            <c:strRef>
              <c:f>'CO2 - Cenário RT 5'!$B$67</c:f>
              <c:strCache>
                <c:ptCount val="1"/>
                <c:pt idx="0">
                  <c:v>Metais ferrosos</c:v>
                </c:pt>
              </c:strCache>
            </c:strRef>
          </c:tx>
          <c:spPr>
            <a:solidFill>
              <a:srgbClr val="C0C0C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5'!$C$67:$D$67</c:f>
              <c:numCache>
                <c:formatCode>General</c:formatCode>
                <c:ptCount val="2"/>
                <c:pt idx="0" formatCode="#,##0">
                  <c:v>204.16639999999998</c:v>
                </c:pt>
              </c:numCache>
            </c:numRef>
          </c:val>
          <c:extLst>
            <c:ext xmlns:c16="http://schemas.microsoft.com/office/drawing/2014/chart" uri="{C3380CC4-5D6E-409C-BE32-E72D297353CC}">
              <c16:uniqueId val="{00000005-534E-4A5F-A572-487900109EC2}"/>
            </c:ext>
          </c:extLst>
        </c:ser>
        <c:ser>
          <c:idx val="6"/>
          <c:order val="6"/>
          <c:tx>
            <c:strRef>
              <c:f>'CO2 - Cenário RT 5'!$B$68</c:f>
              <c:strCache>
                <c:ptCount val="1"/>
                <c:pt idx="0">
                  <c:v>Alumínio</c:v>
                </c:pt>
              </c:strCache>
            </c:strRef>
          </c:tx>
          <c:spPr>
            <a:solidFill>
              <a:srgbClr val="993366"/>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5'!$C$68:$D$68</c:f>
              <c:numCache>
                <c:formatCode>General</c:formatCode>
                <c:ptCount val="2"/>
                <c:pt idx="0" formatCode="#,##0">
                  <c:v>580.04339999999991</c:v>
                </c:pt>
              </c:numCache>
            </c:numRef>
          </c:val>
          <c:extLst>
            <c:ext xmlns:c16="http://schemas.microsoft.com/office/drawing/2014/chart" uri="{C3380CC4-5D6E-409C-BE32-E72D297353CC}">
              <c16:uniqueId val="{00000006-534E-4A5F-A572-487900109EC2}"/>
            </c:ext>
          </c:extLst>
        </c:ser>
        <c:ser>
          <c:idx val="7"/>
          <c:order val="7"/>
          <c:tx>
            <c:strRef>
              <c:f>'CO2 - Cenário RT 5'!$B$69</c:f>
              <c:strCache>
                <c:ptCount val="1"/>
                <c:pt idx="0">
                  <c:v>Têxteis</c:v>
                </c:pt>
              </c:strCache>
            </c:strRef>
          </c:tx>
          <c:spPr>
            <a:solidFill>
              <a:srgbClr val="9999FF"/>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5'!$C$69:$D$69</c:f>
              <c:numCache>
                <c:formatCode>General</c:formatCode>
                <c:ptCount val="2"/>
                <c:pt idx="0" formatCode="#,##0">
                  <c:v>0</c:v>
                </c:pt>
              </c:numCache>
            </c:numRef>
          </c:val>
          <c:extLst>
            <c:ext xmlns:c16="http://schemas.microsoft.com/office/drawing/2014/chart" uri="{C3380CC4-5D6E-409C-BE32-E72D297353CC}">
              <c16:uniqueId val="{00000007-534E-4A5F-A572-487900109EC2}"/>
            </c:ext>
          </c:extLst>
        </c:ser>
        <c:ser>
          <c:idx val="8"/>
          <c:order val="8"/>
          <c:tx>
            <c:strRef>
              <c:f>'CO2 - Cenário RT 5'!$B$70</c:f>
              <c:strCache>
                <c:ptCount val="1"/>
                <c:pt idx="0">
                  <c:v>Débitos</c:v>
                </c:pt>
              </c:strCache>
            </c:strRef>
          </c:tx>
          <c:spPr>
            <a:noFill/>
            <a:ln w="25400">
              <a:noFill/>
            </a:ln>
          </c:spPr>
          <c:invertIfNegative val="0"/>
          <c:cat>
            <c:strRef>
              <c:f>'CO2 - Cenário RT 5'!$C$61:$D$61</c:f>
              <c:strCache>
                <c:ptCount val="2"/>
                <c:pt idx="0">
                  <c:v>Resíduos reciclados</c:v>
                </c:pt>
                <c:pt idx="1">
                  <c:v>Líquido</c:v>
                </c:pt>
              </c:strCache>
            </c:strRef>
          </c:cat>
          <c:val>
            <c:numRef>
              <c:f>'CO2 - Cenário RT 5'!$C$70:$D$70</c:f>
              <c:numCache>
                <c:formatCode>#,##0</c:formatCode>
                <c:ptCount val="2"/>
              </c:numCache>
            </c:numRef>
          </c:val>
          <c:extLst>
            <c:ext xmlns:c16="http://schemas.microsoft.com/office/drawing/2014/chart" uri="{C3380CC4-5D6E-409C-BE32-E72D297353CC}">
              <c16:uniqueId val="{00000008-534E-4A5F-A572-487900109EC2}"/>
            </c:ext>
          </c:extLst>
        </c:ser>
        <c:ser>
          <c:idx val="9"/>
          <c:order val="9"/>
          <c:tx>
            <c:strRef>
              <c:f>'CO2 - Cenário RT 5'!$B$71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5'!$C$71:$D$71</c:f>
              <c:numCache>
                <c:formatCode>General</c:formatCode>
                <c:ptCount val="2"/>
                <c:pt idx="0" formatCode="#,##0">
                  <c:v>0</c:v>
                </c:pt>
              </c:numCache>
            </c:numRef>
          </c:val>
          <c:extLst>
            <c:ext xmlns:c16="http://schemas.microsoft.com/office/drawing/2014/chart" uri="{C3380CC4-5D6E-409C-BE32-E72D297353CC}">
              <c16:uniqueId val="{00000009-534E-4A5F-A572-487900109EC2}"/>
            </c:ext>
          </c:extLst>
        </c:ser>
        <c:ser>
          <c:idx val="10"/>
          <c:order val="10"/>
          <c:tx>
            <c:strRef>
              <c:f>'CO2 - Cenário RT 5'!$B$72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5'!$C$72:$D$72</c:f>
              <c:numCache>
                <c:formatCode>General</c:formatCode>
                <c:ptCount val="2"/>
                <c:pt idx="0" formatCode="#,##0">
                  <c:v>0</c:v>
                </c:pt>
              </c:numCache>
            </c:numRef>
          </c:val>
          <c:extLst>
            <c:ext xmlns:c16="http://schemas.microsoft.com/office/drawing/2014/chart" uri="{C3380CC4-5D6E-409C-BE32-E72D297353CC}">
              <c16:uniqueId val="{0000000A-534E-4A5F-A572-487900109EC2}"/>
            </c:ext>
          </c:extLst>
        </c:ser>
        <c:ser>
          <c:idx val="11"/>
          <c:order val="11"/>
          <c:tx>
            <c:strRef>
              <c:f>'CO2 - Cenário RT 5'!$B$73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5'!$C$73:$D$73</c:f>
              <c:numCache>
                <c:formatCode>General</c:formatCode>
                <c:ptCount val="2"/>
                <c:pt idx="0" formatCode="#,##0">
                  <c:v>-9859.1469840000009</c:v>
                </c:pt>
              </c:numCache>
            </c:numRef>
          </c:val>
          <c:extLst>
            <c:ext xmlns:c16="http://schemas.microsoft.com/office/drawing/2014/chart" uri="{C3380CC4-5D6E-409C-BE32-E72D297353CC}">
              <c16:uniqueId val="{0000000B-534E-4A5F-A572-487900109EC2}"/>
            </c:ext>
          </c:extLst>
        </c:ser>
        <c:ser>
          <c:idx val="12"/>
          <c:order val="12"/>
          <c:tx>
            <c:strRef>
              <c:f>'CO2 - Cenário RT 5'!$B$74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5'!$C$74:$D$74</c:f>
              <c:numCache>
                <c:formatCode>General</c:formatCode>
                <c:ptCount val="2"/>
                <c:pt idx="0" formatCode="#,##0">
                  <c:v>-8281.2747600000002</c:v>
                </c:pt>
              </c:numCache>
            </c:numRef>
          </c:val>
          <c:extLst>
            <c:ext xmlns:c16="http://schemas.microsoft.com/office/drawing/2014/chart" uri="{C3380CC4-5D6E-409C-BE32-E72D297353CC}">
              <c16:uniqueId val="{0000000C-534E-4A5F-A572-487900109EC2}"/>
            </c:ext>
          </c:extLst>
        </c:ser>
        <c:ser>
          <c:idx val="13"/>
          <c:order val="13"/>
          <c:tx>
            <c:strRef>
              <c:f>'CO2 - Cenário RT 5'!$B$75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5'!$C$75:$D$75</c:f>
              <c:numCache>
                <c:formatCode>General</c:formatCode>
                <c:ptCount val="2"/>
                <c:pt idx="0" formatCode="#,##0">
                  <c:v>0</c:v>
                </c:pt>
              </c:numCache>
            </c:numRef>
          </c:val>
          <c:extLst>
            <c:ext xmlns:c16="http://schemas.microsoft.com/office/drawing/2014/chart" uri="{C3380CC4-5D6E-409C-BE32-E72D297353CC}">
              <c16:uniqueId val="{0000000D-534E-4A5F-A572-487900109EC2}"/>
            </c:ext>
          </c:extLst>
        </c:ser>
        <c:ser>
          <c:idx val="14"/>
          <c:order val="14"/>
          <c:tx>
            <c:strRef>
              <c:f>'CO2 - Cenário RT 5'!$B$76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5'!$C$76:$D$76</c:f>
              <c:numCache>
                <c:formatCode>General</c:formatCode>
                <c:ptCount val="2"/>
                <c:pt idx="0" formatCode="#,##0">
                  <c:v>-5461.4512000000004</c:v>
                </c:pt>
              </c:numCache>
            </c:numRef>
          </c:val>
          <c:extLst>
            <c:ext xmlns:c16="http://schemas.microsoft.com/office/drawing/2014/chart" uri="{C3380CC4-5D6E-409C-BE32-E72D297353CC}">
              <c16:uniqueId val="{0000000E-534E-4A5F-A572-487900109EC2}"/>
            </c:ext>
          </c:extLst>
        </c:ser>
        <c:ser>
          <c:idx val="15"/>
          <c:order val="15"/>
          <c:tx>
            <c:strRef>
              <c:f>'CO2 - Cenário RT 5'!$B$77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5'!$C$77:$D$77</c:f>
              <c:numCache>
                <c:formatCode>General</c:formatCode>
                <c:ptCount val="2"/>
                <c:pt idx="0" formatCode="#,##0">
                  <c:v>-8222.1359999999986</c:v>
                </c:pt>
              </c:numCache>
            </c:numRef>
          </c:val>
          <c:extLst>
            <c:ext xmlns:c16="http://schemas.microsoft.com/office/drawing/2014/chart" uri="{C3380CC4-5D6E-409C-BE32-E72D297353CC}">
              <c16:uniqueId val="{0000000F-534E-4A5F-A572-487900109EC2}"/>
            </c:ext>
          </c:extLst>
        </c:ser>
        <c:ser>
          <c:idx val="16"/>
          <c:order val="16"/>
          <c:tx>
            <c:strRef>
              <c:f>'CO2 - Cenário RT 5'!$B$78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5'!$C$78:$D$78</c:f>
              <c:numCache>
                <c:formatCode>General</c:formatCode>
                <c:ptCount val="2"/>
                <c:pt idx="0" formatCode="#,##0">
                  <c:v>0</c:v>
                </c:pt>
              </c:numCache>
            </c:numRef>
          </c:val>
          <c:extLst>
            <c:ext xmlns:c16="http://schemas.microsoft.com/office/drawing/2014/chart" uri="{C3380CC4-5D6E-409C-BE32-E72D297353CC}">
              <c16:uniqueId val="{00000010-534E-4A5F-A572-487900109EC2}"/>
            </c:ext>
          </c:extLst>
        </c:ser>
        <c:ser>
          <c:idx val="17"/>
          <c:order val="17"/>
          <c:tx>
            <c:strRef>
              <c:f>'CO2 - Cenário RT 5'!$B$79</c:f>
              <c:strCache>
                <c:ptCount val="1"/>
                <c:pt idx="0">
                  <c:v>Créditos</c:v>
                </c:pt>
              </c:strCache>
            </c:strRef>
          </c:tx>
          <c:spPr>
            <a:noFill/>
            <a:ln w="25400">
              <a:noFill/>
            </a:ln>
          </c:spPr>
          <c:invertIfNegative val="0"/>
          <c:cat>
            <c:strRef>
              <c:f>'CO2 - Cenário RT 5'!$C$61:$D$61</c:f>
              <c:strCache>
                <c:ptCount val="2"/>
                <c:pt idx="0">
                  <c:v>Resíduos reciclados</c:v>
                </c:pt>
                <c:pt idx="1">
                  <c:v>Líquido</c:v>
                </c:pt>
              </c:strCache>
            </c:strRef>
          </c:cat>
          <c:val>
            <c:numRef>
              <c:f>'CO2 - Cenário RT 5'!$C$79:$D$79</c:f>
              <c:numCache>
                <c:formatCode>#,##0</c:formatCode>
                <c:ptCount val="2"/>
              </c:numCache>
            </c:numRef>
          </c:val>
          <c:extLst>
            <c:ext xmlns:c16="http://schemas.microsoft.com/office/drawing/2014/chart" uri="{C3380CC4-5D6E-409C-BE32-E72D297353CC}">
              <c16:uniqueId val="{00000011-534E-4A5F-A572-487900109EC2}"/>
            </c:ext>
          </c:extLst>
        </c:ser>
        <c:ser>
          <c:idx val="18"/>
          <c:order val="18"/>
          <c:tx>
            <c:strRef>
              <c:f>'CO2 - Cenário RT 5'!$B$80</c:f>
              <c:strCache>
                <c:ptCount val="1"/>
                <c:pt idx="0">
                  <c:v>Líquido</c:v>
                </c:pt>
              </c:strCache>
            </c:strRef>
          </c:tx>
          <c:spPr>
            <a:solidFill>
              <a:srgbClr val="0000FF"/>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5'!$C$80:$D$80</c:f>
              <c:numCache>
                <c:formatCode>#,##0</c:formatCode>
                <c:ptCount val="2"/>
                <c:pt idx="1">
                  <c:v>-21262.545896</c:v>
                </c:pt>
              </c:numCache>
            </c:numRef>
          </c:val>
          <c:extLst>
            <c:ext xmlns:c16="http://schemas.microsoft.com/office/drawing/2014/chart" uri="{C3380CC4-5D6E-409C-BE32-E72D297353CC}">
              <c16:uniqueId val="{00000012-534E-4A5F-A572-487900109EC2}"/>
            </c:ext>
          </c:extLst>
        </c:ser>
        <c:dLbls>
          <c:showLegendKey val="0"/>
          <c:showVal val="0"/>
          <c:showCatName val="0"/>
          <c:showSerName val="0"/>
          <c:showPercent val="0"/>
          <c:showBubbleSize val="0"/>
        </c:dLbls>
        <c:gapWidth val="100"/>
        <c:overlap val="100"/>
        <c:axId val="198289664"/>
        <c:axId val="198299648"/>
      </c:barChart>
      <c:catAx>
        <c:axId val="1982896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299648"/>
        <c:crosses val="autoZero"/>
        <c:auto val="1"/>
        <c:lblAlgn val="ctr"/>
        <c:lblOffset val="100"/>
        <c:tickLblSkip val="1"/>
        <c:tickMarkSkip val="1"/>
        <c:noMultiLvlLbl val="0"/>
      </c:catAx>
      <c:valAx>
        <c:axId val="1982996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1.1369026467846592E-2"/>
              <c:y val="0.359461555472192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2896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9670442842430488"/>
          <c:y val="0.12689655172413788"/>
          <c:w val="0.51802265705458328"/>
          <c:h val="0.76137931034482786"/>
        </c:manualLayout>
      </c:layout>
      <c:barChart>
        <c:barDir val="col"/>
        <c:grouping val="stacked"/>
        <c:varyColors val="0"/>
        <c:ser>
          <c:idx val="0"/>
          <c:order val="0"/>
          <c:tx>
            <c:strRef>
              <c:f>'CO2 - Cenário RT 5'!$K$62</c:f>
              <c:strCache>
                <c:ptCount val="1"/>
                <c:pt idx="0">
                  <c:v>Resíduos dispersos</c:v>
                </c:pt>
              </c:strCache>
            </c:strRef>
          </c:tx>
          <c:spPr>
            <a:solidFill>
              <a:srgbClr val="FFFF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5'!$L$62:$M$62</c:f>
              <c:numCache>
                <c:formatCode>General</c:formatCode>
                <c:ptCount val="2"/>
                <c:pt idx="0" formatCode="#,##0">
                  <c:v>0</c:v>
                </c:pt>
              </c:numCache>
            </c:numRef>
          </c:val>
          <c:extLst>
            <c:ext xmlns:c16="http://schemas.microsoft.com/office/drawing/2014/chart" uri="{C3380CC4-5D6E-409C-BE32-E72D297353CC}">
              <c16:uniqueId val="{00000000-37CE-4A69-A699-F4AB8284EF8F}"/>
            </c:ext>
          </c:extLst>
        </c:ser>
        <c:ser>
          <c:idx val="1"/>
          <c:order val="1"/>
          <c:tx>
            <c:strRef>
              <c:f>'CO2 - Cenário RT 5'!$K$63</c:f>
              <c:strCache>
                <c:ptCount val="1"/>
                <c:pt idx="0">
                  <c:v>Queima a céu aberto</c:v>
                </c:pt>
              </c:strCache>
            </c:strRef>
          </c:tx>
          <c:spPr>
            <a:solidFill>
              <a:srgbClr val="FF808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5'!$L$63:$M$63</c:f>
              <c:numCache>
                <c:formatCode>General</c:formatCode>
                <c:ptCount val="2"/>
                <c:pt idx="0" formatCode="#,##0">
                  <c:v>0</c:v>
                </c:pt>
              </c:numCache>
            </c:numRef>
          </c:val>
          <c:extLst>
            <c:ext xmlns:c16="http://schemas.microsoft.com/office/drawing/2014/chart" uri="{C3380CC4-5D6E-409C-BE32-E72D297353CC}">
              <c16:uniqueId val="{00000001-37CE-4A69-A699-F4AB8284EF8F}"/>
            </c:ext>
          </c:extLst>
        </c:ser>
        <c:ser>
          <c:idx val="2"/>
          <c:order val="2"/>
          <c:tx>
            <c:strRef>
              <c:f>'CO2 - Cenário RT 5'!$K$64</c:f>
              <c:strCache>
                <c:ptCount val="1"/>
                <c:pt idx="0">
                  <c:v>Lixão não controlado</c:v>
                </c:pt>
              </c:strCache>
            </c:strRef>
          </c:tx>
          <c:spPr>
            <a:solidFill>
              <a:srgbClr val="9933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5'!$L$64:$M$64</c:f>
              <c:numCache>
                <c:formatCode>General</c:formatCode>
                <c:ptCount val="2"/>
                <c:pt idx="0" formatCode="#,##0">
                  <c:v>0</c:v>
                </c:pt>
              </c:numCache>
            </c:numRef>
          </c:val>
          <c:extLst>
            <c:ext xmlns:c16="http://schemas.microsoft.com/office/drawing/2014/chart" uri="{C3380CC4-5D6E-409C-BE32-E72D297353CC}">
              <c16:uniqueId val="{00000002-37CE-4A69-A699-F4AB8284EF8F}"/>
            </c:ext>
          </c:extLst>
        </c:ser>
        <c:ser>
          <c:idx val="3"/>
          <c:order val="3"/>
          <c:tx>
            <c:strRef>
              <c:f>'CO2 - Cenário RT 5'!$K$65</c:f>
              <c:strCache>
                <c:ptCount val="1"/>
                <c:pt idx="0">
                  <c:v>Aterro controlado</c:v>
                </c:pt>
              </c:strCache>
            </c:strRef>
          </c:tx>
          <c:spPr>
            <a:solidFill>
              <a:srgbClr val="99CC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5'!$L$65:$M$65</c:f>
              <c:numCache>
                <c:formatCode>General</c:formatCode>
                <c:ptCount val="2"/>
                <c:pt idx="0" formatCode="#,##0">
                  <c:v>26461.27246280506</c:v>
                </c:pt>
              </c:numCache>
            </c:numRef>
          </c:val>
          <c:extLst>
            <c:ext xmlns:c16="http://schemas.microsoft.com/office/drawing/2014/chart" uri="{C3380CC4-5D6E-409C-BE32-E72D297353CC}">
              <c16:uniqueId val="{00000003-37CE-4A69-A699-F4AB8284EF8F}"/>
            </c:ext>
          </c:extLst>
        </c:ser>
        <c:ser>
          <c:idx val="4"/>
          <c:order val="4"/>
          <c:tx>
            <c:strRef>
              <c:f>'CO2 - Cenário RT 5'!$K$66</c:f>
              <c:strCache>
                <c:ptCount val="1"/>
                <c:pt idx="0">
                  <c:v>Aterro sanitário</c:v>
                </c:pt>
              </c:strCache>
            </c:strRef>
          </c:tx>
          <c:spPr>
            <a:solidFill>
              <a:srgbClr val="FFFF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5'!$L$66:$M$66</c:f>
              <c:numCache>
                <c:formatCode>General</c:formatCode>
                <c:ptCount val="2"/>
                <c:pt idx="0" formatCode="#,##0">
                  <c:v>0</c:v>
                </c:pt>
              </c:numCache>
            </c:numRef>
          </c:val>
          <c:extLst>
            <c:ext xmlns:c16="http://schemas.microsoft.com/office/drawing/2014/chart" uri="{C3380CC4-5D6E-409C-BE32-E72D297353CC}">
              <c16:uniqueId val="{00000004-37CE-4A69-A699-F4AB8284EF8F}"/>
            </c:ext>
          </c:extLst>
        </c:ser>
        <c:ser>
          <c:idx val="5"/>
          <c:order val="5"/>
          <c:tx>
            <c:strRef>
              <c:f>'CO2 - Cenário RT 5'!$K$67</c:f>
              <c:strCache>
                <c:ptCount val="1"/>
                <c:pt idx="0">
                  <c:v>Trat. biol + cobertura at.</c:v>
                </c:pt>
              </c:strCache>
            </c:strRef>
          </c:tx>
          <c:spPr>
            <a:solidFill>
              <a:srgbClr val="FF00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5'!$L$67:$M$67</c:f>
              <c:numCache>
                <c:formatCode>General</c:formatCode>
                <c:ptCount val="2"/>
                <c:pt idx="0" formatCode="#,##0">
                  <c:v>0</c:v>
                </c:pt>
              </c:numCache>
            </c:numRef>
          </c:val>
          <c:extLst>
            <c:ext xmlns:c16="http://schemas.microsoft.com/office/drawing/2014/chart" uri="{C3380CC4-5D6E-409C-BE32-E72D297353CC}">
              <c16:uniqueId val="{00000005-37CE-4A69-A699-F4AB8284EF8F}"/>
            </c:ext>
          </c:extLst>
        </c:ser>
        <c:ser>
          <c:idx val="6"/>
          <c:order val="6"/>
          <c:tx>
            <c:strRef>
              <c:f>'CO2 - Cenário RT 5'!$K$68</c:f>
              <c:strCache>
                <c:ptCount val="1"/>
                <c:pt idx="0">
                  <c:v>CDR seco + rejeito aterro</c:v>
                </c:pt>
              </c:strCache>
            </c:strRef>
          </c:tx>
          <c:spPr>
            <a:solidFill>
              <a:srgbClr val="00808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5'!$L$68:$M$68</c:f>
              <c:numCache>
                <c:formatCode>General</c:formatCode>
                <c:ptCount val="2"/>
                <c:pt idx="0" formatCode="#,##0">
                  <c:v>0</c:v>
                </c:pt>
              </c:numCache>
            </c:numRef>
          </c:val>
          <c:extLst>
            <c:ext xmlns:c16="http://schemas.microsoft.com/office/drawing/2014/chart" uri="{C3380CC4-5D6E-409C-BE32-E72D297353CC}">
              <c16:uniqueId val="{00000006-37CE-4A69-A699-F4AB8284EF8F}"/>
            </c:ext>
          </c:extLst>
        </c:ser>
        <c:ser>
          <c:idx val="7"/>
          <c:order val="7"/>
          <c:tx>
            <c:strRef>
              <c:f>'CO2 - Cenário RT 5'!$K$69</c:f>
              <c:strCache>
                <c:ptCount val="1"/>
                <c:pt idx="0">
                  <c:v>CDR seco + trat. biol.</c:v>
                </c:pt>
              </c:strCache>
            </c:strRef>
          </c:tx>
          <c:spPr>
            <a:solidFill>
              <a:srgbClr val="FF99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5'!$L$69:$M$69</c:f>
              <c:numCache>
                <c:formatCode>General</c:formatCode>
                <c:ptCount val="2"/>
                <c:pt idx="0" formatCode="#,##0">
                  <c:v>0</c:v>
                </c:pt>
              </c:numCache>
            </c:numRef>
          </c:val>
          <c:extLst>
            <c:ext xmlns:c16="http://schemas.microsoft.com/office/drawing/2014/chart" uri="{C3380CC4-5D6E-409C-BE32-E72D297353CC}">
              <c16:uniqueId val="{00000007-37CE-4A69-A699-F4AB8284EF8F}"/>
            </c:ext>
          </c:extLst>
        </c:ser>
        <c:ser>
          <c:idx val="21"/>
          <c:order val="8"/>
          <c:tx>
            <c:strRef>
              <c:f>'CO2 - Cenário RT 5'!$K$70</c:f>
              <c:strCache>
                <c:ptCount val="1"/>
                <c:pt idx="0">
                  <c:v>CDR seco + CDR org.</c:v>
                </c:pt>
              </c:strCache>
            </c:strRef>
          </c:tx>
          <c:spPr>
            <a:solidFill>
              <a:srgbClr val="00B0F0"/>
            </a:solidFill>
            <a:ln w="12700">
              <a:solidFill>
                <a:srgbClr val="000000"/>
              </a:solidFill>
            </a:ln>
          </c:spPr>
          <c:invertIfNegative val="0"/>
          <c:cat>
            <c:strRef>
              <c:f>'CO2 - Cenário RT 5'!$L$61:$M$61</c:f>
              <c:strCache>
                <c:ptCount val="2"/>
                <c:pt idx="0">
                  <c:v>Destinação de resíduos</c:v>
                </c:pt>
                <c:pt idx="1">
                  <c:v>Líquido</c:v>
                </c:pt>
              </c:strCache>
            </c:strRef>
          </c:cat>
          <c:val>
            <c:numRef>
              <c:f>'CO2 - Cenário RT 5'!$L$70:$M$70</c:f>
              <c:numCache>
                <c:formatCode>General</c:formatCode>
                <c:ptCount val="2"/>
                <c:pt idx="0" formatCode="#,##0">
                  <c:v>0</c:v>
                </c:pt>
              </c:numCache>
            </c:numRef>
          </c:val>
          <c:extLst>
            <c:ext xmlns:c16="http://schemas.microsoft.com/office/drawing/2014/chart" uri="{C3380CC4-5D6E-409C-BE32-E72D297353CC}">
              <c16:uniqueId val="{00000008-37CE-4A69-A699-F4AB8284EF8F}"/>
            </c:ext>
          </c:extLst>
        </c:ser>
        <c:ser>
          <c:idx val="8"/>
          <c:order val="9"/>
          <c:tx>
            <c:strRef>
              <c:f>'CO2 - Cenário RT 5'!$K$71</c:f>
              <c:strCache>
                <c:ptCount val="1"/>
                <c:pt idx="0">
                  <c:v>Incineração</c:v>
                </c:pt>
              </c:strCache>
            </c:strRef>
          </c:tx>
          <c:spPr>
            <a:solidFill>
              <a:srgbClr val="CCCC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5'!$L$71:$M$71</c:f>
              <c:numCache>
                <c:formatCode>General</c:formatCode>
                <c:ptCount val="2"/>
                <c:pt idx="0" formatCode="#,##0">
                  <c:v>39528.245484926003</c:v>
                </c:pt>
              </c:numCache>
            </c:numRef>
          </c:val>
          <c:extLst>
            <c:ext xmlns:c16="http://schemas.microsoft.com/office/drawing/2014/chart" uri="{C3380CC4-5D6E-409C-BE32-E72D297353CC}">
              <c16:uniqueId val="{00000009-37CE-4A69-A699-F4AB8284EF8F}"/>
            </c:ext>
          </c:extLst>
        </c:ser>
        <c:ser>
          <c:idx val="9"/>
          <c:order val="10"/>
          <c:tx>
            <c:strRef>
              <c:f>'CO2 - Cenário RT 5'!$K$72</c:f>
              <c:strCache>
                <c:ptCount val="1"/>
                <c:pt idx="0">
                  <c:v>Débitos</c:v>
                </c:pt>
              </c:strCache>
            </c:strRef>
          </c:tx>
          <c:spPr>
            <a:noFill/>
            <a:ln w="25400">
              <a:noFill/>
            </a:ln>
          </c:spPr>
          <c:invertIfNegative val="0"/>
          <c:cat>
            <c:strRef>
              <c:f>'CO2 - Cenário RT 5'!$L$61:$M$61</c:f>
              <c:strCache>
                <c:ptCount val="2"/>
                <c:pt idx="0">
                  <c:v>Destinação de resíduos</c:v>
                </c:pt>
                <c:pt idx="1">
                  <c:v>Líquido</c:v>
                </c:pt>
              </c:strCache>
            </c:strRef>
          </c:cat>
          <c:val>
            <c:numRef>
              <c:f>'CO2 - Cenário RT 5'!$L$72:$M$72</c:f>
              <c:numCache>
                <c:formatCode>General</c:formatCode>
                <c:ptCount val="2"/>
              </c:numCache>
            </c:numRef>
          </c:val>
          <c:extLst>
            <c:ext xmlns:c16="http://schemas.microsoft.com/office/drawing/2014/chart" uri="{C3380CC4-5D6E-409C-BE32-E72D297353CC}">
              <c16:uniqueId val="{0000000A-37CE-4A69-A699-F4AB8284EF8F}"/>
            </c:ext>
          </c:extLst>
        </c:ser>
        <c:ser>
          <c:idx val="10"/>
          <c:order val="11"/>
          <c:tx>
            <c:strRef>
              <c:f>'CO2 - Cenário RT 5'!$K$73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5'!$L$73:$M$73</c:f>
              <c:numCache>
                <c:formatCode>General</c:formatCode>
                <c:ptCount val="2"/>
                <c:pt idx="0" formatCode="#,##0">
                  <c:v>0</c:v>
                </c:pt>
              </c:numCache>
            </c:numRef>
          </c:val>
          <c:extLst>
            <c:ext xmlns:c16="http://schemas.microsoft.com/office/drawing/2014/chart" uri="{C3380CC4-5D6E-409C-BE32-E72D297353CC}">
              <c16:uniqueId val="{0000000B-37CE-4A69-A699-F4AB8284EF8F}"/>
            </c:ext>
          </c:extLst>
        </c:ser>
        <c:ser>
          <c:idx val="11"/>
          <c:order val="12"/>
          <c:tx>
            <c:strRef>
              <c:f>'CO2 - Cenário RT 5'!$K$74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5'!$L$74:$M$74</c:f>
              <c:numCache>
                <c:formatCode>General</c:formatCode>
                <c:ptCount val="2"/>
                <c:pt idx="0" formatCode="#,##0">
                  <c:v>0</c:v>
                </c:pt>
              </c:numCache>
            </c:numRef>
          </c:val>
          <c:extLst>
            <c:ext xmlns:c16="http://schemas.microsoft.com/office/drawing/2014/chart" uri="{C3380CC4-5D6E-409C-BE32-E72D297353CC}">
              <c16:uniqueId val="{0000000C-37CE-4A69-A699-F4AB8284EF8F}"/>
            </c:ext>
          </c:extLst>
        </c:ser>
        <c:ser>
          <c:idx val="12"/>
          <c:order val="13"/>
          <c:tx>
            <c:strRef>
              <c:f>'CO2 - Cenário RT 5'!$K$75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5'!$L$75:$M$75</c:f>
              <c:numCache>
                <c:formatCode>General</c:formatCode>
                <c:ptCount val="2"/>
                <c:pt idx="0" formatCode="#,##0">
                  <c:v>0</c:v>
                </c:pt>
              </c:numCache>
            </c:numRef>
          </c:val>
          <c:extLst>
            <c:ext xmlns:c16="http://schemas.microsoft.com/office/drawing/2014/chart" uri="{C3380CC4-5D6E-409C-BE32-E72D297353CC}">
              <c16:uniqueId val="{0000000D-37CE-4A69-A699-F4AB8284EF8F}"/>
            </c:ext>
          </c:extLst>
        </c:ser>
        <c:ser>
          <c:idx val="13"/>
          <c:order val="14"/>
          <c:tx>
            <c:strRef>
              <c:f>'CO2 - Cenário RT 5'!$K$76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5'!$L$76:$M$76</c:f>
              <c:numCache>
                <c:formatCode>General</c:formatCode>
                <c:ptCount val="2"/>
                <c:pt idx="0" formatCode="#,##0">
                  <c:v>0</c:v>
                </c:pt>
              </c:numCache>
            </c:numRef>
          </c:val>
          <c:extLst>
            <c:ext xmlns:c16="http://schemas.microsoft.com/office/drawing/2014/chart" uri="{C3380CC4-5D6E-409C-BE32-E72D297353CC}">
              <c16:uniqueId val="{0000000E-37CE-4A69-A699-F4AB8284EF8F}"/>
            </c:ext>
          </c:extLst>
        </c:ser>
        <c:ser>
          <c:idx val="14"/>
          <c:order val="15"/>
          <c:tx>
            <c:strRef>
              <c:f>'CO2 - Cenário RT 5'!$K$77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5'!$L$77:$M$77</c:f>
              <c:numCache>
                <c:formatCode>General</c:formatCode>
                <c:ptCount val="2"/>
                <c:pt idx="0" formatCode="#,##0">
                  <c:v>0</c:v>
                </c:pt>
              </c:numCache>
            </c:numRef>
          </c:val>
          <c:extLst>
            <c:ext xmlns:c16="http://schemas.microsoft.com/office/drawing/2014/chart" uri="{C3380CC4-5D6E-409C-BE32-E72D297353CC}">
              <c16:uniqueId val="{0000000F-37CE-4A69-A699-F4AB8284EF8F}"/>
            </c:ext>
          </c:extLst>
        </c:ser>
        <c:ser>
          <c:idx val="15"/>
          <c:order val="16"/>
          <c:tx>
            <c:strRef>
              <c:f>'CO2 - Cenário RT 5'!$K$78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5'!$L$78:$M$78</c:f>
              <c:numCache>
                <c:formatCode>General</c:formatCode>
                <c:ptCount val="2"/>
                <c:pt idx="0" formatCode="#,##0">
                  <c:v>0</c:v>
                </c:pt>
              </c:numCache>
            </c:numRef>
          </c:val>
          <c:extLst>
            <c:ext xmlns:c16="http://schemas.microsoft.com/office/drawing/2014/chart" uri="{C3380CC4-5D6E-409C-BE32-E72D297353CC}">
              <c16:uniqueId val="{00000010-37CE-4A69-A699-F4AB8284EF8F}"/>
            </c:ext>
          </c:extLst>
        </c:ser>
        <c:ser>
          <c:idx val="16"/>
          <c:order val="17"/>
          <c:tx>
            <c:strRef>
              <c:f>'CO2 - Cenário RT 5'!$K$79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5'!$L$79:$M$79</c:f>
              <c:numCache>
                <c:formatCode>General</c:formatCode>
                <c:ptCount val="2"/>
                <c:pt idx="0" formatCode="#,##0">
                  <c:v>0</c:v>
                </c:pt>
              </c:numCache>
            </c:numRef>
          </c:val>
          <c:extLst>
            <c:ext xmlns:c16="http://schemas.microsoft.com/office/drawing/2014/chart" uri="{C3380CC4-5D6E-409C-BE32-E72D297353CC}">
              <c16:uniqueId val="{00000011-37CE-4A69-A699-F4AB8284EF8F}"/>
            </c:ext>
          </c:extLst>
        </c:ser>
        <c:ser>
          <c:idx val="17"/>
          <c:order val="18"/>
          <c:tx>
            <c:strRef>
              <c:f>'CO2 - Cenário RT 5'!$K$80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5'!$L$80:$M$80</c:f>
              <c:numCache>
                <c:formatCode>General</c:formatCode>
                <c:ptCount val="2"/>
                <c:pt idx="0" formatCode="#,##0">
                  <c:v>0</c:v>
                </c:pt>
              </c:numCache>
            </c:numRef>
          </c:val>
          <c:extLst>
            <c:ext xmlns:c16="http://schemas.microsoft.com/office/drawing/2014/chart" uri="{C3380CC4-5D6E-409C-BE32-E72D297353CC}">
              <c16:uniqueId val="{00000012-37CE-4A69-A699-F4AB8284EF8F}"/>
            </c:ext>
          </c:extLst>
        </c:ser>
        <c:ser>
          <c:idx val="22"/>
          <c:order val="19"/>
          <c:tx>
            <c:strRef>
              <c:f>'CO2 - Cenário RT 5'!$K$81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5'!$L$61:$M$61</c:f>
              <c:strCache>
                <c:ptCount val="2"/>
                <c:pt idx="0">
                  <c:v>Destinação de resíduos</c:v>
                </c:pt>
                <c:pt idx="1">
                  <c:v>Líquido</c:v>
                </c:pt>
              </c:strCache>
            </c:strRef>
          </c:cat>
          <c:val>
            <c:numRef>
              <c:f>'CO2 - Cenário RT 5'!$L$81:$M$81</c:f>
              <c:numCache>
                <c:formatCode>General</c:formatCode>
                <c:ptCount val="2"/>
                <c:pt idx="0" formatCode="#,##0">
                  <c:v>0</c:v>
                </c:pt>
              </c:numCache>
            </c:numRef>
          </c:val>
          <c:extLst>
            <c:ext xmlns:c16="http://schemas.microsoft.com/office/drawing/2014/chart" uri="{C3380CC4-5D6E-409C-BE32-E72D297353CC}">
              <c16:uniqueId val="{00000013-37CE-4A69-A699-F4AB8284EF8F}"/>
            </c:ext>
          </c:extLst>
        </c:ser>
        <c:ser>
          <c:idx val="18"/>
          <c:order val="20"/>
          <c:tx>
            <c:strRef>
              <c:f>'CO2 - Cenário RT 5'!$K$82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5'!$L$82:$M$82</c:f>
              <c:numCache>
                <c:formatCode>General</c:formatCode>
                <c:ptCount val="2"/>
                <c:pt idx="0" formatCode="#,##0">
                  <c:v>-2810.5079200893747</c:v>
                </c:pt>
              </c:numCache>
            </c:numRef>
          </c:val>
          <c:extLst>
            <c:ext xmlns:c16="http://schemas.microsoft.com/office/drawing/2014/chart" uri="{C3380CC4-5D6E-409C-BE32-E72D297353CC}">
              <c16:uniqueId val="{00000014-37CE-4A69-A699-F4AB8284EF8F}"/>
            </c:ext>
          </c:extLst>
        </c:ser>
        <c:ser>
          <c:idx val="19"/>
          <c:order val="21"/>
          <c:tx>
            <c:strRef>
              <c:f>'CO2 - Cenário RT 5'!$K$83</c:f>
              <c:strCache>
                <c:ptCount val="1"/>
                <c:pt idx="0">
                  <c:v>Créditos</c:v>
                </c:pt>
              </c:strCache>
            </c:strRef>
          </c:tx>
          <c:spPr>
            <a:noFill/>
            <a:ln w="25400">
              <a:noFill/>
            </a:ln>
          </c:spPr>
          <c:invertIfNegative val="0"/>
          <c:cat>
            <c:strRef>
              <c:f>'CO2 - Cenário RT 5'!$L$61:$M$61</c:f>
              <c:strCache>
                <c:ptCount val="2"/>
                <c:pt idx="0">
                  <c:v>Destinação de resíduos</c:v>
                </c:pt>
                <c:pt idx="1">
                  <c:v>Líquido</c:v>
                </c:pt>
              </c:strCache>
            </c:strRef>
          </c:cat>
          <c:val>
            <c:numRef>
              <c:f>'CO2 - Cenário RT 5'!$L$83:$M$83</c:f>
              <c:numCache>
                <c:formatCode>General</c:formatCode>
                <c:ptCount val="2"/>
              </c:numCache>
            </c:numRef>
          </c:val>
          <c:extLst>
            <c:ext xmlns:c16="http://schemas.microsoft.com/office/drawing/2014/chart" uri="{C3380CC4-5D6E-409C-BE32-E72D297353CC}">
              <c16:uniqueId val="{00000015-37CE-4A69-A699-F4AB8284EF8F}"/>
            </c:ext>
          </c:extLst>
        </c:ser>
        <c:ser>
          <c:idx val="20"/>
          <c:order val="22"/>
          <c:tx>
            <c:strRef>
              <c:f>'CO2 - Cenário RT 5'!$K$84</c:f>
              <c:strCache>
                <c:ptCount val="1"/>
                <c:pt idx="0">
                  <c:v>Líquido</c:v>
                </c:pt>
              </c:strCache>
            </c:strRef>
          </c:tx>
          <c:spPr>
            <a:solidFill>
              <a:srgbClr val="0000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5'!$L$84:$M$84</c:f>
              <c:numCache>
                <c:formatCode>#,##0</c:formatCode>
                <c:ptCount val="2"/>
                <c:pt idx="1">
                  <c:v>63179.010027641685</c:v>
                </c:pt>
              </c:numCache>
            </c:numRef>
          </c:val>
          <c:extLst>
            <c:ext xmlns:c16="http://schemas.microsoft.com/office/drawing/2014/chart" uri="{C3380CC4-5D6E-409C-BE32-E72D297353CC}">
              <c16:uniqueId val="{00000016-37CE-4A69-A699-F4AB8284EF8F}"/>
            </c:ext>
          </c:extLst>
        </c:ser>
        <c:dLbls>
          <c:showLegendKey val="0"/>
          <c:showVal val="0"/>
          <c:showCatName val="0"/>
          <c:showSerName val="0"/>
          <c:showPercent val="0"/>
          <c:showBubbleSize val="0"/>
        </c:dLbls>
        <c:gapWidth val="100"/>
        <c:overlap val="100"/>
        <c:axId val="198032768"/>
        <c:axId val="198046848"/>
      </c:barChart>
      <c:catAx>
        <c:axId val="1980327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046848"/>
        <c:crosses val="autoZero"/>
        <c:auto val="1"/>
        <c:lblAlgn val="ctr"/>
        <c:lblOffset val="100"/>
        <c:tickLblSkip val="1"/>
        <c:tickMarkSkip val="1"/>
        <c:noMultiLvlLbl val="0"/>
      </c:catAx>
      <c:valAx>
        <c:axId val="1980468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684130583057021E-3"/>
              <c:y val="0.37517229552362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0327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0957775489186381"/>
          <c:y val="1.5172413793103448E-2"/>
          <c:w val="0.28823678878313236"/>
          <c:h val="0.9715843345251842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958412098298676"/>
          <c:y val="0.11312849162011174"/>
          <c:w val="0.78827977315690001"/>
          <c:h val="0.77374301675977719"/>
        </c:manualLayout>
      </c:layout>
      <c:barChart>
        <c:barDir val="col"/>
        <c:grouping val="clustered"/>
        <c:varyColors val="0"/>
        <c:ser>
          <c:idx val="0"/>
          <c:order val="0"/>
          <c:tx>
            <c:strRef>
              <c:f>'CO2 - Cenário RT 5'!$G$53</c:f>
              <c:strCache>
                <c:ptCount val="1"/>
                <c:pt idx="0">
                  <c:v>Débitos</c:v>
                </c:pt>
              </c:strCache>
            </c:strRef>
          </c:tx>
          <c:spPr>
            <a:solidFill>
              <a:srgbClr val="FFCC99"/>
            </a:solidFill>
            <a:ln w="12700">
              <a:solidFill>
                <a:srgbClr val="000000"/>
              </a:solidFill>
              <a:prstDash val="solid"/>
            </a:ln>
          </c:spPr>
          <c:invertIfNegative val="0"/>
          <c:cat>
            <c:strRef>
              <c:f>'CO2 - Cenário RT 5'!$H$52:$J$52</c:f>
              <c:strCache>
                <c:ptCount val="3"/>
                <c:pt idx="0">
                  <c:v>Resíduo reciclado</c:v>
                </c:pt>
                <c:pt idx="1">
                  <c:v>Destinação de resíduo</c:v>
                </c:pt>
                <c:pt idx="2">
                  <c:v>RSU total</c:v>
                </c:pt>
              </c:strCache>
            </c:strRef>
          </c:cat>
          <c:val>
            <c:numRef>
              <c:f>'CO2 - Cenário RT 5'!$H$53:$J$53</c:f>
              <c:numCache>
                <c:formatCode>#,##0</c:formatCode>
                <c:ptCount val="3"/>
                <c:pt idx="0">
                  <c:v>10561.463048000001</c:v>
                </c:pt>
                <c:pt idx="1">
                  <c:v>65989.517947731059</c:v>
                </c:pt>
                <c:pt idx="2">
                  <c:v>76550.980995731064</c:v>
                </c:pt>
              </c:numCache>
            </c:numRef>
          </c:val>
          <c:extLst>
            <c:ext xmlns:c16="http://schemas.microsoft.com/office/drawing/2014/chart" uri="{C3380CC4-5D6E-409C-BE32-E72D297353CC}">
              <c16:uniqueId val="{00000000-2844-41B6-85DA-69556AC3AC04}"/>
            </c:ext>
          </c:extLst>
        </c:ser>
        <c:ser>
          <c:idx val="1"/>
          <c:order val="1"/>
          <c:tx>
            <c:strRef>
              <c:f>'CO2 - Cenário RT 5'!$G$54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5'!$H$52:$J$52</c:f>
              <c:strCache>
                <c:ptCount val="3"/>
                <c:pt idx="0">
                  <c:v>Resíduo reciclado</c:v>
                </c:pt>
                <c:pt idx="1">
                  <c:v>Destinação de resíduo</c:v>
                </c:pt>
                <c:pt idx="2">
                  <c:v>RSU total</c:v>
                </c:pt>
              </c:strCache>
            </c:strRef>
          </c:cat>
          <c:val>
            <c:numRef>
              <c:f>'CO2 - Cenário RT 5'!$H$54:$J$54</c:f>
              <c:numCache>
                <c:formatCode>#,##0</c:formatCode>
                <c:ptCount val="3"/>
                <c:pt idx="0">
                  <c:v>-31824.008943999997</c:v>
                </c:pt>
                <c:pt idx="1">
                  <c:v>-2810.5079200893747</c:v>
                </c:pt>
                <c:pt idx="2">
                  <c:v>-34634.516864089375</c:v>
                </c:pt>
              </c:numCache>
            </c:numRef>
          </c:val>
          <c:extLst>
            <c:ext xmlns:c16="http://schemas.microsoft.com/office/drawing/2014/chart" uri="{C3380CC4-5D6E-409C-BE32-E72D297353CC}">
              <c16:uniqueId val="{00000001-2844-41B6-85DA-69556AC3AC04}"/>
            </c:ext>
          </c:extLst>
        </c:ser>
        <c:ser>
          <c:idx val="2"/>
          <c:order val="2"/>
          <c:tx>
            <c:strRef>
              <c:f>'CO2 - Cenário RT 5'!$G$55</c:f>
              <c:strCache>
                <c:ptCount val="1"/>
                <c:pt idx="0">
                  <c:v>Líquido</c:v>
                </c:pt>
              </c:strCache>
            </c:strRef>
          </c:tx>
          <c:spPr>
            <a:solidFill>
              <a:srgbClr val="0000FF"/>
            </a:solidFill>
            <a:ln w="12700">
              <a:solidFill>
                <a:srgbClr val="000000"/>
              </a:solidFill>
              <a:prstDash val="solid"/>
            </a:ln>
          </c:spPr>
          <c:invertIfNegative val="0"/>
          <c:cat>
            <c:strRef>
              <c:f>'CO2 - Cenário RT 5'!$H$52:$J$52</c:f>
              <c:strCache>
                <c:ptCount val="3"/>
                <c:pt idx="0">
                  <c:v>Resíduo reciclado</c:v>
                </c:pt>
                <c:pt idx="1">
                  <c:v>Destinação de resíduo</c:v>
                </c:pt>
                <c:pt idx="2">
                  <c:v>RSU total</c:v>
                </c:pt>
              </c:strCache>
            </c:strRef>
          </c:cat>
          <c:val>
            <c:numRef>
              <c:f>'CO2 - Cenário RT 5'!$H$55:$J$55</c:f>
              <c:numCache>
                <c:formatCode>#,##0</c:formatCode>
                <c:ptCount val="3"/>
                <c:pt idx="0">
                  <c:v>-21262.545895999996</c:v>
                </c:pt>
                <c:pt idx="1">
                  <c:v>63179.010027641685</c:v>
                </c:pt>
                <c:pt idx="2">
                  <c:v>41916.464131641689</c:v>
                </c:pt>
              </c:numCache>
            </c:numRef>
          </c:val>
          <c:extLst>
            <c:ext xmlns:c16="http://schemas.microsoft.com/office/drawing/2014/chart" uri="{C3380CC4-5D6E-409C-BE32-E72D297353CC}">
              <c16:uniqueId val="{00000002-2844-41B6-85DA-69556AC3AC04}"/>
            </c:ext>
          </c:extLst>
        </c:ser>
        <c:dLbls>
          <c:showLegendKey val="0"/>
          <c:showVal val="0"/>
          <c:showCatName val="0"/>
          <c:showSerName val="0"/>
          <c:showPercent val="0"/>
          <c:showBubbleSize val="0"/>
        </c:dLbls>
        <c:gapWidth val="100"/>
        <c:axId val="198103040"/>
        <c:axId val="198104576"/>
      </c:barChart>
      <c:catAx>
        <c:axId val="19810304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4576"/>
        <c:crosses val="autoZero"/>
        <c:auto val="1"/>
        <c:lblAlgn val="ctr"/>
        <c:lblOffset val="50"/>
        <c:tickLblSkip val="1"/>
        <c:tickMarkSkip val="1"/>
        <c:noMultiLvlLbl val="0"/>
      </c:catAx>
      <c:valAx>
        <c:axId val="198104576"/>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353659280961973E-3"/>
              <c:y val="0.354748603351955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3040"/>
        <c:crosses val="autoZero"/>
        <c:crossBetween val="between"/>
      </c:valAx>
      <c:spPr>
        <a:noFill/>
        <a:ln w="3175">
          <a:solidFill>
            <a:srgbClr val="000000"/>
          </a:solidFill>
          <a:prstDash val="solid"/>
        </a:ln>
      </c:spPr>
    </c:plotArea>
    <c:legend>
      <c:legendPos val="r"/>
      <c:layout>
        <c:manualLayout>
          <c:xMode val="edge"/>
          <c:yMode val="edge"/>
          <c:x val="0.18830567484476371"/>
          <c:y val="2.4787008843065887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Arial"/>
                <a:ea typeface="Arial"/>
                <a:cs typeface="Arial"/>
              </a:defRPr>
            </a:pPr>
            <a:r>
              <a:rPr lang="de-DE"/>
              <a:t>Resíduos tratados</a:t>
            </a:r>
          </a:p>
        </c:rich>
      </c:tx>
      <c:layout>
        <c:manualLayout>
          <c:xMode val="edge"/>
          <c:yMode val="edge"/>
          <c:x val="0.43950499883979677"/>
          <c:y val="1.3513545938138102E-2"/>
        </c:manualLayout>
      </c:layout>
      <c:overlay val="0"/>
      <c:spPr>
        <a:noFill/>
        <a:ln w="25400">
          <a:noFill/>
        </a:ln>
      </c:spPr>
    </c:title>
    <c:autoTitleDeleted val="0"/>
    <c:plotArea>
      <c:layout>
        <c:manualLayout>
          <c:layoutTarget val="inner"/>
          <c:xMode val="edge"/>
          <c:yMode val="edge"/>
          <c:x val="0.14212848221187449"/>
          <c:y val="0.1068798633289104"/>
          <c:w val="0.83527815699901653"/>
          <c:h val="0.60688106304002021"/>
        </c:manualLayout>
      </c:layout>
      <c:barChart>
        <c:barDir val="col"/>
        <c:grouping val="clustered"/>
        <c:varyColors val="0"/>
        <c:ser>
          <c:idx val="0"/>
          <c:order val="0"/>
          <c:tx>
            <c:strRef>
              <c:f>'CO2 - Todos Resultados'!$C$2</c:f>
              <c:strCache>
                <c:ptCount val="1"/>
                <c:pt idx="0">
                  <c:v>Cenário-Base</c:v>
                </c:pt>
              </c:strCache>
            </c:strRef>
          </c:tx>
          <c:spPr>
            <a:solidFill>
              <a:srgbClr val="00CCFF"/>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Resultados'!$C$7:$C$15,'CO2 - Todos Resultados'!$C$18:$C$27)</c:f>
              <c:numCache>
                <c:formatCode>#,##0</c:formatCode>
                <c:ptCount val="19"/>
                <c:pt idx="0">
                  <c:v>0</c:v>
                </c:pt>
                <c:pt idx="1">
                  <c:v>0</c:v>
                </c:pt>
                <c:pt idx="2">
                  <c:v>1912.6000000000001</c:v>
                </c:pt>
                <c:pt idx="3">
                  <c:v>1971</c:v>
                </c:pt>
                <c:pt idx="4">
                  <c:v>0</c:v>
                </c:pt>
                <c:pt idx="5">
                  <c:v>671.6</c:v>
                </c:pt>
                <c:pt idx="6">
                  <c:v>175.20000000000002</c:v>
                </c:pt>
                <c:pt idx="7">
                  <c:v>0</c:v>
                </c:pt>
                <c:pt idx="8" formatCode="0.0%">
                  <c:v>3.2400000000000005E-2</c:v>
                </c:pt>
                <c:pt idx="9">
                  <c:v>0</c:v>
                </c:pt>
                <c:pt idx="10">
                  <c:v>0</c:v>
                </c:pt>
                <c:pt idx="11">
                  <c:v>0</c:v>
                </c:pt>
                <c:pt idx="12">
                  <c:v>0</c:v>
                </c:pt>
                <c:pt idx="13">
                  <c:v>141269.6</c:v>
                </c:pt>
                <c:pt idx="14">
                  <c:v>0</c:v>
                </c:pt>
                <c:pt idx="15">
                  <c:v>0</c:v>
                </c:pt>
                <c:pt idx="16">
                  <c:v>0</c:v>
                </c:pt>
                <c:pt idx="17">
                  <c:v>0</c:v>
                </c:pt>
                <c:pt idx="18">
                  <c:v>0</c:v>
                </c:pt>
              </c:numCache>
            </c:numRef>
          </c:val>
          <c:extLst>
            <c:ext xmlns:c16="http://schemas.microsoft.com/office/drawing/2014/chart" uri="{C3380CC4-5D6E-409C-BE32-E72D297353CC}">
              <c16:uniqueId val="{00000000-0664-4E01-91CF-8E0D9C6F2689}"/>
            </c:ext>
          </c:extLst>
        </c:ser>
        <c:ser>
          <c:idx val="1"/>
          <c:order val="1"/>
          <c:tx>
            <c:strRef>
              <c:f>'CO2 - Todos Resultados'!$D$2</c:f>
              <c:strCache>
                <c:ptCount val="1"/>
                <c:pt idx="0">
                  <c:v>Biodigestão RT1A + CDR TM</c:v>
                </c:pt>
              </c:strCache>
            </c:strRef>
          </c:tx>
          <c:spPr>
            <a:solidFill>
              <a:srgbClr val="993366"/>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Resultados'!$D$7:$D$15,'CO2 - Todos Resultados'!$D$18:$D$27)</c:f>
              <c:numCache>
                <c:formatCode>#,##0</c:formatCode>
                <c:ptCount val="19"/>
                <c:pt idx="0">
                  <c:v>0</c:v>
                </c:pt>
                <c:pt idx="1">
                  <c:v>0</c:v>
                </c:pt>
                <c:pt idx="2">
                  <c:v>6368.9580000000005</c:v>
                </c:pt>
                <c:pt idx="3">
                  <c:v>4336.2</c:v>
                </c:pt>
                <c:pt idx="4">
                  <c:v>0</c:v>
                </c:pt>
                <c:pt idx="5">
                  <c:v>3190.1</c:v>
                </c:pt>
                <c:pt idx="6">
                  <c:v>832.19999999999993</c:v>
                </c:pt>
                <c:pt idx="7">
                  <c:v>0</c:v>
                </c:pt>
                <c:pt idx="8" formatCode="0.0%">
                  <c:v>0.100873</c:v>
                </c:pt>
                <c:pt idx="9">
                  <c:v>0</c:v>
                </c:pt>
                <c:pt idx="10">
                  <c:v>0</c:v>
                </c:pt>
                <c:pt idx="11">
                  <c:v>0</c:v>
                </c:pt>
                <c:pt idx="12">
                  <c:v>0</c:v>
                </c:pt>
                <c:pt idx="13">
                  <c:v>45945.389699999992</c:v>
                </c:pt>
                <c:pt idx="14">
                  <c:v>0</c:v>
                </c:pt>
                <c:pt idx="15">
                  <c:v>16409.067749999998</c:v>
                </c:pt>
                <c:pt idx="16">
                  <c:v>68918.08455</c:v>
                </c:pt>
                <c:pt idx="17">
                  <c:v>0</c:v>
                </c:pt>
                <c:pt idx="18">
                  <c:v>0</c:v>
                </c:pt>
              </c:numCache>
            </c:numRef>
          </c:val>
          <c:extLst>
            <c:ext xmlns:c16="http://schemas.microsoft.com/office/drawing/2014/chart" uri="{C3380CC4-5D6E-409C-BE32-E72D297353CC}">
              <c16:uniqueId val="{00000001-0664-4E01-91CF-8E0D9C6F2689}"/>
            </c:ext>
          </c:extLst>
        </c:ser>
        <c:ser>
          <c:idx val="2"/>
          <c:order val="2"/>
          <c:tx>
            <c:strRef>
              <c:f>'CO2 - Todos Resultados'!$G$2</c:f>
              <c:strCache>
                <c:ptCount val="1"/>
                <c:pt idx="0">
                  <c:v>Compostagem + CDR TM</c:v>
                </c:pt>
              </c:strCache>
            </c:strRef>
          </c:tx>
          <c:spPr>
            <a:solidFill>
              <a:srgbClr val="FFCC00"/>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Resultados'!$G$7:$G$15,'CO2 - Todos Resultados'!$G$18:$G$27)</c:f>
              <c:numCache>
                <c:formatCode>#,##0</c:formatCode>
                <c:ptCount val="19"/>
                <c:pt idx="0">
                  <c:v>0</c:v>
                </c:pt>
                <c:pt idx="1">
                  <c:v>0</c:v>
                </c:pt>
                <c:pt idx="2">
                  <c:v>6368.9580000000005</c:v>
                </c:pt>
                <c:pt idx="3">
                  <c:v>4336.2</c:v>
                </c:pt>
                <c:pt idx="4">
                  <c:v>0</c:v>
                </c:pt>
                <c:pt idx="5">
                  <c:v>3190.1</c:v>
                </c:pt>
                <c:pt idx="6">
                  <c:v>832.19999999999993</c:v>
                </c:pt>
                <c:pt idx="7">
                  <c:v>0</c:v>
                </c:pt>
                <c:pt idx="8" formatCode="0.0%">
                  <c:v>0.100873</c:v>
                </c:pt>
                <c:pt idx="9">
                  <c:v>0</c:v>
                </c:pt>
                <c:pt idx="10">
                  <c:v>0</c:v>
                </c:pt>
                <c:pt idx="11">
                  <c:v>0</c:v>
                </c:pt>
                <c:pt idx="12">
                  <c:v>0</c:v>
                </c:pt>
                <c:pt idx="13">
                  <c:v>49227.203249999991</c:v>
                </c:pt>
                <c:pt idx="14">
                  <c:v>82045.338749999995</c:v>
                </c:pt>
                <c:pt idx="15">
                  <c:v>0</c:v>
                </c:pt>
                <c:pt idx="16">
                  <c:v>0</c:v>
                </c:pt>
                <c:pt idx="17">
                  <c:v>0</c:v>
                </c:pt>
                <c:pt idx="18">
                  <c:v>0</c:v>
                </c:pt>
              </c:numCache>
            </c:numRef>
          </c:val>
          <c:extLst>
            <c:ext xmlns:c16="http://schemas.microsoft.com/office/drawing/2014/chart" uri="{C3380CC4-5D6E-409C-BE32-E72D297353CC}">
              <c16:uniqueId val="{00000002-0664-4E01-91CF-8E0D9C6F2689}"/>
            </c:ext>
          </c:extLst>
        </c:ser>
        <c:ser>
          <c:idx val="3"/>
          <c:order val="3"/>
          <c:tx>
            <c:strRef>
              <c:f>'CO2 - Todos Resultados'!$H$2</c:f>
              <c:strCache>
                <c:ptCount val="1"/>
                <c:pt idx="0">
                  <c:v>Biosecagem + CDR TMB </c:v>
                </c:pt>
              </c:strCache>
            </c:strRef>
          </c:tx>
          <c:spPr>
            <a:solidFill>
              <a:srgbClr val="CC99FF"/>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Resultados'!$H$7:$H$15,'CO2 - Todos Resultados'!$H$18:$H$27)</c:f>
              <c:numCache>
                <c:formatCode>#,##0</c:formatCode>
                <c:ptCount val="19"/>
                <c:pt idx="0">
                  <c:v>0</c:v>
                </c:pt>
                <c:pt idx="1">
                  <c:v>0</c:v>
                </c:pt>
                <c:pt idx="2">
                  <c:v>6368.9580000000005</c:v>
                </c:pt>
                <c:pt idx="3">
                  <c:v>4336.2</c:v>
                </c:pt>
                <c:pt idx="4">
                  <c:v>0</c:v>
                </c:pt>
                <c:pt idx="5">
                  <c:v>3190.1</c:v>
                </c:pt>
                <c:pt idx="6">
                  <c:v>832.19999999999993</c:v>
                </c:pt>
                <c:pt idx="7">
                  <c:v>0</c:v>
                </c:pt>
                <c:pt idx="8" formatCode="0.0%">
                  <c:v>0.100873</c:v>
                </c:pt>
                <c:pt idx="9">
                  <c:v>0</c:v>
                </c:pt>
                <c:pt idx="10">
                  <c:v>0</c:v>
                </c:pt>
                <c:pt idx="11">
                  <c:v>0</c:v>
                </c:pt>
                <c:pt idx="12">
                  <c:v>39381.762599999995</c:v>
                </c:pt>
                <c:pt idx="13">
                  <c:v>0</c:v>
                </c:pt>
                <c:pt idx="14">
                  <c:v>0</c:v>
                </c:pt>
                <c:pt idx="15">
                  <c:v>0</c:v>
                </c:pt>
                <c:pt idx="16">
                  <c:v>0</c:v>
                </c:pt>
                <c:pt idx="17">
                  <c:v>91890.779399999985</c:v>
                </c:pt>
                <c:pt idx="18">
                  <c:v>0</c:v>
                </c:pt>
              </c:numCache>
            </c:numRef>
          </c:val>
          <c:extLst>
            <c:ext xmlns:c16="http://schemas.microsoft.com/office/drawing/2014/chart" uri="{C3380CC4-5D6E-409C-BE32-E72D297353CC}">
              <c16:uniqueId val="{00000003-0664-4E01-91CF-8E0D9C6F2689}"/>
            </c:ext>
          </c:extLst>
        </c:ser>
        <c:ser>
          <c:idx val="4"/>
          <c:order val="4"/>
          <c:tx>
            <c:strRef>
              <c:f>'CO2 - Todos Resultados'!$I$2</c:f>
              <c:strCache>
                <c:ptCount val="1"/>
                <c:pt idx="0">
                  <c:v>Incineração Mass Burning</c:v>
                </c:pt>
              </c:strCache>
            </c:strRef>
          </c:tx>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Resultados'!$I$7:$I$13,'CO2 - Todos Resultados'!$I$18:$I$27)</c:f>
              <c:numCache>
                <c:formatCode>#,##0</c:formatCode>
                <c:ptCount val="17"/>
                <c:pt idx="0">
                  <c:v>0</c:v>
                </c:pt>
                <c:pt idx="1">
                  <c:v>0</c:v>
                </c:pt>
                <c:pt idx="2">
                  <c:v>6368.9580000000005</c:v>
                </c:pt>
                <c:pt idx="3">
                  <c:v>4336.2</c:v>
                </c:pt>
                <c:pt idx="4">
                  <c:v>0</c:v>
                </c:pt>
                <c:pt idx="5">
                  <c:v>3190.1</c:v>
                </c:pt>
                <c:pt idx="6">
                  <c:v>832.19999999999993</c:v>
                </c:pt>
                <c:pt idx="7">
                  <c:v>0</c:v>
                </c:pt>
                <c:pt idx="8">
                  <c:v>0</c:v>
                </c:pt>
                <c:pt idx="9">
                  <c:v>0</c:v>
                </c:pt>
                <c:pt idx="10">
                  <c:v>19690.881299999997</c:v>
                </c:pt>
                <c:pt idx="11">
                  <c:v>0</c:v>
                </c:pt>
                <c:pt idx="12">
                  <c:v>0</c:v>
                </c:pt>
                <c:pt idx="13">
                  <c:v>0</c:v>
                </c:pt>
                <c:pt idx="14">
                  <c:v>0</c:v>
                </c:pt>
                <c:pt idx="15">
                  <c:v>0</c:v>
                </c:pt>
                <c:pt idx="16">
                  <c:v>111581.66069999998</c:v>
                </c:pt>
              </c:numCache>
            </c:numRef>
          </c:val>
          <c:extLst>
            <c:ext xmlns:c16="http://schemas.microsoft.com/office/drawing/2014/chart" uri="{C3380CC4-5D6E-409C-BE32-E72D297353CC}">
              <c16:uniqueId val="{00000004-0664-4E01-91CF-8E0D9C6F2689}"/>
            </c:ext>
          </c:extLst>
        </c:ser>
        <c:ser>
          <c:idx val="5"/>
          <c:order val="5"/>
          <c:tx>
            <c:strRef>
              <c:f>'CO2 - Todos Resultados'!$F$2</c:f>
              <c:strCache>
                <c:ptCount val="1"/>
                <c:pt idx="0">
                  <c:v>Biodigestão RT1C + CDR TM</c:v>
                </c:pt>
              </c:strCache>
            </c:strRef>
          </c:tx>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Resultados'!$F$7:$F$14,'CO2 - Todos Resultados'!$F$18:$F$27)</c:f>
              <c:numCache>
                <c:formatCode>#,##0</c:formatCode>
                <c:ptCount val="18"/>
                <c:pt idx="0">
                  <c:v>0</c:v>
                </c:pt>
                <c:pt idx="1">
                  <c:v>0</c:v>
                </c:pt>
                <c:pt idx="2">
                  <c:v>6368.9580000000005</c:v>
                </c:pt>
                <c:pt idx="3">
                  <c:v>4336.2</c:v>
                </c:pt>
                <c:pt idx="4">
                  <c:v>0</c:v>
                </c:pt>
                <c:pt idx="5">
                  <c:v>3190.1</c:v>
                </c:pt>
                <c:pt idx="6">
                  <c:v>832.19999999999993</c:v>
                </c:pt>
                <c:pt idx="7">
                  <c:v>0</c:v>
                </c:pt>
                <c:pt idx="8">
                  <c:v>0</c:v>
                </c:pt>
                <c:pt idx="9">
                  <c:v>0</c:v>
                </c:pt>
                <c:pt idx="10">
                  <c:v>0</c:v>
                </c:pt>
                <c:pt idx="11">
                  <c:v>0</c:v>
                </c:pt>
                <c:pt idx="12">
                  <c:v>45945.389699999992</c:v>
                </c:pt>
                <c:pt idx="13">
                  <c:v>0</c:v>
                </c:pt>
                <c:pt idx="14">
                  <c:v>16409.067749999998</c:v>
                </c:pt>
                <c:pt idx="15">
                  <c:v>68918.08455</c:v>
                </c:pt>
                <c:pt idx="16">
                  <c:v>0</c:v>
                </c:pt>
                <c:pt idx="17">
                  <c:v>0</c:v>
                </c:pt>
              </c:numCache>
            </c:numRef>
          </c:val>
          <c:extLst>
            <c:ext xmlns:c16="http://schemas.microsoft.com/office/drawing/2014/chart" uri="{C3380CC4-5D6E-409C-BE32-E72D297353CC}">
              <c16:uniqueId val="{00000005-0664-4E01-91CF-8E0D9C6F2689}"/>
            </c:ext>
          </c:extLst>
        </c:ser>
        <c:dLbls>
          <c:showLegendKey val="0"/>
          <c:showVal val="0"/>
          <c:showCatName val="0"/>
          <c:showSerName val="0"/>
          <c:showPercent val="0"/>
          <c:showBubbleSize val="0"/>
        </c:dLbls>
        <c:gapWidth val="100"/>
        <c:axId val="198372736"/>
        <c:axId val="198378624"/>
      </c:barChart>
      <c:catAx>
        <c:axId val="198372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1200" b="0" i="0" u="none" strike="noStrike" baseline="0">
                <a:solidFill>
                  <a:srgbClr val="000000"/>
                </a:solidFill>
                <a:latin typeface="Arial"/>
                <a:ea typeface="Arial"/>
                <a:cs typeface="Arial"/>
              </a:defRPr>
            </a:pPr>
            <a:endParaRPr lang="pt-BR"/>
          </a:p>
        </c:txPr>
        <c:crossAx val="198378624"/>
        <c:crosses val="autoZero"/>
        <c:auto val="1"/>
        <c:lblAlgn val="ctr"/>
        <c:lblOffset val="100"/>
        <c:tickLblSkip val="1"/>
        <c:tickMarkSkip val="1"/>
        <c:noMultiLvlLbl val="0"/>
      </c:catAx>
      <c:valAx>
        <c:axId val="198378624"/>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8.0175041247724076E-3"/>
              <c:y val="0.3796077904440611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8372736"/>
        <c:crosses val="autoZero"/>
        <c:crossBetween val="between"/>
      </c:valAx>
      <c:spPr>
        <a:noFill/>
        <a:ln w="3175">
          <a:solidFill>
            <a:srgbClr val="000000"/>
          </a:solidFill>
          <a:prstDash val="solid"/>
        </a:ln>
      </c:spPr>
    </c:plotArea>
    <c:legend>
      <c:legendPos val="r"/>
      <c:layout>
        <c:manualLayout>
          <c:xMode val="edge"/>
          <c:yMode val="edge"/>
          <c:x val="0.15970128618373478"/>
          <c:y val="0.15096559925759637"/>
          <c:w val="0.13547586657023258"/>
          <c:h val="0.267393199206863"/>
        </c:manualLayout>
      </c:layout>
      <c:overlay val="0"/>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de-DE"/>
              <a:t>Emissões de GEE</a:t>
            </a:r>
          </a:p>
        </c:rich>
      </c:tx>
      <c:layout>
        <c:manualLayout>
          <c:xMode val="edge"/>
          <c:yMode val="edge"/>
          <c:x val="0.42439797582344552"/>
          <c:y val="1.3580263286389961E-2"/>
        </c:manualLayout>
      </c:layout>
      <c:overlay val="0"/>
      <c:spPr>
        <a:noFill/>
        <a:ln w="25400">
          <a:noFill/>
        </a:ln>
      </c:spPr>
    </c:title>
    <c:autoTitleDeleted val="0"/>
    <c:plotArea>
      <c:layout>
        <c:manualLayout>
          <c:layoutTarget val="inner"/>
          <c:xMode val="edge"/>
          <c:yMode val="edge"/>
          <c:x val="0.14463132394671627"/>
          <c:y val="0.13456806347422781"/>
          <c:w val="0.82980395961348374"/>
          <c:h val="0.70246998272326211"/>
        </c:manualLayout>
      </c:layout>
      <c:barChart>
        <c:barDir val="col"/>
        <c:grouping val="clustered"/>
        <c:varyColors val="0"/>
        <c:ser>
          <c:idx val="0"/>
          <c:order val="0"/>
          <c:tx>
            <c:strRef>
              <c:f>'CO2 - Todos Resultados'!$C$31</c:f>
              <c:strCache>
                <c:ptCount val="1"/>
                <c:pt idx="0">
                  <c:v>Cenário-Base</c:v>
                </c:pt>
              </c:strCache>
            </c:strRef>
          </c:tx>
          <c:spPr>
            <a:solidFill>
              <a:srgbClr val="33CCCC"/>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Resultados'!$C$32:$C$38</c:f>
              <c:numCache>
                <c:formatCode>#,##0</c:formatCode>
                <c:ptCount val="7"/>
                <c:pt idx="0">
                  <c:v>3375.4324000000001</c:v>
                </c:pt>
                <c:pt idx="1">
                  <c:v>-9605.6758000000009</c:v>
                </c:pt>
                <c:pt idx="2">
                  <c:v>167352.43851908133</c:v>
                </c:pt>
                <c:pt idx="3">
                  <c:v>0</c:v>
                </c:pt>
                <c:pt idx="4">
                  <c:v>170727.87091908132</c:v>
                </c:pt>
                <c:pt idx="5">
                  <c:v>-9605.6758000000009</c:v>
                </c:pt>
                <c:pt idx="6">
                  <c:v>161122.19511908133</c:v>
                </c:pt>
              </c:numCache>
            </c:numRef>
          </c:val>
          <c:extLst>
            <c:ext xmlns:c16="http://schemas.microsoft.com/office/drawing/2014/chart" uri="{C3380CC4-5D6E-409C-BE32-E72D297353CC}">
              <c16:uniqueId val="{00000000-3731-4681-88B8-2A423F3453E8}"/>
            </c:ext>
          </c:extLst>
        </c:ser>
        <c:ser>
          <c:idx val="1"/>
          <c:order val="1"/>
          <c:tx>
            <c:strRef>
              <c:f>'CO2 - Todos Resultados'!$D$31</c:f>
              <c:strCache>
                <c:ptCount val="1"/>
                <c:pt idx="0">
                  <c:v>Biodigestão RT1A + CDR TM</c:v>
                </c:pt>
              </c:strCache>
            </c:strRef>
          </c:tx>
          <c:spPr>
            <a:solidFill>
              <a:srgbClr val="993366"/>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Resultados'!$D$32:$D$38</c:f>
              <c:numCache>
                <c:formatCode>#,##0</c:formatCode>
                <c:ptCount val="7"/>
                <c:pt idx="0">
                  <c:v>10561.463048000001</c:v>
                </c:pt>
                <c:pt idx="1">
                  <c:v>-31824.008943999997</c:v>
                </c:pt>
                <c:pt idx="2">
                  <c:v>71149.336779140445</c:v>
                </c:pt>
                <c:pt idx="3">
                  <c:v>-43159.643033361666</c:v>
                </c:pt>
                <c:pt idx="4">
                  <c:v>81710.79982714045</c:v>
                </c:pt>
                <c:pt idx="5">
                  <c:v>-74983.65197736166</c:v>
                </c:pt>
                <c:pt idx="6">
                  <c:v>6727.1478497787903</c:v>
                </c:pt>
              </c:numCache>
            </c:numRef>
          </c:val>
          <c:extLst>
            <c:ext xmlns:c16="http://schemas.microsoft.com/office/drawing/2014/chart" uri="{C3380CC4-5D6E-409C-BE32-E72D297353CC}">
              <c16:uniqueId val="{00000001-3731-4681-88B8-2A423F3453E8}"/>
            </c:ext>
          </c:extLst>
        </c:ser>
        <c:ser>
          <c:idx val="2"/>
          <c:order val="2"/>
          <c:tx>
            <c:strRef>
              <c:f>'CO2 - Todos Resultados'!$G$31</c:f>
              <c:strCache>
                <c:ptCount val="1"/>
                <c:pt idx="0">
                  <c:v>Compostagem + CDR TM</c:v>
                </c:pt>
              </c:strCache>
            </c:strRef>
          </c:tx>
          <c:spPr>
            <a:solidFill>
              <a:srgbClr val="FFCC00"/>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Resultados'!$G$32:$G$38</c:f>
              <c:numCache>
                <c:formatCode>#,##0</c:formatCode>
                <c:ptCount val="7"/>
                <c:pt idx="0">
                  <c:v>10561.463048000001</c:v>
                </c:pt>
                <c:pt idx="1">
                  <c:v>-31824.008943999997</c:v>
                </c:pt>
                <c:pt idx="2">
                  <c:v>60730.016463997745</c:v>
                </c:pt>
                <c:pt idx="3">
                  <c:v>0</c:v>
                </c:pt>
                <c:pt idx="4">
                  <c:v>71291.47951199775</c:v>
                </c:pt>
                <c:pt idx="5">
                  <c:v>-31824.008943999997</c:v>
                </c:pt>
                <c:pt idx="6">
                  <c:v>39467.470567997749</c:v>
                </c:pt>
              </c:numCache>
            </c:numRef>
          </c:val>
          <c:extLst>
            <c:ext xmlns:c16="http://schemas.microsoft.com/office/drawing/2014/chart" uri="{C3380CC4-5D6E-409C-BE32-E72D297353CC}">
              <c16:uniqueId val="{00000002-3731-4681-88B8-2A423F3453E8}"/>
            </c:ext>
          </c:extLst>
        </c:ser>
        <c:ser>
          <c:idx val="3"/>
          <c:order val="3"/>
          <c:tx>
            <c:strRef>
              <c:f>'CO2 - Todos Resultados'!$H$31</c:f>
              <c:strCache>
                <c:ptCount val="1"/>
                <c:pt idx="0">
                  <c:v>Biosecagem + CDR TMB </c:v>
                </c:pt>
              </c:strCache>
            </c:strRef>
          </c:tx>
          <c:spPr>
            <a:solidFill>
              <a:srgbClr val="CCCCFF"/>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Resultados'!$H$32:$H$38</c:f>
              <c:numCache>
                <c:formatCode>#,##0</c:formatCode>
                <c:ptCount val="7"/>
                <c:pt idx="0">
                  <c:v>10561.463048000001</c:v>
                </c:pt>
                <c:pt idx="1">
                  <c:v>-31824.008943999997</c:v>
                </c:pt>
                <c:pt idx="2">
                  <c:v>67220.256893611731</c:v>
                </c:pt>
                <c:pt idx="3">
                  <c:v>-80794.489341582099</c:v>
                </c:pt>
                <c:pt idx="4">
                  <c:v>77781.719941611736</c:v>
                </c:pt>
                <c:pt idx="5">
                  <c:v>-112618.4982855821</c:v>
                </c:pt>
                <c:pt idx="6">
                  <c:v>-34836.778343970363</c:v>
                </c:pt>
              </c:numCache>
            </c:numRef>
          </c:val>
          <c:extLst>
            <c:ext xmlns:c16="http://schemas.microsoft.com/office/drawing/2014/chart" uri="{C3380CC4-5D6E-409C-BE32-E72D297353CC}">
              <c16:uniqueId val="{00000003-3731-4681-88B8-2A423F3453E8}"/>
            </c:ext>
          </c:extLst>
        </c:ser>
        <c:ser>
          <c:idx val="4"/>
          <c:order val="4"/>
          <c:tx>
            <c:strRef>
              <c:f>'CO2 - Todos Resultados'!$I$31</c:f>
              <c:strCache>
                <c:ptCount val="1"/>
                <c:pt idx="0">
                  <c:v>Incineração Mass Burning</c:v>
                </c:pt>
              </c:strCache>
            </c:strRef>
          </c:tx>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Resultados'!$I$32:$I$38</c:f>
              <c:numCache>
                <c:formatCode>#,##0</c:formatCode>
                <c:ptCount val="7"/>
                <c:pt idx="0">
                  <c:v>10561.463048000001</c:v>
                </c:pt>
                <c:pt idx="1">
                  <c:v>-31824.008943999997</c:v>
                </c:pt>
                <c:pt idx="2">
                  <c:v>65989.517947731059</c:v>
                </c:pt>
                <c:pt idx="3">
                  <c:v>-2810.5079200893747</c:v>
                </c:pt>
                <c:pt idx="4">
                  <c:v>76550.980995731064</c:v>
                </c:pt>
                <c:pt idx="5">
                  <c:v>-34634.516864089375</c:v>
                </c:pt>
                <c:pt idx="6">
                  <c:v>41916.464131641689</c:v>
                </c:pt>
              </c:numCache>
            </c:numRef>
          </c:val>
          <c:extLst>
            <c:ext xmlns:c16="http://schemas.microsoft.com/office/drawing/2014/chart" uri="{C3380CC4-5D6E-409C-BE32-E72D297353CC}">
              <c16:uniqueId val="{00000004-3731-4681-88B8-2A423F3453E8}"/>
            </c:ext>
          </c:extLst>
        </c:ser>
        <c:ser>
          <c:idx val="5"/>
          <c:order val="5"/>
          <c:tx>
            <c:strRef>
              <c:f>'CO2 - Todos Resultados'!$F$31</c:f>
              <c:strCache>
                <c:ptCount val="1"/>
                <c:pt idx="0">
                  <c:v>Biodigestão RT1C + CDR TM</c:v>
                </c:pt>
              </c:strCache>
            </c:strRef>
          </c:tx>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Resultados'!$F$32:$F$38</c:f>
              <c:numCache>
                <c:formatCode>#,##0</c:formatCode>
                <c:ptCount val="7"/>
                <c:pt idx="0">
                  <c:v>10561.463048000001</c:v>
                </c:pt>
                <c:pt idx="1">
                  <c:v>-31824.008943999997</c:v>
                </c:pt>
                <c:pt idx="2">
                  <c:v>70797.19192956874</c:v>
                </c:pt>
                <c:pt idx="3">
                  <c:v>-42709.450115955238</c:v>
                </c:pt>
                <c:pt idx="4">
                  <c:v>81358.654977568745</c:v>
                </c:pt>
                <c:pt idx="5">
                  <c:v>-74533.459059955232</c:v>
                </c:pt>
                <c:pt idx="6">
                  <c:v>6825.1959176135133</c:v>
                </c:pt>
              </c:numCache>
            </c:numRef>
          </c:val>
          <c:extLst>
            <c:ext xmlns:c16="http://schemas.microsoft.com/office/drawing/2014/chart" uri="{C3380CC4-5D6E-409C-BE32-E72D297353CC}">
              <c16:uniqueId val="{00000005-3731-4681-88B8-2A423F3453E8}"/>
            </c:ext>
          </c:extLst>
        </c:ser>
        <c:dLbls>
          <c:showLegendKey val="0"/>
          <c:showVal val="0"/>
          <c:showCatName val="0"/>
          <c:showSerName val="0"/>
          <c:showPercent val="0"/>
          <c:showBubbleSize val="0"/>
        </c:dLbls>
        <c:gapWidth val="100"/>
        <c:axId val="198419968"/>
        <c:axId val="198421504"/>
      </c:barChart>
      <c:catAx>
        <c:axId val="1984199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98421504"/>
        <c:crosses val="autoZero"/>
        <c:auto val="1"/>
        <c:lblAlgn val="ctr"/>
        <c:lblOffset val="50"/>
        <c:tickLblSkip val="1"/>
        <c:tickMarkSkip val="1"/>
        <c:noMultiLvlLbl val="0"/>
      </c:catAx>
      <c:valAx>
        <c:axId val="198421504"/>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0350735525953534E-3"/>
              <c:y val="0.3493831372771235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8419968"/>
        <c:crosses val="autoZero"/>
        <c:crossBetween val="between"/>
      </c:valAx>
      <c:spPr>
        <a:noFill/>
        <a:ln w="3175">
          <a:solidFill>
            <a:srgbClr val="000000"/>
          </a:solidFill>
          <a:prstDash val="solid"/>
        </a:ln>
      </c:spPr>
    </c:plotArea>
    <c:legend>
      <c:legendPos val="r"/>
      <c:layout>
        <c:manualLayout>
          <c:xMode val="edge"/>
          <c:yMode val="edge"/>
          <c:x val="0.16710891181798773"/>
          <c:y val="0.51562028995302622"/>
          <c:w val="0.25666241998968564"/>
          <c:h val="0.31171503497505237"/>
        </c:manualLayout>
      </c:layout>
      <c:overlay val="0"/>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de-DE"/>
              <a:t>Emissões de GEE</a:t>
            </a:r>
          </a:p>
        </c:rich>
      </c:tx>
      <c:layout>
        <c:manualLayout>
          <c:xMode val="edge"/>
          <c:yMode val="edge"/>
          <c:x val="0.41492841926731072"/>
          <c:y val="1.3513545938138102E-2"/>
        </c:manualLayout>
      </c:layout>
      <c:overlay val="0"/>
      <c:spPr>
        <a:noFill/>
        <a:ln w="25400">
          <a:noFill/>
        </a:ln>
      </c:spPr>
    </c:title>
    <c:autoTitleDeleted val="0"/>
    <c:plotArea>
      <c:layout>
        <c:manualLayout>
          <c:layoutTarget val="inner"/>
          <c:xMode val="edge"/>
          <c:yMode val="edge"/>
          <c:x val="0.15810618683880118"/>
          <c:y val="0.13144994685279796"/>
          <c:w val="0.81701572691319591"/>
          <c:h val="0.7604440850643166"/>
        </c:manualLayout>
      </c:layout>
      <c:barChart>
        <c:barDir val="col"/>
        <c:grouping val="clustered"/>
        <c:varyColors val="0"/>
        <c:ser>
          <c:idx val="0"/>
          <c:order val="0"/>
          <c:tx>
            <c:strRef>
              <c:f>'CO2 - Todos Resultados'!$B$36</c:f>
              <c:strCache>
                <c:ptCount val="1"/>
                <c:pt idx="0">
                  <c:v>Débitos</c:v>
                </c:pt>
              </c:strCache>
            </c:strRef>
          </c:tx>
          <c:spPr>
            <a:solidFill>
              <a:srgbClr val="FFCC99"/>
            </a:solidFill>
            <a:ln w="12700">
              <a:solidFill>
                <a:srgbClr val="000000"/>
              </a:solidFill>
              <a:prstDash val="solid"/>
            </a:ln>
          </c:spPr>
          <c:invertIfNegative val="0"/>
          <c:cat>
            <c:strRef>
              <c:f>'CO2 - Todos Resultados'!$C$31:$I$31</c:f>
              <c:strCache>
                <c:ptCount val="7"/>
                <c:pt idx="0">
                  <c:v>Cenário-Base</c:v>
                </c:pt>
                <c:pt idx="1">
                  <c:v>Biodigestão RT1A + CDR TM</c:v>
                </c:pt>
                <c:pt idx="2">
                  <c:v>Biodigestão RT1B + CDR TM</c:v>
                </c:pt>
                <c:pt idx="3">
                  <c:v>Biodigestão RT1C + CDR TM</c:v>
                </c:pt>
                <c:pt idx="4">
                  <c:v>Compostagem + CDR TM</c:v>
                </c:pt>
                <c:pt idx="5">
                  <c:v>Biosecagem + CDR TMB </c:v>
                </c:pt>
                <c:pt idx="6">
                  <c:v>Incineração Mass Burning</c:v>
                </c:pt>
              </c:strCache>
            </c:strRef>
          </c:cat>
          <c:val>
            <c:numRef>
              <c:f>'CO2 - Todos Resultados'!$C$36:$I$36</c:f>
              <c:numCache>
                <c:formatCode>#,##0</c:formatCode>
                <c:ptCount val="7"/>
                <c:pt idx="0">
                  <c:v>170727.87091908132</c:v>
                </c:pt>
                <c:pt idx="1">
                  <c:v>81710.79982714045</c:v>
                </c:pt>
                <c:pt idx="2">
                  <c:v>81710.79982714045</c:v>
                </c:pt>
                <c:pt idx="3">
                  <c:v>81358.654977568745</c:v>
                </c:pt>
                <c:pt idx="4">
                  <c:v>71291.47951199775</c:v>
                </c:pt>
                <c:pt idx="5">
                  <c:v>77781.719941611736</c:v>
                </c:pt>
                <c:pt idx="6">
                  <c:v>76550.980995731064</c:v>
                </c:pt>
              </c:numCache>
            </c:numRef>
          </c:val>
          <c:extLst>
            <c:ext xmlns:c16="http://schemas.microsoft.com/office/drawing/2014/chart" uri="{C3380CC4-5D6E-409C-BE32-E72D297353CC}">
              <c16:uniqueId val="{00000000-C46B-4FE9-BD30-2BD66EF44756}"/>
            </c:ext>
          </c:extLst>
        </c:ser>
        <c:ser>
          <c:idx val="1"/>
          <c:order val="1"/>
          <c:tx>
            <c:strRef>
              <c:f>'CO2 - Todos Resultados'!$B$37</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Todos Resultados'!$C$31:$I$31</c:f>
              <c:strCache>
                <c:ptCount val="7"/>
                <c:pt idx="0">
                  <c:v>Cenário-Base</c:v>
                </c:pt>
                <c:pt idx="1">
                  <c:v>Biodigestão RT1A + CDR TM</c:v>
                </c:pt>
                <c:pt idx="2">
                  <c:v>Biodigestão RT1B + CDR TM</c:v>
                </c:pt>
                <c:pt idx="3">
                  <c:v>Biodigestão RT1C + CDR TM</c:v>
                </c:pt>
                <c:pt idx="4">
                  <c:v>Compostagem + CDR TM</c:v>
                </c:pt>
                <c:pt idx="5">
                  <c:v>Biosecagem + CDR TMB </c:v>
                </c:pt>
                <c:pt idx="6">
                  <c:v>Incineração Mass Burning</c:v>
                </c:pt>
              </c:strCache>
            </c:strRef>
          </c:cat>
          <c:val>
            <c:numRef>
              <c:f>'CO2 - Todos Resultados'!$C$37:$I$37</c:f>
              <c:numCache>
                <c:formatCode>#,##0</c:formatCode>
                <c:ptCount val="7"/>
                <c:pt idx="0">
                  <c:v>-9605.6758000000009</c:v>
                </c:pt>
                <c:pt idx="1">
                  <c:v>-74983.65197736166</c:v>
                </c:pt>
                <c:pt idx="2">
                  <c:v>-81224.073168446077</c:v>
                </c:pt>
                <c:pt idx="3">
                  <c:v>-74533.459059955232</c:v>
                </c:pt>
                <c:pt idx="4">
                  <c:v>-31824.008943999997</c:v>
                </c:pt>
                <c:pt idx="5">
                  <c:v>-112618.4982855821</c:v>
                </c:pt>
                <c:pt idx="6">
                  <c:v>-34634.516864089375</c:v>
                </c:pt>
              </c:numCache>
            </c:numRef>
          </c:val>
          <c:extLst>
            <c:ext xmlns:c16="http://schemas.microsoft.com/office/drawing/2014/chart" uri="{C3380CC4-5D6E-409C-BE32-E72D297353CC}">
              <c16:uniqueId val="{00000001-C46B-4FE9-BD30-2BD66EF44756}"/>
            </c:ext>
          </c:extLst>
        </c:ser>
        <c:ser>
          <c:idx val="2"/>
          <c:order val="2"/>
          <c:tx>
            <c:strRef>
              <c:f>'CO2 - Todos Resultados'!$B$38</c:f>
              <c:strCache>
                <c:ptCount val="1"/>
                <c:pt idx="0">
                  <c:v>Líquido</c:v>
                </c:pt>
              </c:strCache>
            </c:strRef>
          </c:tx>
          <c:spPr>
            <a:solidFill>
              <a:srgbClr val="0000FF"/>
            </a:solidFill>
            <a:ln w="12700">
              <a:solidFill>
                <a:srgbClr val="000000"/>
              </a:solidFill>
              <a:prstDash val="solid"/>
            </a:ln>
          </c:spPr>
          <c:invertIfNegative val="0"/>
          <c:cat>
            <c:strRef>
              <c:f>'CO2 - Todos Resultados'!$C$31:$I$31</c:f>
              <c:strCache>
                <c:ptCount val="7"/>
                <c:pt idx="0">
                  <c:v>Cenário-Base</c:v>
                </c:pt>
                <c:pt idx="1">
                  <c:v>Biodigestão RT1A + CDR TM</c:v>
                </c:pt>
                <c:pt idx="2">
                  <c:v>Biodigestão RT1B + CDR TM</c:v>
                </c:pt>
                <c:pt idx="3">
                  <c:v>Biodigestão RT1C + CDR TM</c:v>
                </c:pt>
                <c:pt idx="4">
                  <c:v>Compostagem + CDR TM</c:v>
                </c:pt>
                <c:pt idx="5">
                  <c:v>Biosecagem + CDR TMB </c:v>
                </c:pt>
                <c:pt idx="6">
                  <c:v>Incineração Mass Burning</c:v>
                </c:pt>
              </c:strCache>
            </c:strRef>
          </c:cat>
          <c:val>
            <c:numRef>
              <c:f>'CO2 - Todos Resultados'!$C$38:$I$38</c:f>
              <c:numCache>
                <c:formatCode>#,##0</c:formatCode>
                <c:ptCount val="7"/>
                <c:pt idx="0">
                  <c:v>161122.19511908133</c:v>
                </c:pt>
                <c:pt idx="1">
                  <c:v>6727.1478497787903</c:v>
                </c:pt>
                <c:pt idx="2">
                  <c:v>486.72665869437333</c:v>
                </c:pt>
                <c:pt idx="3">
                  <c:v>6825.1959176135133</c:v>
                </c:pt>
                <c:pt idx="4">
                  <c:v>39467.470567997749</c:v>
                </c:pt>
                <c:pt idx="5">
                  <c:v>-34836.778343970363</c:v>
                </c:pt>
                <c:pt idx="6">
                  <c:v>41916.464131641689</c:v>
                </c:pt>
              </c:numCache>
            </c:numRef>
          </c:val>
          <c:extLst>
            <c:ext xmlns:c16="http://schemas.microsoft.com/office/drawing/2014/chart" uri="{C3380CC4-5D6E-409C-BE32-E72D297353CC}">
              <c16:uniqueId val="{00000002-C46B-4FE9-BD30-2BD66EF44756}"/>
            </c:ext>
          </c:extLst>
        </c:ser>
        <c:dLbls>
          <c:showLegendKey val="0"/>
          <c:showVal val="0"/>
          <c:showCatName val="0"/>
          <c:showSerName val="0"/>
          <c:showPercent val="0"/>
          <c:showBubbleSize val="0"/>
        </c:dLbls>
        <c:gapWidth val="100"/>
        <c:axId val="198473984"/>
        <c:axId val="198492160"/>
      </c:barChart>
      <c:catAx>
        <c:axId val="19847398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98492160"/>
        <c:crosses val="autoZero"/>
        <c:auto val="1"/>
        <c:lblAlgn val="ctr"/>
        <c:lblOffset val="50"/>
        <c:tickLblSkip val="1"/>
        <c:tickMarkSkip val="1"/>
        <c:noMultiLvlLbl val="0"/>
      </c:catAx>
      <c:valAx>
        <c:axId val="198492160"/>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82642397300142E-3"/>
              <c:y val="0.3759222779154782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8473984"/>
        <c:crosses val="autoZero"/>
        <c:crossBetween val="between"/>
      </c:valAx>
      <c:spPr>
        <a:noFill/>
        <a:ln w="3175">
          <a:solidFill>
            <a:srgbClr val="000000"/>
          </a:solidFill>
          <a:prstDash val="solid"/>
        </a:ln>
      </c:spPr>
    </c:plotArea>
    <c:legend>
      <c:legendPos val="r"/>
      <c:layout>
        <c:manualLayout>
          <c:xMode val="edge"/>
          <c:yMode val="edge"/>
          <c:x val="0.65273857200968755"/>
          <c:y val="6.0196947126081014E-2"/>
          <c:w val="0.2603178083898145"/>
          <c:h val="0.18181861807676716"/>
        </c:manualLayout>
      </c:layout>
      <c:overlay val="0"/>
      <c:spPr>
        <a:solidFill>
          <a:srgbClr val="FFFFFF"/>
        </a:solidFill>
        <a:ln w="3175">
          <a:solidFill>
            <a:srgbClr val="000000"/>
          </a:solidFill>
          <a:prstDash val="solid"/>
        </a:ln>
      </c:spPr>
      <c:txPr>
        <a:bodyPr/>
        <a:lstStyle/>
        <a:p>
          <a:pPr>
            <a:defRPr sz="14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g"/></Relationships>
</file>

<file path=xl/drawings/_rels/drawing19.xml.rels><?xml version="1.0" encoding="UTF-8" standalone="yes"?>
<Relationships xmlns="http://schemas.openxmlformats.org/package/2006/relationships"><Relationship Id="rId1" Type="http://schemas.openxmlformats.org/officeDocument/2006/relationships/image" Target="../media/image7.png"/></Relationships>
</file>

<file path=xl/drawings/_rels/drawing2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4" Type="http://schemas.openxmlformats.org/officeDocument/2006/relationships/chart" Target="../charts/chart26.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chart" Target="../charts/chart34.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xdr:colOff>
      <xdr:row>10</xdr:row>
      <xdr:rowOff>54776</xdr:rowOff>
    </xdr:from>
    <xdr:to>
      <xdr:col>9</xdr:col>
      <xdr:colOff>107157</xdr:colOff>
      <xdr:row>36</xdr:row>
      <xdr:rowOff>103826</xdr:rowOff>
    </xdr:to>
    <xdr:pic>
      <xdr:nvPicPr>
        <xdr:cNvPr id="2" name="Imagem 1">
          <a:extLst>
            <a:ext uri="{FF2B5EF4-FFF2-40B4-BE49-F238E27FC236}">
              <a16:creationId xmlns:a16="http://schemas.microsoft.com/office/drawing/2014/main" id="{D0BC0F69-7830-4E31-AE16-EA429EE137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7703"/>
        <a:stretch/>
      </xdr:blipFill>
      <xdr:spPr>
        <a:xfrm>
          <a:off x="1" y="3312326"/>
          <a:ext cx="6784181" cy="6335550"/>
        </a:xfrm>
        <a:prstGeom prst="rect">
          <a:avLst/>
        </a:prstGeom>
      </xdr:spPr>
    </xdr:pic>
    <xdr:clientData/>
  </xdr:twoCellAnchor>
  <xdr:twoCellAnchor editAs="oneCell">
    <xdr:from>
      <xdr:col>0</xdr:col>
      <xdr:colOff>9525</xdr:colOff>
      <xdr:row>0</xdr:row>
      <xdr:rowOff>0</xdr:rowOff>
    </xdr:from>
    <xdr:to>
      <xdr:col>22</xdr:col>
      <xdr:colOff>828675</xdr:colOff>
      <xdr:row>10</xdr:row>
      <xdr:rowOff>47625</xdr:rowOff>
    </xdr:to>
    <xdr:pic>
      <xdr:nvPicPr>
        <xdr:cNvPr id="3" name="Imagem 2">
          <a:extLst>
            <a:ext uri="{FF2B5EF4-FFF2-40B4-BE49-F238E27FC236}">
              <a16:creationId xmlns:a16="http://schemas.microsoft.com/office/drawing/2014/main" id="{E4CB0B5B-FC64-4710-BAD8-1FFF0E7E9139}"/>
            </a:ext>
            <a:ext uri="{147F2762-F138-4A5C-976F-8EAC2B608ADB}">
              <a16:predDERef xmlns:a16="http://schemas.microsoft.com/office/drawing/2014/main" pred="{506470C5-EC30-43AE-8A2B-94087EE1C601}"/>
            </a:ext>
          </a:extLst>
        </xdr:cNvPr>
        <xdr:cNvPicPr>
          <a:picLocks noChangeAspect="1"/>
        </xdr:cNvPicPr>
      </xdr:nvPicPr>
      <xdr:blipFill>
        <a:blip xmlns:r="http://schemas.openxmlformats.org/officeDocument/2006/relationships" r:embed="rId2"/>
        <a:stretch>
          <a:fillRect/>
        </a:stretch>
      </xdr:blipFill>
      <xdr:spPr>
        <a:xfrm>
          <a:off x="9525" y="0"/>
          <a:ext cx="17992725" cy="3305175"/>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187294</xdr:colOff>
      <xdr:row>3</xdr:row>
      <xdr:rowOff>139700</xdr:rowOff>
    </xdr:from>
    <xdr:to>
      <xdr:col>18</xdr:col>
      <xdr:colOff>70439</xdr:colOff>
      <xdr:row>22</xdr:row>
      <xdr:rowOff>171852</xdr:rowOff>
    </xdr:to>
    <xdr:pic>
      <xdr:nvPicPr>
        <xdr:cNvPr id="2" name="Imagem 1">
          <a:extLst>
            <a:ext uri="{FF2B5EF4-FFF2-40B4-BE49-F238E27FC236}">
              <a16:creationId xmlns:a16="http://schemas.microsoft.com/office/drawing/2014/main" id="{42D815EA-39C0-404E-A0DF-CD28974EFB9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2636469" y="1092200"/>
          <a:ext cx="4979020" cy="4632727"/>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5</xdr:col>
      <xdr:colOff>70485</xdr:colOff>
      <xdr:row>1</xdr:row>
      <xdr:rowOff>139064</xdr:rowOff>
    </xdr:from>
    <xdr:to>
      <xdr:col>11</xdr:col>
      <xdr:colOff>316371</xdr:colOff>
      <xdr:row>27</xdr:row>
      <xdr:rowOff>75917</xdr:rowOff>
    </xdr:to>
    <xdr:graphicFrame macro="">
      <xdr:nvGraphicFramePr>
        <xdr:cNvPr id="2" name="Diagramm 1">
          <a:extLst>
            <a:ext uri="{FF2B5EF4-FFF2-40B4-BE49-F238E27FC236}">
              <a16:creationId xmlns:a16="http://schemas.microsoft.com/office/drawing/2014/main" id="{76A2560F-0947-4A8F-9F06-D4F63223B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155258</xdr:colOff>
      <xdr:row>81</xdr:row>
      <xdr:rowOff>21167</xdr:rowOff>
    </xdr:from>
    <xdr:to>
      <xdr:col>4</xdr:col>
      <xdr:colOff>438574</xdr:colOff>
      <xdr:row>103</xdr:row>
      <xdr:rowOff>25929</xdr:rowOff>
    </xdr:to>
    <xdr:graphicFrame macro="">
      <xdr:nvGraphicFramePr>
        <xdr:cNvPr id="3" name="Diagramm 8">
          <a:extLst>
            <a:ext uri="{FF2B5EF4-FFF2-40B4-BE49-F238E27FC236}">
              <a16:creationId xmlns:a16="http://schemas.microsoft.com/office/drawing/2014/main" id="{2F635C6B-207A-433F-A1FB-D484A7D142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115356</xdr:colOff>
      <xdr:row>59</xdr:row>
      <xdr:rowOff>225777</xdr:rowOff>
    </xdr:from>
    <xdr:to>
      <xdr:col>18</xdr:col>
      <xdr:colOff>1312332</xdr:colOff>
      <xdr:row>84</xdr:row>
      <xdr:rowOff>14111</xdr:rowOff>
    </xdr:to>
    <xdr:graphicFrame macro="">
      <xdr:nvGraphicFramePr>
        <xdr:cNvPr id="4" name="Diagramm 10">
          <a:extLst>
            <a:ext uri="{FF2B5EF4-FFF2-40B4-BE49-F238E27FC236}">
              <a16:creationId xmlns:a16="http://schemas.microsoft.com/office/drawing/2014/main" id="{788F84A5-D367-4E73-9E70-7B36F2F551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12">
          <a:extLst>
            <a:ext uri="{FF2B5EF4-FFF2-40B4-BE49-F238E27FC236}">
              <a16:creationId xmlns:a16="http://schemas.microsoft.com/office/drawing/2014/main" id="{FE236777-3DFD-4CB0-8D06-B9C2D1D45CFE}"/>
            </a:ext>
          </a:extLst>
        </xdr:cNvPr>
        <xdr:cNvSpPr>
          <a:spLocks noChangeShapeType="1"/>
        </xdr:cNvSpPr>
      </xdr:nvSpPr>
      <xdr:spPr bwMode="auto">
        <a:xfrm flipH="1">
          <a:off x="15525750" y="1228725"/>
          <a:ext cx="671513" cy="323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13">
          <a:extLst>
            <a:ext uri="{FF2B5EF4-FFF2-40B4-BE49-F238E27FC236}">
              <a16:creationId xmlns:a16="http://schemas.microsoft.com/office/drawing/2014/main" id="{A2C9D566-8524-47CB-A5EB-498404A6BB40}"/>
            </a:ext>
          </a:extLst>
        </xdr:cNvPr>
        <xdr:cNvSpPr>
          <a:spLocks noChangeShapeType="1"/>
        </xdr:cNvSpPr>
      </xdr:nvSpPr>
      <xdr:spPr bwMode="auto">
        <a:xfrm>
          <a:off x="17030700" y="1238250"/>
          <a:ext cx="704850" cy="3143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66675</xdr:rowOff>
    </xdr:from>
    <xdr:to>
      <xdr:col>11</xdr:col>
      <xdr:colOff>381000</xdr:colOff>
      <xdr:row>50</xdr:row>
      <xdr:rowOff>85725</xdr:rowOff>
    </xdr:to>
    <xdr:graphicFrame macro="">
      <xdr:nvGraphicFramePr>
        <xdr:cNvPr id="7" name="Diagramm 15">
          <a:extLst>
            <a:ext uri="{FF2B5EF4-FFF2-40B4-BE49-F238E27FC236}">
              <a16:creationId xmlns:a16="http://schemas.microsoft.com/office/drawing/2014/main" id="{3AC593B4-1E47-4856-8C86-8C3E78875E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476250</xdr:colOff>
      <xdr:row>2</xdr:row>
      <xdr:rowOff>66675</xdr:rowOff>
    </xdr:from>
    <xdr:to>
      <xdr:col>10</xdr:col>
      <xdr:colOff>508000</xdr:colOff>
      <xdr:row>27</xdr:row>
      <xdr:rowOff>22225</xdr:rowOff>
    </xdr:to>
    <xdr:graphicFrame macro="">
      <xdr:nvGraphicFramePr>
        <xdr:cNvPr id="2" name="Diagramm 1">
          <a:extLst>
            <a:ext uri="{FF2B5EF4-FFF2-40B4-BE49-F238E27FC236}">
              <a16:creationId xmlns:a16="http://schemas.microsoft.com/office/drawing/2014/main" id="{E7226B8B-7A3A-4AC7-9FFB-7495AA88F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74161</xdr:colOff>
      <xdr:row>81</xdr:row>
      <xdr:rowOff>91170</xdr:rowOff>
    </xdr:from>
    <xdr:to>
      <xdr:col>4</xdr:col>
      <xdr:colOff>957035</xdr:colOff>
      <xdr:row>109</xdr:row>
      <xdr:rowOff>104322</xdr:rowOff>
    </xdr:to>
    <xdr:graphicFrame macro="">
      <xdr:nvGraphicFramePr>
        <xdr:cNvPr id="3" name="Diagramm 2">
          <a:extLst>
            <a:ext uri="{FF2B5EF4-FFF2-40B4-BE49-F238E27FC236}">
              <a16:creationId xmlns:a16="http://schemas.microsoft.com/office/drawing/2014/main" id="{4CC1BA64-0DBE-48C1-A15A-F2726D6EA4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213632</xdr:colOff>
      <xdr:row>59</xdr:row>
      <xdr:rowOff>217714</xdr:rowOff>
    </xdr:from>
    <xdr:to>
      <xdr:col>20</xdr:col>
      <xdr:colOff>712108</xdr:colOff>
      <xdr:row>84</xdr:row>
      <xdr:rowOff>13607</xdr:rowOff>
    </xdr:to>
    <xdr:graphicFrame macro="">
      <xdr:nvGraphicFramePr>
        <xdr:cNvPr id="4" name="Diagramm 4">
          <a:extLst>
            <a:ext uri="{FF2B5EF4-FFF2-40B4-BE49-F238E27FC236}">
              <a16:creationId xmlns:a16="http://schemas.microsoft.com/office/drawing/2014/main" id="{D0137AEE-638F-45E3-B1C8-4E959ABA80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5">
          <a:extLst>
            <a:ext uri="{FF2B5EF4-FFF2-40B4-BE49-F238E27FC236}">
              <a16:creationId xmlns:a16="http://schemas.microsoft.com/office/drawing/2014/main" id="{A0C29BEF-81CF-4933-9AAE-ACE44A34867D}"/>
            </a:ext>
          </a:extLst>
        </xdr:cNvPr>
        <xdr:cNvSpPr>
          <a:spLocks noChangeShapeType="1"/>
        </xdr:cNvSpPr>
      </xdr:nvSpPr>
      <xdr:spPr bwMode="auto">
        <a:xfrm flipH="1">
          <a:off x="16125825" y="1419225"/>
          <a:ext cx="65246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6">
          <a:extLst>
            <a:ext uri="{FF2B5EF4-FFF2-40B4-BE49-F238E27FC236}">
              <a16:creationId xmlns:a16="http://schemas.microsoft.com/office/drawing/2014/main" id="{12865377-87F8-409A-8E88-C0B13584A485}"/>
            </a:ext>
          </a:extLst>
        </xdr:cNvPr>
        <xdr:cNvSpPr>
          <a:spLocks noChangeShapeType="1"/>
        </xdr:cNvSpPr>
      </xdr:nvSpPr>
      <xdr:spPr bwMode="auto">
        <a:xfrm>
          <a:off x="1761172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7">
          <a:extLst>
            <a:ext uri="{FF2B5EF4-FFF2-40B4-BE49-F238E27FC236}">
              <a16:creationId xmlns:a16="http://schemas.microsoft.com/office/drawing/2014/main" id="{56B6033A-5896-42D3-B911-D57ABD3D33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476250</xdr:colOff>
      <xdr:row>2</xdr:row>
      <xdr:rowOff>66675</xdr:rowOff>
    </xdr:from>
    <xdr:to>
      <xdr:col>10</xdr:col>
      <xdr:colOff>508000</xdr:colOff>
      <xdr:row>27</xdr:row>
      <xdr:rowOff>22225</xdr:rowOff>
    </xdr:to>
    <xdr:graphicFrame macro="">
      <xdr:nvGraphicFramePr>
        <xdr:cNvPr id="2" name="Diagramm 1">
          <a:extLst>
            <a:ext uri="{FF2B5EF4-FFF2-40B4-BE49-F238E27FC236}">
              <a16:creationId xmlns:a16="http://schemas.microsoft.com/office/drawing/2014/main" id="{C83C3203-6FF2-409D-81D1-BBE155E5CB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74161</xdr:colOff>
      <xdr:row>81</xdr:row>
      <xdr:rowOff>91170</xdr:rowOff>
    </xdr:from>
    <xdr:to>
      <xdr:col>4</xdr:col>
      <xdr:colOff>957035</xdr:colOff>
      <xdr:row>109</xdr:row>
      <xdr:rowOff>104322</xdr:rowOff>
    </xdr:to>
    <xdr:graphicFrame macro="">
      <xdr:nvGraphicFramePr>
        <xdr:cNvPr id="3" name="Diagramm 2">
          <a:extLst>
            <a:ext uri="{FF2B5EF4-FFF2-40B4-BE49-F238E27FC236}">
              <a16:creationId xmlns:a16="http://schemas.microsoft.com/office/drawing/2014/main" id="{A4A6C9B0-0F33-4B5A-BE3D-60191C1A2F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213632</xdr:colOff>
      <xdr:row>59</xdr:row>
      <xdr:rowOff>217714</xdr:rowOff>
    </xdr:from>
    <xdr:to>
      <xdr:col>20</xdr:col>
      <xdr:colOff>712108</xdr:colOff>
      <xdr:row>84</xdr:row>
      <xdr:rowOff>13607</xdr:rowOff>
    </xdr:to>
    <xdr:graphicFrame macro="">
      <xdr:nvGraphicFramePr>
        <xdr:cNvPr id="4" name="Diagramm 4">
          <a:extLst>
            <a:ext uri="{FF2B5EF4-FFF2-40B4-BE49-F238E27FC236}">
              <a16:creationId xmlns:a16="http://schemas.microsoft.com/office/drawing/2014/main" id="{F68110D7-6DDA-4D0A-AA5C-1AD4BD2A59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5">
          <a:extLst>
            <a:ext uri="{FF2B5EF4-FFF2-40B4-BE49-F238E27FC236}">
              <a16:creationId xmlns:a16="http://schemas.microsoft.com/office/drawing/2014/main" id="{8122AFBB-44C3-45F6-BF00-09FCF17D50C6}"/>
            </a:ext>
          </a:extLst>
        </xdr:cNvPr>
        <xdr:cNvSpPr>
          <a:spLocks noChangeShapeType="1"/>
        </xdr:cNvSpPr>
      </xdr:nvSpPr>
      <xdr:spPr bwMode="auto">
        <a:xfrm flipH="1">
          <a:off x="16125825" y="1419225"/>
          <a:ext cx="65246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6">
          <a:extLst>
            <a:ext uri="{FF2B5EF4-FFF2-40B4-BE49-F238E27FC236}">
              <a16:creationId xmlns:a16="http://schemas.microsoft.com/office/drawing/2014/main" id="{7A09159A-BAB4-4B83-B548-C6FFF0EE9CF7}"/>
            </a:ext>
          </a:extLst>
        </xdr:cNvPr>
        <xdr:cNvSpPr>
          <a:spLocks noChangeShapeType="1"/>
        </xdr:cNvSpPr>
      </xdr:nvSpPr>
      <xdr:spPr bwMode="auto">
        <a:xfrm>
          <a:off x="1761172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7">
          <a:extLst>
            <a:ext uri="{FF2B5EF4-FFF2-40B4-BE49-F238E27FC236}">
              <a16:creationId xmlns:a16="http://schemas.microsoft.com/office/drawing/2014/main" id="{BD4CB5CA-5BD8-41E0-81F1-C062A293A0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476250</xdr:colOff>
      <xdr:row>2</xdr:row>
      <xdr:rowOff>66675</xdr:rowOff>
    </xdr:from>
    <xdr:to>
      <xdr:col>10</xdr:col>
      <xdr:colOff>508000</xdr:colOff>
      <xdr:row>27</xdr:row>
      <xdr:rowOff>22225</xdr:rowOff>
    </xdr:to>
    <xdr:graphicFrame macro="">
      <xdr:nvGraphicFramePr>
        <xdr:cNvPr id="2" name="Diagramm 1">
          <a:extLst>
            <a:ext uri="{FF2B5EF4-FFF2-40B4-BE49-F238E27FC236}">
              <a16:creationId xmlns:a16="http://schemas.microsoft.com/office/drawing/2014/main" id="{1A4F25C5-F2F3-4D24-AAC6-D221D9F21C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74161</xdr:colOff>
      <xdr:row>81</xdr:row>
      <xdr:rowOff>91170</xdr:rowOff>
    </xdr:from>
    <xdr:to>
      <xdr:col>4</xdr:col>
      <xdr:colOff>957035</xdr:colOff>
      <xdr:row>109</xdr:row>
      <xdr:rowOff>104322</xdr:rowOff>
    </xdr:to>
    <xdr:graphicFrame macro="">
      <xdr:nvGraphicFramePr>
        <xdr:cNvPr id="3" name="Diagramm 2">
          <a:extLst>
            <a:ext uri="{FF2B5EF4-FFF2-40B4-BE49-F238E27FC236}">
              <a16:creationId xmlns:a16="http://schemas.microsoft.com/office/drawing/2014/main" id="{005357DD-38B5-496B-B70F-8535423240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213632</xdr:colOff>
      <xdr:row>59</xdr:row>
      <xdr:rowOff>217714</xdr:rowOff>
    </xdr:from>
    <xdr:to>
      <xdr:col>20</xdr:col>
      <xdr:colOff>712108</xdr:colOff>
      <xdr:row>84</xdr:row>
      <xdr:rowOff>13607</xdr:rowOff>
    </xdr:to>
    <xdr:graphicFrame macro="">
      <xdr:nvGraphicFramePr>
        <xdr:cNvPr id="4" name="Diagramm 4">
          <a:extLst>
            <a:ext uri="{FF2B5EF4-FFF2-40B4-BE49-F238E27FC236}">
              <a16:creationId xmlns:a16="http://schemas.microsoft.com/office/drawing/2014/main" id="{5250718A-3C19-4AB5-8CF1-B4DA73DD9C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5">
          <a:extLst>
            <a:ext uri="{FF2B5EF4-FFF2-40B4-BE49-F238E27FC236}">
              <a16:creationId xmlns:a16="http://schemas.microsoft.com/office/drawing/2014/main" id="{0457733F-2A0F-44AB-910D-279EA1150C85}"/>
            </a:ext>
          </a:extLst>
        </xdr:cNvPr>
        <xdr:cNvSpPr>
          <a:spLocks noChangeShapeType="1"/>
        </xdr:cNvSpPr>
      </xdr:nvSpPr>
      <xdr:spPr bwMode="auto">
        <a:xfrm flipH="1">
          <a:off x="16125825" y="1419225"/>
          <a:ext cx="65246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6">
          <a:extLst>
            <a:ext uri="{FF2B5EF4-FFF2-40B4-BE49-F238E27FC236}">
              <a16:creationId xmlns:a16="http://schemas.microsoft.com/office/drawing/2014/main" id="{0E395673-F836-4BDD-961B-71534B407FE9}"/>
            </a:ext>
          </a:extLst>
        </xdr:cNvPr>
        <xdr:cNvSpPr>
          <a:spLocks noChangeShapeType="1"/>
        </xdr:cNvSpPr>
      </xdr:nvSpPr>
      <xdr:spPr bwMode="auto">
        <a:xfrm>
          <a:off x="1761172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7">
          <a:extLst>
            <a:ext uri="{FF2B5EF4-FFF2-40B4-BE49-F238E27FC236}">
              <a16:creationId xmlns:a16="http://schemas.microsoft.com/office/drawing/2014/main" id="{7DFEB044-CF23-4257-AC74-1DF88A78C0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5</xdr:col>
      <xdr:colOff>162279</xdr:colOff>
      <xdr:row>1</xdr:row>
      <xdr:rowOff>176388</xdr:rowOff>
    </xdr:from>
    <xdr:to>
      <xdr:col>11</xdr:col>
      <xdr:colOff>357189</xdr:colOff>
      <xdr:row>27</xdr:row>
      <xdr:rowOff>112888</xdr:rowOff>
    </xdr:to>
    <xdr:graphicFrame macro="">
      <xdr:nvGraphicFramePr>
        <xdr:cNvPr id="2" name="Diagramm 1">
          <a:extLst>
            <a:ext uri="{FF2B5EF4-FFF2-40B4-BE49-F238E27FC236}">
              <a16:creationId xmlns:a16="http://schemas.microsoft.com/office/drawing/2014/main" id="{E0EB2534-4968-4471-A75F-F1D7753DAF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157163</xdr:colOff>
      <xdr:row>81</xdr:row>
      <xdr:rowOff>76200</xdr:rowOff>
    </xdr:from>
    <xdr:to>
      <xdr:col>4</xdr:col>
      <xdr:colOff>350610</xdr:colOff>
      <xdr:row>109</xdr:row>
      <xdr:rowOff>138339</xdr:rowOff>
    </xdr:to>
    <xdr:graphicFrame macro="">
      <xdr:nvGraphicFramePr>
        <xdr:cNvPr id="3" name="Diagramm 2">
          <a:extLst>
            <a:ext uri="{FF2B5EF4-FFF2-40B4-BE49-F238E27FC236}">
              <a16:creationId xmlns:a16="http://schemas.microsoft.com/office/drawing/2014/main" id="{2A91A5DE-8993-492E-8DF7-96E430C0C0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152400</xdr:colOff>
      <xdr:row>60</xdr:row>
      <xdr:rowOff>0</xdr:rowOff>
    </xdr:from>
    <xdr:to>
      <xdr:col>20</xdr:col>
      <xdr:colOff>625475</xdr:colOff>
      <xdr:row>81</xdr:row>
      <xdr:rowOff>23813</xdr:rowOff>
    </xdr:to>
    <xdr:graphicFrame macro="">
      <xdr:nvGraphicFramePr>
        <xdr:cNvPr id="4" name="Diagramm 3">
          <a:extLst>
            <a:ext uri="{FF2B5EF4-FFF2-40B4-BE49-F238E27FC236}">
              <a16:creationId xmlns:a16="http://schemas.microsoft.com/office/drawing/2014/main" id="{1F7318A9-B704-41E5-A562-E3FE3B714C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0886B171-2BCB-4F65-92FE-B0F6B924B4DF}"/>
            </a:ext>
          </a:extLst>
        </xdr:cNvPr>
        <xdr:cNvSpPr>
          <a:spLocks noChangeShapeType="1"/>
        </xdr:cNvSpPr>
      </xdr:nvSpPr>
      <xdr:spPr bwMode="auto">
        <a:xfrm flipH="1">
          <a:off x="14878050" y="1419225"/>
          <a:ext cx="700088"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2AF21BED-0AF6-4713-AE62-7EFB34EEB62B}"/>
            </a:ext>
          </a:extLst>
        </xdr:cNvPr>
        <xdr:cNvSpPr>
          <a:spLocks noChangeShapeType="1"/>
        </xdr:cNvSpPr>
      </xdr:nvSpPr>
      <xdr:spPr bwMode="auto">
        <a:xfrm>
          <a:off x="164115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236991</xdr:colOff>
      <xdr:row>29</xdr:row>
      <xdr:rowOff>56696</xdr:rowOff>
    </xdr:from>
    <xdr:to>
      <xdr:col>11</xdr:col>
      <xdr:colOff>332241</xdr:colOff>
      <xdr:row>49</xdr:row>
      <xdr:rowOff>94796</xdr:rowOff>
    </xdr:to>
    <xdr:graphicFrame macro="">
      <xdr:nvGraphicFramePr>
        <xdr:cNvPr id="7" name="Diagramm 6">
          <a:extLst>
            <a:ext uri="{FF2B5EF4-FFF2-40B4-BE49-F238E27FC236}">
              <a16:creationId xmlns:a16="http://schemas.microsoft.com/office/drawing/2014/main" id="{42704941-3EC1-41A2-BE90-D56A3C1B30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4</xdr:col>
      <xdr:colOff>1115378</xdr:colOff>
      <xdr:row>2</xdr:row>
      <xdr:rowOff>23813</xdr:rowOff>
    </xdr:from>
    <xdr:to>
      <xdr:col>11</xdr:col>
      <xdr:colOff>73343</xdr:colOff>
      <xdr:row>27</xdr:row>
      <xdr:rowOff>28575</xdr:rowOff>
    </xdr:to>
    <xdr:graphicFrame macro="">
      <xdr:nvGraphicFramePr>
        <xdr:cNvPr id="2" name="Diagramm 1">
          <a:extLst>
            <a:ext uri="{FF2B5EF4-FFF2-40B4-BE49-F238E27FC236}">
              <a16:creationId xmlns:a16="http://schemas.microsoft.com/office/drawing/2014/main" id="{AEC7227C-E2A9-47C0-B215-415FA0AF53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377703</xdr:colOff>
      <xdr:row>80</xdr:row>
      <xdr:rowOff>217121</xdr:rowOff>
    </xdr:from>
    <xdr:to>
      <xdr:col>4</xdr:col>
      <xdr:colOff>147896</xdr:colOff>
      <xdr:row>110</xdr:row>
      <xdr:rowOff>42876</xdr:rowOff>
    </xdr:to>
    <xdr:graphicFrame macro="">
      <xdr:nvGraphicFramePr>
        <xdr:cNvPr id="3" name="Diagramm 2">
          <a:extLst>
            <a:ext uri="{FF2B5EF4-FFF2-40B4-BE49-F238E27FC236}">
              <a16:creationId xmlns:a16="http://schemas.microsoft.com/office/drawing/2014/main" id="{D3CEAB19-6BD0-4093-9061-5B8D0E1907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168275</xdr:colOff>
      <xdr:row>59</xdr:row>
      <xdr:rowOff>232019</xdr:rowOff>
    </xdr:from>
    <xdr:to>
      <xdr:col>19</xdr:col>
      <xdr:colOff>518583</xdr:colOff>
      <xdr:row>82</xdr:row>
      <xdr:rowOff>98777</xdr:rowOff>
    </xdr:to>
    <xdr:graphicFrame macro="">
      <xdr:nvGraphicFramePr>
        <xdr:cNvPr id="4" name="Diagramm 3">
          <a:extLst>
            <a:ext uri="{FF2B5EF4-FFF2-40B4-BE49-F238E27FC236}">
              <a16:creationId xmlns:a16="http://schemas.microsoft.com/office/drawing/2014/main" id="{3CA70138-1687-4BEC-B45E-71177314BE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D9900396-5EFE-45B2-8F8A-752531BD8275}"/>
            </a:ext>
          </a:extLst>
        </xdr:cNvPr>
        <xdr:cNvSpPr>
          <a:spLocks noChangeShapeType="1"/>
        </xdr:cNvSpPr>
      </xdr:nvSpPr>
      <xdr:spPr bwMode="auto">
        <a:xfrm flipH="1">
          <a:off x="14716125" y="1419225"/>
          <a:ext cx="67151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3EF1A3D9-6F89-4558-B300-147CDE997DBC}"/>
            </a:ext>
          </a:extLst>
        </xdr:cNvPr>
        <xdr:cNvSpPr>
          <a:spLocks noChangeShapeType="1"/>
        </xdr:cNvSpPr>
      </xdr:nvSpPr>
      <xdr:spPr bwMode="auto">
        <a:xfrm>
          <a:off x="162210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6">
          <a:extLst>
            <a:ext uri="{FF2B5EF4-FFF2-40B4-BE49-F238E27FC236}">
              <a16:creationId xmlns:a16="http://schemas.microsoft.com/office/drawing/2014/main" id="{0BFD748A-320F-45F2-9CA4-6809D280DE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4</xdr:col>
      <xdr:colOff>1115378</xdr:colOff>
      <xdr:row>2</xdr:row>
      <xdr:rowOff>23813</xdr:rowOff>
    </xdr:from>
    <xdr:to>
      <xdr:col>11</xdr:col>
      <xdr:colOff>73343</xdr:colOff>
      <xdr:row>27</xdr:row>
      <xdr:rowOff>28575</xdr:rowOff>
    </xdr:to>
    <xdr:graphicFrame macro="">
      <xdr:nvGraphicFramePr>
        <xdr:cNvPr id="2" name="Diagramm 1">
          <a:extLst>
            <a:ext uri="{FF2B5EF4-FFF2-40B4-BE49-F238E27FC236}">
              <a16:creationId xmlns:a16="http://schemas.microsoft.com/office/drawing/2014/main" id="{A5B20977-C095-4992-A6D4-6712D0E337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377703</xdr:colOff>
      <xdr:row>80</xdr:row>
      <xdr:rowOff>217121</xdr:rowOff>
    </xdr:from>
    <xdr:to>
      <xdr:col>4</xdr:col>
      <xdr:colOff>147896</xdr:colOff>
      <xdr:row>110</xdr:row>
      <xdr:rowOff>42876</xdr:rowOff>
    </xdr:to>
    <xdr:graphicFrame macro="">
      <xdr:nvGraphicFramePr>
        <xdr:cNvPr id="3" name="Diagramm 2">
          <a:extLst>
            <a:ext uri="{FF2B5EF4-FFF2-40B4-BE49-F238E27FC236}">
              <a16:creationId xmlns:a16="http://schemas.microsoft.com/office/drawing/2014/main" id="{E9CA8C75-1951-4457-9A5D-7CF42E049D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168275</xdr:colOff>
      <xdr:row>59</xdr:row>
      <xdr:rowOff>232019</xdr:rowOff>
    </xdr:from>
    <xdr:to>
      <xdr:col>19</xdr:col>
      <xdr:colOff>518583</xdr:colOff>
      <xdr:row>82</xdr:row>
      <xdr:rowOff>98777</xdr:rowOff>
    </xdr:to>
    <xdr:graphicFrame macro="">
      <xdr:nvGraphicFramePr>
        <xdr:cNvPr id="4" name="Diagramm 3">
          <a:extLst>
            <a:ext uri="{FF2B5EF4-FFF2-40B4-BE49-F238E27FC236}">
              <a16:creationId xmlns:a16="http://schemas.microsoft.com/office/drawing/2014/main" id="{9AC299E8-71B6-4E73-9B2C-BAD569EFCA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C22E8B4C-0210-46C2-AB6C-38B9C200CEEE}"/>
            </a:ext>
          </a:extLst>
        </xdr:cNvPr>
        <xdr:cNvSpPr>
          <a:spLocks noChangeShapeType="1"/>
        </xdr:cNvSpPr>
      </xdr:nvSpPr>
      <xdr:spPr bwMode="auto">
        <a:xfrm flipH="1">
          <a:off x="14716125" y="1419225"/>
          <a:ext cx="67151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20C02594-2D3F-4B8B-816F-2504346AD283}"/>
            </a:ext>
          </a:extLst>
        </xdr:cNvPr>
        <xdr:cNvSpPr>
          <a:spLocks noChangeShapeType="1"/>
        </xdr:cNvSpPr>
      </xdr:nvSpPr>
      <xdr:spPr bwMode="auto">
        <a:xfrm>
          <a:off x="162210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6">
          <a:extLst>
            <a:ext uri="{FF2B5EF4-FFF2-40B4-BE49-F238E27FC236}">
              <a16:creationId xmlns:a16="http://schemas.microsoft.com/office/drawing/2014/main" id="{557C9F91-0A7A-4DBD-8876-BD5C3233E9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4</xdr:col>
      <xdr:colOff>1115378</xdr:colOff>
      <xdr:row>2</xdr:row>
      <xdr:rowOff>23813</xdr:rowOff>
    </xdr:from>
    <xdr:to>
      <xdr:col>11</xdr:col>
      <xdr:colOff>73343</xdr:colOff>
      <xdr:row>27</xdr:row>
      <xdr:rowOff>28575</xdr:rowOff>
    </xdr:to>
    <xdr:graphicFrame macro="">
      <xdr:nvGraphicFramePr>
        <xdr:cNvPr id="2" name="Diagramm 1">
          <a:extLst>
            <a:ext uri="{FF2B5EF4-FFF2-40B4-BE49-F238E27FC236}">
              <a16:creationId xmlns:a16="http://schemas.microsoft.com/office/drawing/2014/main" id="{CD9A4E49-9E8D-4955-BB59-808156CD06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377703</xdr:colOff>
      <xdr:row>80</xdr:row>
      <xdr:rowOff>217121</xdr:rowOff>
    </xdr:from>
    <xdr:to>
      <xdr:col>4</xdr:col>
      <xdr:colOff>147896</xdr:colOff>
      <xdr:row>110</xdr:row>
      <xdr:rowOff>42876</xdr:rowOff>
    </xdr:to>
    <xdr:graphicFrame macro="">
      <xdr:nvGraphicFramePr>
        <xdr:cNvPr id="3" name="Diagramm 2">
          <a:extLst>
            <a:ext uri="{FF2B5EF4-FFF2-40B4-BE49-F238E27FC236}">
              <a16:creationId xmlns:a16="http://schemas.microsoft.com/office/drawing/2014/main" id="{F0F5B664-4463-4609-86D3-15A9FB4117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168275</xdr:colOff>
      <xdr:row>59</xdr:row>
      <xdr:rowOff>232019</xdr:rowOff>
    </xdr:from>
    <xdr:to>
      <xdr:col>19</xdr:col>
      <xdr:colOff>518583</xdr:colOff>
      <xdr:row>82</xdr:row>
      <xdr:rowOff>98777</xdr:rowOff>
    </xdr:to>
    <xdr:graphicFrame macro="">
      <xdr:nvGraphicFramePr>
        <xdr:cNvPr id="4" name="Diagramm 3">
          <a:extLst>
            <a:ext uri="{FF2B5EF4-FFF2-40B4-BE49-F238E27FC236}">
              <a16:creationId xmlns:a16="http://schemas.microsoft.com/office/drawing/2014/main" id="{D6538A2B-5A43-4489-8D4C-D93117C2E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C2C77830-EE66-4569-A34A-102DF6AA3FC3}"/>
            </a:ext>
          </a:extLst>
        </xdr:cNvPr>
        <xdr:cNvSpPr>
          <a:spLocks noChangeShapeType="1"/>
        </xdr:cNvSpPr>
      </xdr:nvSpPr>
      <xdr:spPr bwMode="auto">
        <a:xfrm flipH="1">
          <a:off x="14716125" y="1419225"/>
          <a:ext cx="67151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1376D9DF-1E90-40DE-BD31-D9FD966A5F16}"/>
            </a:ext>
          </a:extLst>
        </xdr:cNvPr>
        <xdr:cNvSpPr>
          <a:spLocks noChangeShapeType="1"/>
        </xdr:cNvSpPr>
      </xdr:nvSpPr>
      <xdr:spPr bwMode="auto">
        <a:xfrm>
          <a:off x="162210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6">
          <a:extLst>
            <a:ext uri="{FF2B5EF4-FFF2-40B4-BE49-F238E27FC236}">
              <a16:creationId xmlns:a16="http://schemas.microsoft.com/office/drawing/2014/main" id="{67D511DB-63D3-48A2-8607-49D18526B6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10</xdr:col>
      <xdr:colOff>357187</xdr:colOff>
      <xdr:row>2</xdr:row>
      <xdr:rowOff>23813</xdr:rowOff>
    </xdr:from>
    <xdr:to>
      <xdr:col>32</xdr:col>
      <xdr:colOff>196103</xdr:colOff>
      <xdr:row>26</xdr:row>
      <xdr:rowOff>138113</xdr:rowOff>
    </xdr:to>
    <xdr:graphicFrame macro="">
      <xdr:nvGraphicFramePr>
        <xdr:cNvPr id="2" name="Diagramm 1">
          <a:extLst>
            <a:ext uri="{FF2B5EF4-FFF2-40B4-BE49-F238E27FC236}">
              <a16:creationId xmlns:a16="http://schemas.microsoft.com/office/drawing/2014/main" id="{145DFC34-0038-4DD8-A053-084DD09506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616324</xdr:colOff>
      <xdr:row>29</xdr:row>
      <xdr:rowOff>62753</xdr:rowOff>
    </xdr:from>
    <xdr:to>
      <xdr:col>32</xdr:col>
      <xdr:colOff>238125</xdr:colOff>
      <xdr:row>52</xdr:row>
      <xdr:rowOff>110378</xdr:rowOff>
    </xdr:to>
    <xdr:graphicFrame macro="">
      <xdr:nvGraphicFramePr>
        <xdr:cNvPr id="3" name="Diagramm 6">
          <a:extLst>
            <a:ext uri="{FF2B5EF4-FFF2-40B4-BE49-F238E27FC236}">
              <a16:creationId xmlns:a16="http://schemas.microsoft.com/office/drawing/2014/main" id="{86726053-03CF-4187-938F-5891B46241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333375</xdr:colOff>
      <xdr:row>29</xdr:row>
      <xdr:rowOff>104775</xdr:rowOff>
    </xdr:from>
    <xdr:to>
      <xdr:col>20</xdr:col>
      <xdr:colOff>476250</xdr:colOff>
      <xdr:row>53</xdr:row>
      <xdr:rowOff>9525</xdr:rowOff>
    </xdr:to>
    <xdr:graphicFrame macro="">
      <xdr:nvGraphicFramePr>
        <xdr:cNvPr id="4" name="Diagramm 12">
          <a:extLst>
            <a:ext uri="{FF2B5EF4-FFF2-40B4-BE49-F238E27FC236}">
              <a16:creationId xmlns:a16="http://schemas.microsoft.com/office/drawing/2014/main" id="{A2DA9508-9783-4CA3-BD90-96ADBD1E53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Usuario/Downloads/Abfall-Klima-Rechner_Endentwurf_0912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regine/Diverses%20Projekte/EU_BMU%20Pl&#228;ne-Programme/Abfall/ISWA%20Task%20Force%20GHG-SWM/EpE%20Protokoll/EpE%2012-2008%20v3.xls"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Backup%2010%20Dez%202023\02%20-%20UNIDO\GRANFPOLIS%20-%20SC\templates\Ferramenta%20ProteGEEr%20-%20GRS-GEE%20Calculadora%20Adaptada%20para%20Brasil%20-%20Ajustes%20UNIDO%20em%2005%20Jun%202024.xlsx" TargetMode="External"/><Relationship Id="rId1" Type="http://schemas.openxmlformats.org/officeDocument/2006/relationships/externalLinkPath" Target="Ferramenta%20ProteGEEr%20-%20GRS-GEE%20Calculadora%20Adaptada%20para%20Brasil%20-%20Ajustes%20UNIDO%20em%2005%20Jun%20202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sheetName val="Intro"/>
      <sheetName val="Start"/>
      <sheetName val="Recycling"/>
      <sheetName val="Disposal"/>
      <sheetName val="Costs"/>
      <sheetName val="Results SQ"/>
      <sheetName val="Results Sc1"/>
      <sheetName val="Results Sc2"/>
      <sheetName val="Results Sc3"/>
      <sheetName val="Results all"/>
      <sheetName val="Results costs all"/>
      <sheetName val="Calculation"/>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duction"/>
      <sheetName val="Transport"/>
      <sheetName val="Comb &amp; Indirectes"/>
      <sheetName val="Stockage -  Landfill"/>
      <sheetName val="Incineration"/>
      <sheetName val="Eaux usées - Wastewater"/>
      <sheetName val="Evitées -  Avoided"/>
      <sheetName val="Facteurs - Factors"/>
      <sheetName val="Facteurs recyclage - Recycling "/>
      <sheetName val="Synthèse - Synthesis"/>
      <sheetName val="Ne pas modifier - Do not modif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2">
          <cell r="B2" t="str">
            <v>Protocole de quantification des émissions de GES liées à la gestion des déchets</v>
          </cell>
          <cell r="C2" t="str">
            <v>Protocol for the quantification of GHG emissions from waste management activities1</v>
          </cell>
        </row>
        <row r="3">
          <cell r="B3" t="str">
            <v>Choose your langage / choisissez votre langue</v>
          </cell>
          <cell r="C3" t="str">
            <v>Choisissez votre langue / choose your langage:</v>
          </cell>
        </row>
        <row r="4">
          <cell r="B4" t="str">
            <v>Cet outil Excel accompagne le protocole préparé par Entreprises pour l'Environnement afin d'assister un exploitant dans son inventaire des émissions de gaz à effet de serre liées à la gestion des déchets.</v>
          </cell>
          <cell r="C4" t="str">
            <v>This Excel tool is appended to  the protocol prepared by Entreprises pour l'Environnement to assist operators in their greenhouse gas emissions inventory associated with waste management activities.</v>
          </cell>
        </row>
        <row r="5">
          <cell r="B5" t="str">
            <v>Cet outil doit être utilisé dans le cadre d'un inventaire effectué selon les principes décrits dans le protocole Word auquel ce fichier est annexé.</v>
          </cell>
          <cell r="C5" t="str">
            <v>This tool has to be used as part of an inventory done according to the principles described in the Word file protocol.</v>
          </cell>
        </row>
        <row r="6">
          <cell r="B6" t="str">
            <v xml:space="preserve">Il comporte les onglets suivants : </v>
          </cell>
          <cell r="C6" t="str">
            <v xml:space="preserve">It is made of the following sheets: </v>
          </cell>
        </row>
        <row r="7">
          <cell r="B7" t="str">
            <v>Transport</v>
          </cell>
          <cell r="C7" t="str">
            <v>Transport</v>
          </cell>
        </row>
        <row r="8">
          <cell r="B8" t="str">
            <v>Comb &amp; Indirectes</v>
          </cell>
          <cell r="C8" t="str">
            <v>Comb &amp; Indirect</v>
          </cell>
        </row>
        <row r="9">
          <cell r="B9" t="str">
            <v>Stockage (décharge)</v>
          </cell>
          <cell r="C9" t="str">
            <v>Landfilling</v>
          </cell>
        </row>
        <row r="10">
          <cell r="B10" t="str">
            <v>Incinération</v>
          </cell>
          <cell r="C10" t="str">
            <v>Incineration</v>
          </cell>
        </row>
        <row r="11">
          <cell r="B11" t="str">
            <v>Eaux Usées</v>
          </cell>
          <cell r="C11" t="str">
            <v>Wastewater</v>
          </cell>
        </row>
        <row r="12">
          <cell r="B12" t="str">
            <v>Evitées</v>
          </cell>
          <cell r="C12" t="str">
            <v>Avoided</v>
          </cell>
        </row>
        <row r="13">
          <cell r="B13" t="str">
            <v>Facteurs</v>
          </cell>
          <cell r="C13" t="str">
            <v>Factors</v>
          </cell>
        </row>
        <row r="14">
          <cell r="B14" t="str">
            <v>Synthèse</v>
          </cell>
          <cell r="C14" t="str">
            <v>Synthesis</v>
          </cell>
        </row>
        <row r="15">
          <cell r="B15" t="str">
            <v>Emissions liées à la collecte et au transport des déchets</v>
          </cell>
          <cell r="C15" t="str">
            <v>Emissions due to waste collection and transport</v>
          </cell>
        </row>
        <row r="16">
          <cell r="B16" t="str">
            <v>Emissions liées à la consommation de combustibles d'électricité et d'énergie thermique</v>
          </cell>
          <cell r="C16" t="str">
            <v>Emissions due to fuel, electricity or thermic energy consumption</v>
          </cell>
        </row>
        <row r="17">
          <cell r="B17" t="str">
            <v>Spécifications pour un calcul d'émissions d'un centre de stockage / mise en décharge des déchets</v>
          </cell>
          <cell r="C17" t="str">
            <v>Specifications for the emissions calculations for landfilling</v>
          </cell>
        </row>
        <row r="18">
          <cell r="B18" t="str">
            <v>Emissions liées à l'incinération des déchets (tous types)</v>
          </cell>
          <cell r="C18" t="str">
            <v>Emissions due to waste incineration (all types)</v>
          </cell>
        </row>
        <row r="19">
          <cell r="B19" t="str">
            <v>Emissions liées au traitement des eaux usées</v>
          </cell>
          <cell r="C19" t="str">
            <v>Emissions due to wastewater treatment</v>
          </cell>
        </row>
        <row r="20">
          <cell r="B20" t="str">
            <v>Emissions evitées lors d'un des traitements listés ci-dessus</v>
          </cell>
          <cell r="C20" t="str">
            <v>Emissions avoided during one of the above activities</v>
          </cell>
        </row>
        <row r="21">
          <cell r="B21" t="str">
            <v>Facteurs indicatifs pouvant être employés</v>
          </cell>
          <cell r="C21" t="str">
            <v>Indicative factors that can be used</v>
          </cell>
        </row>
        <row r="22">
          <cell r="B22" t="str">
            <v>Feuille récapitulative de l'inventaire</v>
          </cell>
          <cell r="C22" t="str">
            <v>Inventory recapitulative sheet</v>
          </cell>
        </row>
        <row r="23">
          <cell r="B23" t="str">
            <v>Des informations automatiques sont fournies dans les différentes cellules, permettant de remplir le formulaire.</v>
          </cell>
          <cell r="C23" t="str">
            <v>Automatic information will be provided in certain cells, helping to complete the form.</v>
          </cell>
        </row>
        <row r="24">
          <cell r="B24" t="str">
            <v xml:space="preserve">Contact EpE : </v>
          </cell>
          <cell r="C24" t="str">
            <v xml:space="preserve">EpE Contact: </v>
          </cell>
        </row>
        <row r="25">
          <cell r="B25" t="str">
            <v>50 rue de la Chaussée d'Antin</v>
          </cell>
          <cell r="C25" t="str">
            <v>50 rue de la Chaussée d'Antin</v>
          </cell>
        </row>
        <row r="26">
          <cell r="B26" t="str">
            <v>Paris 75009</v>
          </cell>
          <cell r="C26" t="str">
            <v>Paris 75009</v>
          </cell>
        </row>
        <row r="27">
          <cell r="B27" t="str">
            <v>Tél : + (33) 1 49 70 98 50</v>
          </cell>
          <cell r="C27" t="str">
            <v>Tél : + (33) 1 49 70 98 50</v>
          </cell>
        </row>
        <row r="28">
          <cell r="B28" t="str">
            <v>Fax : + (33) 1 49 70 02 50</v>
          </cell>
          <cell r="C28" t="str">
            <v>Fax : + (33) 1 49 70 02 50</v>
          </cell>
        </row>
        <row r="29">
          <cell r="B29" t="str">
            <v>E-mail : contact@epe-asso.org</v>
          </cell>
          <cell r="C29" t="str">
            <v>E-mail : contact@epe-asso.org</v>
          </cell>
        </row>
        <row r="30">
          <cell r="B30" t="str">
            <v>http://www.epe-asso.org</v>
          </cell>
          <cell r="C30" t="str">
            <v>http://www.epe-asso.org</v>
          </cell>
        </row>
        <row r="31">
          <cell r="B31" t="str">
            <v>Décembre 2008</v>
          </cell>
          <cell r="C31" t="str">
            <v>December 2008</v>
          </cell>
        </row>
        <row r="32">
          <cell r="B32" t="str">
            <v>Facteurs recyclage</v>
          </cell>
          <cell r="C32" t="str">
            <v>Recycling factors</v>
          </cell>
        </row>
        <row r="33">
          <cell r="B33" t="str">
            <v>Facteurs indicatifs pour le calcul des émissions évitées liées à la valorisation matière</v>
          </cell>
          <cell r="C33" t="str">
            <v>Indicative factors for avoided emissions related to material  recovery</v>
          </cell>
        </row>
        <row r="34">
          <cell r="C34">
            <v>33</v>
          </cell>
        </row>
        <row r="35">
          <cell r="C35">
            <v>34</v>
          </cell>
        </row>
        <row r="36">
          <cell r="C36">
            <v>35</v>
          </cell>
        </row>
        <row r="37">
          <cell r="C37">
            <v>36</v>
          </cell>
        </row>
        <row r="38">
          <cell r="C38">
            <v>37</v>
          </cell>
        </row>
        <row r="39">
          <cell r="C39">
            <v>38</v>
          </cell>
        </row>
        <row r="40">
          <cell r="C40">
            <v>39</v>
          </cell>
        </row>
        <row r="41">
          <cell r="C41">
            <v>40</v>
          </cell>
        </row>
        <row r="42">
          <cell r="C42">
            <v>41</v>
          </cell>
        </row>
        <row r="43">
          <cell r="C43">
            <v>42</v>
          </cell>
        </row>
        <row r="44">
          <cell r="C44">
            <v>43</v>
          </cell>
        </row>
        <row r="45">
          <cell r="C45">
            <v>44</v>
          </cell>
        </row>
        <row r="46">
          <cell r="C46">
            <v>45</v>
          </cell>
        </row>
        <row r="47">
          <cell r="C47">
            <v>46</v>
          </cell>
        </row>
        <row r="48">
          <cell r="C48">
            <v>47</v>
          </cell>
        </row>
        <row r="49">
          <cell r="C49">
            <v>48</v>
          </cell>
        </row>
        <row r="50">
          <cell r="C50">
            <v>49</v>
          </cell>
        </row>
        <row r="51">
          <cell r="B51" t="str">
            <v>EMISSIONS DE GAZ A EFFET DE SERRE LIEES AUX TRANSPORTS</v>
          </cell>
          <cell r="C51" t="str">
            <v>GREENHOUSE GAS EMISSIONS DUE TO TRANSPORTS</v>
          </cell>
        </row>
        <row r="52">
          <cell r="B52" t="str">
            <v>Ces tableaux sont extraits du Module GES Transports élaboré conjointement par EpE et l'ADEME</v>
          </cell>
          <cell r="C52" t="str">
            <v>These tables are extracted for the GHG emissions calculation tool from transport activities developped together by EpE and ADEME</v>
          </cell>
        </row>
        <row r="53">
          <cell r="B53" t="str">
            <v>CODE COULEURS :</v>
          </cell>
          <cell r="C53" t="str">
            <v>COLOUR CODE:</v>
          </cell>
        </row>
        <row r="54">
          <cell r="B54" t="str">
            <v>Emissions directes des moyens de transport détenus en propre ou opérés par l'entité effectuant le reporting</v>
          </cell>
          <cell r="C54" t="str">
            <v>Direct emissions from transportation vehicles owned or operated by the reporting entity</v>
          </cell>
        </row>
        <row r="55">
          <cell r="B55" t="str">
            <v>Emissions associées à la production d'électricité consommée par des véhicules électriques ou hybrides opérés par l'entité</v>
          </cell>
          <cell r="C55" t="str">
            <v>Emissions due to the production of electricity that is used by the electric or hybrid vehicles operated by the entity</v>
          </cell>
        </row>
        <row r="56">
          <cell r="B56" t="str">
            <v>Emissions des moyens de transport détenus ou opérés par un sous-traitant de l'entité effectuant le reporting</v>
          </cell>
          <cell r="C56" t="str">
            <v>Emissions from transportation vehicles owned or operated by a subcontractor of the reporting entity</v>
          </cell>
        </row>
        <row r="57">
          <cell r="B57" t="str">
            <v>Cet onglet doit être utilisé pour déterminer les émissions liées au transport. Doivent être reportées aussi bien les émissions directes liées aux moyens détenus ou opérés par l'entité, les émissions indirectes des véhicules électriques, et les émissions i</v>
          </cell>
          <cell r="C57" t="str">
            <v>This sheet has to be used to assess emissions from transport. Direct emissions from vehicles owned or operated by the entity, indirect emissions from electric vehicles and indirect emissions from contracted transport operations should also be reported. Th</v>
          </cell>
        </row>
        <row r="58">
          <cell r="B58" t="str">
            <v>1 - Fret routier : calcul à partir des achats de carburants (unité : L)</v>
          </cell>
          <cell r="C58" t="str">
            <v>1 - Road freightage: calculated from fuel puchases (unit: L)</v>
          </cell>
        </row>
        <row r="59">
          <cell r="B59" t="str">
            <v>Consommation</v>
          </cell>
          <cell r="C59" t="str">
            <v>Consumption</v>
          </cell>
        </row>
        <row r="60">
          <cell r="B60" t="str">
            <v>kg CO2-e</v>
          </cell>
          <cell r="C60" t="str">
            <v>kg CO2-e</v>
          </cell>
        </row>
        <row r="61">
          <cell r="B61" t="str">
            <v>t</v>
          </cell>
          <cell r="C61" t="str">
            <v>t</v>
          </cell>
        </row>
        <row r="62">
          <cell r="B62" t="str">
            <v>(litre)</v>
          </cell>
          <cell r="C62" t="str">
            <v>(litre)</v>
          </cell>
        </row>
        <row r="63">
          <cell r="B63" t="str">
            <v>par litre</v>
          </cell>
          <cell r="C63" t="str">
            <v>per litre</v>
          </cell>
        </row>
        <row r="64">
          <cell r="B64" t="str">
            <v>CO2-e</v>
          </cell>
          <cell r="C64" t="str">
            <v>CO2-e</v>
          </cell>
        </row>
        <row r="65">
          <cell r="B65" t="str">
            <v>moyens détenus,</v>
          </cell>
          <cell r="C65" t="str">
            <v>owned,</v>
          </cell>
        </row>
        <row r="66">
          <cell r="B66" t="str">
            <v>contrôlés ou</v>
          </cell>
          <cell r="C66" t="str">
            <v xml:space="preserve">
controlled or </v>
          </cell>
        </row>
        <row r="67">
          <cell r="B67" t="str">
            <v>opérés</v>
          </cell>
          <cell r="C67" t="str">
            <v xml:space="preserve">operated </v>
          </cell>
        </row>
        <row r="68">
          <cell r="B68" t="str">
            <v>activité externalisée</v>
          </cell>
          <cell r="C68" t="str">
            <v>outsourced goods</v>
          </cell>
        </row>
        <row r="69">
          <cell r="B69" t="str">
            <v>de transport</v>
          </cell>
          <cell r="C69" t="str">
            <v xml:space="preserve"> transportation</v>
          </cell>
        </row>
        <row r="70">
          <cell r="B70" t="str">
            <v>de marchandises</v>
          </cell>
          <cell r="C70" t="str">
            <v xml:space="preserve"> activity</v>
          </cell>
        </row>
        <row r="71">
          <cell r="B71" t="str">
            <v>Combustible</v>
          </cell>
          <cell r="C71" t="str">
            <v>Fuel</v>
          </cell>
        </row>
        <row r="72">
          <cell r="B72" t="str">
            <v>Supercarburant</v>
          </cell>
          <cell r="C72" t="str">
            <v>Gasoline</v>
          </cell>
        </row>
        <row r="73">
          <cell r="B73" t="str">
            <v>Gazole</v>
          </cell>
          <cell r="C73" t="str">
            <v>Diesel oil</v>
          </cell>
        </row>
        <row r="74">
          <cell r="B74" t="str">
            <v>GPL</v>
          </cell>
          <cell r="C74" t="str">
            <v>LPG</v>
          </cell>
        </row>
        <row r="75">
          <cell r="B75" t="str">
            <v>Autre carburant</v>
          </cell>
          <cell r="C75" t="str">
            <v>Other fuel</v>
          </cell>
        </row>
        <row r="76">
          <cell r="B76" t="str">
            <v>Total</v>
          </cell>
          <cell r="C76" t="str">
            <v>Total</v>
          </cell>
        </row>
        <row r="77">
          <cell r="B77" t="str">
            <v>2 - Fret routier : calcul à partir des achats de carburants (unité : tonnes)</v>
          </cell>
          <cell r="C77" t="str">
            <v>2 - Road freightage: calculated from fuels' puchases (unit: tonnes)</v>
          </cell>
        </row>
        <row r="78">
          <cell r="B78" t="str">
            <v>(tonnes)</v>
          </cell>
          <cell r="C78" t="str">
            <v>(tons)</v>
          </cell>
        </row>
        <row r="79">
          <cell r="B79" t="str">
            <v>par tonne</v>
          </cell>
          <cell r="C79" t="str">
            <v>per ton</v>
          </cell>
        </row>
        <row r="80">
          <cell r="B80" t="str">
            <v>Gaz naturel</v>
          </cell>
          <cell r="C80" t="str">
            <v>Natural gas</v>
          </cell>
        </row>
        <row r="81">
          <cell r="B81" t="str">
            <v>3 - Fret routier à traction électrique : calcul à partir des achats d'électricité</v>
          </cell>
          <cell r="C81" t="str">
            <v>3 - Road freightage with electrical traction: calculated from electricity purchases</v>
          </cell>
        </row>
        <row r="82">
          <cell r="B82" t="str">
            <v>(MWh)</v>
          </cell>
          <cell r="C82" t="str">
            <v>(MWh)</v>
          </cell>
        </row>
        <row r="83">
          <cell r="B83" t="str">
            <v>4 - Fret routier : calcul à partir des véhicules.km et des consommations moyennes</v>
          </cell>
          <cell r="C83" t="str">
            <v>4 - Road freightage: calculated from vehicles.km and average consumptions</v>
          </cell>
        </row>
        <row r="84">
          <cell r="B84" t="str">
            <v>véhicule.km</v>
          </cell>
          <cell r="C84" t="str">
            <v>vehicle.km</v>
          </cell>
        </row>
        <row r="85">
          <cell r="B85" t="str">
            <v>Désignation du véhicule</v>
          </cell>
          <cell r="C85" t="str">
            <v>Vehicle's designation</v>
          </cell>
        </row>
        <row r="86">
          <cell r="B86" t="str">
            <v>Véhicule essence, 1</v>
          </cell>
          <cell r="C86" t="str">
            <v>Gasoline vehicle, 1</v>
          </cell>
        </row>
        <row r="87">
          <cell r="B87" t="str">
            <v>Véhicule essence, 2</v>
          </cell>
          <cell r="C87" t="str">
            <v>Gasoline vehicle, 2</v>
          </cell>
        </row>
        <row r="88">
          <cell r="B88" t="str">
            <v>Véhicule essence, 3</v>
          </cell>
          <cell r="C88" t="str">
            <v>Gasoline vehicle, 3</v>
          </cell>
        </row>
        <row r="89">
          <cell r="B89" t="str">
            <v>Véhicule diesel, 1</v>
          </cell>
          <cell r="C89" t="str">
            <v>Diesel oil vehicle, 1</v>
          </cell>
        </row>
        <row r="90">
          <cell r="B90" t="str">
            <v>Véhicule diesel, 2</v>
          </cell>
          <cell r="C90" t="str">
            <v>Diesel oil vehicle, 2</v>
          </cell>
        </row>
        <row r="91">
          <cell r="B91" t="str">
            <v>Véhicule diesel, 3</v>
          </cell>
          <cell r="C91" t="str">
            <v>Diesel oil vehicle, 3</v>
          </cell>
        </row>
        <row r="92">
          <cell r="B92" t="str">
            <v>Autre véhicule, 1</v>
          </cell>
          <cell r="C92" t="str">
            <v>Other vehicle, 1</v>
          </cell>
        </row>
        <row r="93">
          <cell r="B93" t="str">
            <v>Autre véhicule, 2</v>
          </cell>
          <cell r="C93" t="str">
            <v>Other vehicle, 2</v>
          </cell>
        </row>
        <row r="94">
          <cell r="B94" t="str">
            <v>Autre véhicule, 3</v>
          </cell>
          <cell r="C94" t="str">
            <v>Other vehicle, 3</v>
          </cell>
        </row>
        <row r="95">
          <cell r="B95" t="str">
            <v>litres</v>
          </cell>
          <cell r="C95" t="str">
            <v>litres</v>
          </cell>
        </row>
        <row r="96">
          <cell r="B96" t="str">
            <v>aux 100</v>
          </cell>
          <cell r="C96" t="str">
            <v>per 100 km</v>
          </cell>
        </row>
        <row r="97">
          <cell r="B97" t="str">
            <v>kg CO2-e</v>
          </cell>
          <cell r="C97" t="str">
            <v>kg CO2-e</v>
          </cell>
        </row>
        <row r="98">
          <cell r="B98" t="str">
            <v>par litre</v>
          </cell>
          <cell r="C98" t="str">
            <v>per litre</v>
          </cell>
        </row>
        <row r="99">
          <cell r="B99" t="str">
            <v>t</v>
          </cell>
          <cell r="C99" t="str">
            <v>t</v>
          </cell>
        </row>
        <row r="100">
          <cell r="B100" t="str">
            <v>CO2-e</v>
          </cell>
          <cell r="C100" t="str">
            <v>CO2-e</v>
          </cell>
        </row>
        <row r="101">
          <cell r="B101" t="str">
            <v>EMISSIONS PAR ORIGINE</v>
          </cell>
          <cell r="C101" t="str">
            <v>EMISSIONS BY ORIGIN</v>
          </cell>
        </row>
        <row r="102">
          <cell r="B102" t="str">
            <v>Emissions directes des moyens de transport détenus en propre ou opérés par l'entité effectuant le reporting</v>
          </cell>
          <cell r="C102" t="str">
            <v>Direct emissions from transportation vehicles owned or operated by the reporting entity</v>
          </cell>
        </row>
        <row r="103">
          <cell r="B103" t="str">
            <v>Emissions associées à la production d'électricité consommée par des véhicules électriques ou hybrides opérés par l'entité</v>
          </cell>
          <cell r="C103" t="str">
            <v>Emissions due to the production of electricity that is used by the electric or hybrid vehicles operated by the entity</v>
          </cell>
        </row>
        <row r="104">
          <cell r="B104" t="str">
            <v>Emissions des moyens de transport détenus ou opérés par un sous-traitant de l'entité effectuant le reporting</v>
          </cell>
          <cell r="C104" t="str">
            <v>Emissions of transport means owned or operated by a sub-contractor of the entity performing the inventory</v>
          </cell>
        </row>
        <row r="105">
          <cell r="B105" t="str">
            <v>Total émissions</v>
          </cell>
          <cell r="C105" t="str">
            <v>Total emissions</v>
          </cell>
        </row>
        <row r="106">
          <cell r="B106" t="str">
            <v>tonnes CO2-e</v>
          </cell>
          <cell r="C106" t="str">
            <v>tonnes CO2-e</v>
          </cell>
        </row>
        <row r="107">
          <cell r="B107" t="str">
            <v>Synthèse</v>
          </cell>
          <cell r="C107" t="str">
            <v>Global balance</v>
          </cell>
        </row>
        <row r="108">
          <cell r="B108" t="str">
            <v>France, usage Transport</v>
          </cell>
          <cell r="C108" t="str">
            <v>France, Transport use</v>
          </cell>
        </row>
        <row r="109">
          <cell r="C109">
            <v>108</v>
          </cell>
        </row>
        <row r="110">
          <cell r="C110">
            <v>109</v>
          </cell>
        </row>
        <row r="111">
          <cell r="C111">
            <v>110</v>
          </cell>
        </row>
        <row r="112">
          <cell r="C112">
            <v>111</v>
          </cell>
        </row>
        <row r="113">
          <cell r="C113">
            <v>112</v>
          </cell>
        </row>
        <row r="114">
          <cell r="C114">
            <v>113</v>
          </cell>
        </row>
        <row r="115">
          <cell r="C115">
            <v>114</v>
          </cell>
        </row>
        <row r="116">
          <cell r="C116">
            <v>115</v>
          </cell>
        </row>
        <row r="117">
          <cell r="C117">
            <v>116</v>
          </cell>
        </row>
        <row r="118">
          <cell r="C118">
            <v>117</v>
          </cell>
        </row>
        <row r="119">
          <cell r="C119">
            <v>118</v>
          </cell>
        </row>
        <row r="120">
          <cell r="C120">
            <v>119</v>
          </cell>
        </row>
        <row r="121">
          <cell r="C121">
            <v>120</v>
          </cell>
        </row>
        <row r="122">
          <cell r="C122">
            <v>121</v>
          </cell>
        </row>
        <row r="123">
          <cell r="C123">
            <v>122</v>
          </cell>
        </row>
        <row r="124">
          <cell r="C124">
            <v>123</v>
          </cell>
        </row>
        <row r="125">
          <cell r="C125">
            <v>124</v>
          </cell>
        </row>
        <row r="126">
          <cell r="C126">
            <v>125</v>
          </cell>
        </row>
        <row r="127">
          <cell r="C127">
            <v>126</v>
          </cell>
        </row>
        <row r="128">
          <cell r="C128">
            <v>127</v>
          </cell>
        </row>
        <row r="129">
          <cell r="C129">
            <v>128</v>
          </cell>
        </row>
        <row r="130">
          <cell r="C130">
            <v>129</v>
          </cell>
        </row>
        <row r="131">
          <cell r="C131">
            <v>130</v>
          </cell>
        </row>
        <row r="132">
          <cell r="B132" t="str">
            <v>EMISSIONS DE GAZ A EFFET DE SERRE DIRECTES (CONSOMMATION DE COMBUSTIBLE) ET INDIRECTES (CONSOMMATION D'ELECTRICITE ET ENERGIE THERMIQUE)
(NON SPECIFIQUES A LA FILIERE)</v>
          </cell>
          <cell r="C132" t="str">
            <v>DIRECT GREENHOUSE GAS EMISSIONS (FUEL CONSUMPTION) AND INDIRECT EMISSIONS (ELECTRICITY AND THERMAL ENERGY CONSUMPTION)
(NOT SECTOR SPECIFIC)</v>
          </cell>
        </row>
        <row r="133">
          <cell r="B133" t="str">
            <v>CODE COULEURS :</v>
          </cell>
          <cell r="C133" t="str">
            <v>COLOUR CODE:</v>
          </cell>
        </row>
        <row r="134">
          <cell r="B134" t="str">
            <v>Valeurs par défaut</v>
          </cell>
          <cell r="C134" t="str">
            <v>Default values</v>
          </cell>
        </row>
        <row r="135">
          <cell r="B135" t="str">
            <v>Valeurs calculées</v>
          </cell>
          <cell r="C135" t="str">
            <v>Calculated values</v>
          </cell>
        </row>
        <row r="136">
          <cell r="B136" t="str">
            <v>Valeurs à saisir</v>
          </cell>
          <cell r="C136" t="str">
            <v>Values to enter</v>
          </cell>
        </row>
        <row r="137">
          <cell r="B137" t="str">
            <v>Ce module s'adresse à l'ensemble des consommations d'énergie, quelle que soit la filière de traitement suivie : il peut s'agir des consommations de combustible en appoint sur les incinérateurs, pour le fonctionnement de moteurs ou turbines sur des CSD, l'</v>
          </cell>
          <cell r="C137" t="str">
            <v>This sheet is intended for all energy consumption, whatever the waste treatment method is: it can be additional fuel consumption for incinerators or for engines or turbines in landfills, the use of liquid fuel, gas or electricity in wastewater treatment p</v>
          </cell>
        </row>
        <row r="138">
          <cell r="B138" t="str">
            <v>Emissions directes liées aux installations de combustion fixes et aux équipements mobiles sur site</v>
          </cell>
          <cell r="C138" t="str">
            <v>Direct emissions from permanent combustion facilities and on-site mobile equipment</v>
          </cell>
        </row>
        <row r="139">
          <cell r="B139" t="str">
            <v>1 - Calcul à partir des tonnages de combustibles</v>
          </cell>
          <cell r="C139" t="str">
            <v>1 - Calculation from fuels tonnages</v>
          </cell>
        </row>
        <row r="140">
          <cell r="B140" t="str">
            <v>Type de combustible</v>
          </cell>
          <cell r="C140" t="str">
            <v>Fuel type</v>
          </cell>
        </row>
        <row r="141">
          <cell r="B141" t="str">
            <v>Fioul domestique</v>
          </cell>
          <cell r="C141" t="str">
            <v>Gas oil</v>
          </cell>
        </row>
        <row r="142">
          <cell r="B142" t="str">
            <v>Gasoil</v>
          </cell>
          <cell r="C142" t="str">
            <v xml:space="preserve">Diesel </v>
          </cell>
        </row>
        <row r="143">
          <cell r="B143" t="str">
            <v>Fioul lourd</v>
          </cell>
          <cell r="C143" t="str">
            <v>Heavy Fuel oil</v>
          </cell>
        </row>
        <row r="144">
          <cell r="B144" t="str">
            <v>Gaz naturel</v>
          </cell>
          <cell r="C144" t="str">
            <v>Natural gas</v>
          </cell>
        </row>
        <row r="145">
          <cell r="B145" t="str">
            <v>Autres (à préciser)</v>
          </cell>
          <cell r="C145" t="str">
            <v>Others (to be specified)</v>
          </cell>
        </row>
        <row r="146">
          <cell r="B146" t="str">
            <v>Quantité utilisée</v>
          </cell>
          <cell r="C146" t="str">
            <v>Used quantities</v>
          </cell>
        </row>
        <row r="147">
          <cell r="B147" t="str">
            <v>Facteur d'émission</v>
          </cell>
          <cell r="C147" t="str">
            <v>Emission factor</v>
          </cell>
        </row>
        <row r="148">
          <cell r="B148" t="str">
            <v>Emissions brutes prises en compte</v>
          </cell>
          <cell r="C148" t="str">
            <v>CO2 gross accounting</v>
          </cell>
        </row>
        <row r="149">
          <cell r="B149" t="str">
            <v>Prise en compte</v>
          </cell>
          <cell r="C149" t="str">
            <v>Accounting</v>
          </cell>
        </row>
        <row r="150">
          <cell r="B150" t="str">
            <v>Emissions directes</v>
          </cell>
          <cell r="C150" t="str">
            <v>CO2 net emissions</v>
          </cell>
        </row>
        <row r="151">
          <cell r="B151" t="str">
            <v>brutes de CO2</v>
          </cell>
          <cell r="C151" t="str">
            <v>direct emissions</v>
          </cell>
        </row>
        <row r="152">
          <cell r="B152" t="str">
            <v>nettes de CO2</v>
          </cell>
          <cell r="C152" t="str">
            <v>direct emissions</v>
          </cell>
        </row>
        <row r="153">
          <cell r="B153" t="str">
            <v>tonnes</v>
          </cell>
          <cell r="C153" t="str">
            <v>tons</v>
          </cell>
        </row>
        <row r="154">
          <cell r="B154" t="str">
            <v>2 - Calcul à partir des volumes de combustibles</v>
          </cell>
          <cell r="C154" t="str">
            <v>2 - Calculation from fuels' volume</v>
          </cell>
        </row>
        <row r="155">
          <cell r="B155" t="str">
            <v>(0 ou 100 %)</v>
          </cell>
          <cell r="C155" t="str">
            <v>(0 or 100%)</v>
          </cell>
        </row>
        <row r="156">
          <cell r="B156" t="str">
            <v>* les facteurs par défaut sont ceux du GIEC - Vous pouvez les modifier (voir autres facteurs à l'onglet 'Facteurs')</v>
          </cell>
          <cell r="C156" t="str">
            <v>* default factors are the GIEC factors. These can be revised (see other factors in the 'Factors' thumbnail)</v>
          </cell>
        </row>
        <row r="157">
          <cell r="B157" t="str">
            <v>Emissions indirectes</v>
          </cell>
          <cell r="C157" t="str">
            <v>Indirect emissions</v>
          </cell>
        </row>
        <row r="158">
          <cell r="B158" t="str">
            <v>3 - Emissions indirectes liées à la consommation d'électricité ou de chaleur achetée</v>
          </cell>
          <cell r="C158" t="str">
            <v>3 - Indirect emissions from electricity or purchased heat consumption</v>
          </cell>
        </row>
        <row r="159">
          <cell r="B159" t="str">
            <v>Zone de production de l'électricité</v>
          </cell>
          <cell r="C159" t="str">
            <v xml:space="preserve">Consumed electricy </v>
          </cell>
        </row>
        <row r="160">
          <cell r="B160" t="str">
            <v xml:space="preserve"> ou de la chaleur consommée</v>
          </cell>
          <cell r="C160" t="str">
            <v>or heat production area</v>
          </cell>
        </row>
        <row r="161">
          <cell r="B161" t="str">
            <v>* voir les facteurs proposés à l'onglet 'Facteurs'</v>
          </cell>
          <cell r="C161" t="str">
            <v>* see factors given in the 'Factors' tab</v>
          </cell>
        </row>
        <row r="162">
          <cell r="B162" t="str">
            <v>Emissions indirectes nettes</v>
          </cell>
          <cell r="C162" t="str">
            <v>Indirect net emissions</v>
          </cell>
        </row>
        <row r="163">
          <cell r="B163" t="str">
            <v>Emissions directes de CO2</v>
          </cell>
          <cell r="C163" t="str">
            <v>Direct CO2 emissions</v>
          </cell>
        </row>
        <row r="164">
          <cell r="C164">
            <v>163</v>
          </cell>
        </row>
        <row r="165">
          <cell r="C165">
            <v>164</v>
          </cell>
        </row>
        <row r="166">
          <cell r="C166">
            <v>165</v>
          </cell>
        </row>
        <row r="167">
          <cell r="C167">
            <v>166</v>
          </cell>
        </row>
        <row r="168">
          <cell r="C168">
            <v>167</v>
          </cell>
        </row>
        <row r="169">
          <cell r="C169">
            <v>168</v>
          </cell>
        </row>
        <row r="170">
          <cell r="C170">
            <v>169</v>
          </cell>
        </row>
        <row r="171">
          <cell r="C171">
            <v>170</v>
          </cell>
        </row>
        <row r="172">
          <cell r="C172">
            <v>171</v>
          </cell>
        </row>
        <row r="173">
          <cell r="C173">
            <v>172</v>
          </cell>
        </row>
        <row r="174">
          <cell r="C174">
            <v>173</v>
          </cell>
        </row>
        <row r="175">
          <cell r="C175">
            <v>174</v>
          </cell>
        </row>
        <row r="176">
          <cell r="C176">
            <v>175</v>
          </cell>
        </row>
        <row r="177">
          <cell r="C177">
            <v>176</v>
          </cell>
        </row>
        <row r="178">
          <cell r="C178">
            <v>177</v>
          </cell>
        </row>
        <row r="179">
          <cell r="C179">
            <v>178</v>
          </cell>
        </row>
        <row r="180">
          <cell r="C180">
            <v>179</v>
          </cell>
        </row>
        <row r="181">
          <cell r="B181" t="str">
            <v>EMISSIONS DE GAZ A EFFET DE SERRE LIEES AUX CSD 
(CENTRE DE STOCKAGE / MISE EN DECHARGE DES DECHETS)</v>
          </cell>
          <cell r="C181" t="str">
            <v>GREENHOUSE GAS EMISSIONS FROM LANDFILLS 
(LANDFILLING)</v>
          </cell>
        </row>
        <row r="182">
          <cell r="B182" t="str">
            <v>Emissions directes liées aux CSD</v>
          </cell>
          <cell r="C182" t="str">
            <v>Direct emissions from landfills</v>
          </cell>
        </row>
        <row r="183">
          <cell r="B183" t="str">
            <v>1 - Calcul à partir de modèles existants</v>
          </cell>
          <cell r="C183" t="str">
            <v>1 - Calculation from existing models</v>
          </cell>
        </row>
        <row r="184">
          <cell r="B184" t="str">
            <v>Afin de calculer les émissions de GES des centres de stockage de déchets, l'entité se référera aux méthodologies réglementaires préconisées par les autorités administratives du pays où est situé le(s) site(s).</v>
          </cell>
          <cell r="C184" t="str">
            <v xml:space="preserve">To calculate GHG emissions from landfills the entity should refer to the regulatory methologies recommended  by the competent authorities of the country where the site(s) is (are) located. </v>
          </cell>
        </row>
        <row r="185">
          <cell r="B185" t="str">
            <v>Par défaut, l'entité pourra employer l'un des modèles ci-dessous.</v>
          </cell>
          <cell r="C185" t="str">
            <v>By default, the entity could use one of the following models.</v>
          </cell>
        </row>
        <row r="186">
          <cell r="B186" t="str">
            <v>France</v>
          </cell>
          <cell r="C186" t="str">
            <v>France</v>
          </cell>
        </row>
        <row r="187">
          <cell r="B187" t="str">
            <v>USA</v>
          </cell>
          <cell r="C187" t="str">
            <v>USA</v>
          </cell>
        </row>
        <row r="188">
          <cell r="B188" t="str">
            <v>Royaume Uni</v>
          </cell>
          <cell r="C188" t="str">
            <v>United Kingdom</v>
          </cell>
        </row>
        <row r="189">
          <cell r="B189" t="str">
            <v>GIEC</v>
          </cell>
          <cell r="C189" t="str">
            <v>IPCC</v>
          </cell>
        </row>
        <row r="190">
          <cell r="B190" t="str">
            <v>Modèle ADEME</v>
          </cell>
          <cell r="C190" t="str">
            <v>ADEME Model</v>
          </cell>
        </row>
        <row r="191">
          <cell r="B191" t="str">
            <v>LandGEM</v>
          </cell>
          <cell r="C191" t="str">
            <v>LandGEM</v>
          </cell>
        </row>
        <row r="192">
          <cell r="B192" t="str">
            <v>GasSIM</v>
          </cell>
          <cell r="C192" t="str">
            <v>GasSIM</v>
          </cell>
        </row>
        <row r="193">
          <cell r="B193" t="str">
            <v>Modèle Tier II</v>
          </cell>
          <cell r="C193" t="str">
            <v>Tier II Model</v>
          </cell>
        </row>
        <row r="194">
          <cell r="B194" t="str">
            <v>"Outil de calcul des émissions dans l’air de CH4, CO2, SOx, NOx
issues des centres de stockage de déchets ménagers et assimilés"</v>
          </cell>
          <cell r="C194" t="str">
            <v>"Outil de calcul des émissions dans l’air de CH4, CO2, SOx, NOx
issues des centres de stockage de déchets ménagers et assimilés"</v>
          </cell>
        </row>
        <row r="195">
          <cell r="B195" t="str">
            <v>www.epa.gov/ttn/catc/products.html</v>
          </cell>
          <cell r="C195" t="str">
            <v>www.epa.gov/ttn/catc/products.html</v>
          </cell>
        </row>
        <row r="196">
          <cell r="B196" t="str">
            <v>www.gassim.co.uk/</v>
          </cell>
          <cell r="C196" t="str">
            <v>www.gassim.co.uk/</v>
          </cell>
        </row>
        <row r="197">
          <cell r="B197" t="str">
            <v>http://www.ipcc-nggip.iges.or.jp/public/gl/invs1.htm</v>
          </cell>
          <cell r="C197" t="str">
            <v>http://www.ipcc-nggip.iges.or.jp/public/gl/invs1.htm</v>
          </cell>
        </row>
        <row r="198">
          <cell r="B198" t="str">
            <v>Le calcul sera effectué pour les sites en activité</v>
          </cell>
          <cell r="C198" t="str">
            <v>Calculation to be made for operating sites.</v>
          </cell>
        </row>
        <row r="199">
          <cell r="B199" t="str">
            <v>2 - Calcul à partir d'un modèle développé en interne</v>
          </cell>
          <cell r="C199" t="str">
            <v>2 - Calculation from a model drawn up internally</v>
          </cell>
        </row>
        <row r="200">
          <cell r="B200" t="str">
            <v>Un exploitant peut avoir recours à un autre modèle que ceux listés ci-dessus. Ce modèle doit présenter a minima les caractéristiques suivantes :</v>
          </cell>
          <cell r="C200" t="str">
            <v>An operator could use a different model from the ones listed above. This model needs to present at least the following caracteristics:</v>
          </cell>
        </row>
        <row r="201">
          <cell r="B201" t="str">
            <v xml:space="preserve">1) Ce modèle doit faire appel à une équation cinétique sur le modèle de celle rappelée ci-dessous à titre d'exemple </v>
          </cell>
          <cell r="C201" t="str">
            <v xml:space="preserve">1) This model has to resort to a kinetic equation on the model of the equation presented below as an example </v>
          </cell>
        </row>
        <row r="202">
          <cell r="B202" t="str">
            <v>Quantité de méthane produite par an (Nm3 / an)</v>
          </cell>
          <cell r="C202" t="str">
            <v>Quantity of methane produced per year (Nm3/year)</v>
          </cell>
        </row>
        <row r="203">
          <cell r="B203" t="str">
            <v>pouvoir méthanogène (Nm3 CH4 / t de déchets)</v>
          </cell>
          <cell r="C203" t="str">
            <v>methane generation potential (Nm3 CH4 / t of waste)</v>
          </cell>
        </row>
        <row r="204">
          <cell r="B204" t="str">
            <v>tonnage de déchets enfouis (t)</v>
          </cell>
          <cell r="C204" t="str">
            <v>tonnes of landfilled waste (t)</v>
          </cell>
        </row>
        <row r="205">
          <cell r="B205" t="str">
            <v>constante cinétique (an-1)</v>
          </cell>
          <cell r="C205" t="str">
            <v>kinetic constant (year-1)</v>
          </cell>
        </row>
        <row r="206">
          <cell r="B206" t="str">
            <v>année où les déchets ont été enfouis</v>
          </cell>
          <cell r="C206" t="str">
            <v>year when waste was landfilled</v>
          </cell>
        </row>
        <row r="207">
          <cell r="B207" t="str">
            <v>année de l’inventaire des émissions (t ≥ x)</v>
          </cell>
          <cell r="C207" t="str">
            <v>year of emissions inventory (t ≥ x)</v>
          </cell>
        </row>
        <row r="208">
          <cell r="B208" t="str">
            <v>2) Il ne doit pas avoir recours à des facteurs d'émissions directs appliqués aux tonnages de déchets</v>
          </cell>
          <cell r="C208" t="str">
            <v>2) It should not resort to direct emission factors that would be applied to waste tonnages</v>
          </cell>
        </row>
        <row r="209">
          <cell r="B209" t="str">
            <v>3) Il doit tenir compte de la composition des déchets</v>
          </cell>
          <cell r="C209" t="str">
            <v>3) It should consider waste's composition</v>
          </cell>
        </row>
        <row r="210">
          <cell r="B210" t="str">
            <v>4) Il doit clairement préciser les règles de prise en compte des émissions diffuses et des facteurs d'oxydation</v>
          </cell>
          <cell r="C210" t="str">
            <v>4) It should clearly specify the rules followed for diffuse emissions and oxidation factors</v>
          </cell>
        </row>
        <row r="211">
          <cell r="B211" t="str">
            <v>5) Il doit être publié, reconnu et disponible dans la litérature scientifique et technique</v>
          </cell>
          <cell r="C211" t="str">
            <v>5) It should be published, accepted and available in scientific and technical papers</v>
          </cell>
        </row>
        <row r="212">
          <cell r="B212" t="str">
            <v xml:space="preserve">6) La teneur en méthane du biogaz doit être basée sur des analyses spécifiques et doit éviter autant que possible </v>
          </cell>
          <cell r="C212" t="str">
            <v>6) The methane content of biogas should be based on specific analysis and avoid standard values as much as possible</v>
          </cell>
        </row>
        <row r="213">
          <cell r="B213" t="str">
            <v>les valeurs standards</v>
          </cell>
        </row>
        <row r="214">
          <cell r="B214" t="str">
            <v>3 - Calcul des émissions de CO2 liées aux combustibles utilisés</v>
          </cell>
          <cell r="C214" t="str">
            <v>3 - Calculation of CO2 emissions from used fuels</v>
          </cell>
        </row>
        <row r="215">
          <cell r="B215" t="str">
            <v>Si vous utilisez des combustibles fossiles pour alimenter des installations thermiques (moteurs, compresseurs, chaudières…), vous devez calculer les émissions correspondantes à l'onglet 'Comb &amp; Indirectes'.</v>
          </cell>
          <cell r="C215" t="str">
            <v>If you use fossil fuels to feed thermal facilities (engines, compressors, boilers…), you should calculate the corresponding emissions  using  the "Comb &amp; Indirect thumbnail"</v>
          </cell>
        </row>
        <row r="216">
          <cell r="B216" t="str">
            <v xml:space="preserve">4 - Présentation des quatre modèles théoriques </v>
          </cell>
          <cell r="C216" t="str">
            <v>4 - Presentation of the four theoretical models</v>
          </cell>
        </row>
        <row r="217">
          <cell r="B217" t="str">
            <v xml:space="preserve">Résumé des quatre modèles théoriques de production et d’émission de méthane </v>
          </cell>
          <cell r="C217" t="str">
            <v>Summary of the four methane production and emission theoretical models</v>
          </cell>
        </row>
        <row r="218">
          <cell r="B218" t="str">
            <v>* Facteur de normalisation assurant que la somme des valeurs discrètes sur chaque année équivaut au potentiel de CH4 pouvant être émis par un déchet pour une dégradation complète, Ai = (1- e-ki)/ki. Ce facteur est toujours inférieur à l’unité et réduit la</v>
          </cell>
          <cell r="C218" t="str">
            <v>* Normalisation factor to assure that the sum of the discrete values for each year are equal to the CH4 generation potential for the waste's complete degradation, Ai = (1- e-ki)/ki. This factor is always &lt;1 and reduces the production calculated through th</v>
          </cell>
        </row>
        <row r="219">
          <cell r="B219" t="str">
            <v xml:space="preserve">° La constante de vitesse de dégradation (k) se rapporte au temps requis pour que le carbone organique dégradable contenu dans les déchets se dégrade jusqu’à la moitié de sa masse initiale (la ‘demi-vie’ ou t½) : </v>
          </cell>
          <cell r="C219" t="str">
            <v>* The kinetic decay constant (k) refers to the time reuired for the degradable organic carbon contained in the waste to decay until half of its initial mass ("half-time" or  t½).</v>
          </cell>
        </row>
        <row r="220">
          <cell r="B220" t="str">
            <v>Modèle</v>
          </cell>
          <cell r="C220" t="str">
            <v>Model</v>
          </cell>
        </row>
        <row r="221">
          <cell r="B221" t="str">
            <v>Equation calcul de la production de méthane</v>
          </cell>
          <cell r="C221" t="str">
            <v>Methane production calculation equation</v>
          </cell>
        </row>
        <row r="222">
          <cell r="B222" t="str">
            <v>Paramètres principaux</v>
          </cell>
          <cell r="C222" t="str">
            <v>Major parameters</v>
          </cell>
        </row>
        <row r="223">
          <cell r="B223" t="str">
            <v>k° (ans-1)</v>
          </cell>
          <cell r="C223" t="str">
            <v>k° (year-1)</v>
          </cell>
        </row>
        <row r="224">
          <cell r="B224" t="str">
            <v>Potentiel méthane L0 (Nm3 CH4 / t)</v>
          </cell>
          <cell r="C224" t="str">
            <v>Methane generation potential L0 (Nm3 CH4 / t)</v>
          </cell>
        </row>
        <row r="225">
          <cell r="B225" t="str">
            <v>Calcul des émissions</v>
          </cell>
          <cell r="C225" t="str">
            <v>Emissions calculation</v>
          </cell>
        </row>
        <row r="226">
          <cell r="B226" t="str">
            <v>GIEC 
(Tier 2)
Ordre 1
(GIEC, 2005)</v>
          </cell>
          <cell r="C226" t="str">
            <v xml:space="preserve">GIEC 
(Tier 2)
First order decay model
(GIEC, 2005)
</v>
          </cell>
        </row>
        <row r="227">
          <cell r="B227" t="str">
            <v>ADEME
Ordre 1
multiphase
(Taramini, 2002)</v>
          </cell>
          <cell r="C227" t="str">
            <v>ADEME
First order
multiphase
(Taramini, 2002)</v>
          </cell>
        </row>
        <row r="228">
          <cell r="B228" t="str">
            <v>GasSIM
Ordre 1
multiphase
(UK, 2005)</v>
          </cell>
          <cell r="C228" t="str">
            <v xml:space="preserve">GasSIM
First order
multiphase
(UK, 2005)
</v>
          </cell>
        </row>
        <row r="229">
          <cell r="B229" t="str">
            <v>LandGEM
Ordre 1
(US-EPA, 2005)</v>
          </cell>
          <cell r="C229" t="str">
            <v>LandGEM
First order
(US-EPA, 2005)</v>
          </cell>
        </row>
        <row r="230">
          <cell r="B230" t="str">
            <v xml:space="preserve">A = facteur de normalisation*
DSMT = Total de déchets municipaux produits
DSMF= Fraction mise en ISD
</v>
          </cell>
          <cell r="C230" t="str">
            <v>A = normalisation factor*
DSMT = Total MSW produced
DSMF= Fraction of total MSW disposed in landfill</v>
          </cell>
        </row>
        <row r="231">
          <cell r="B231" t="str">
            <v>Ai= facteur de normalisation*
pi= fraction des déchets ayant une constante de dégradation ki</v>
          </cell>
          <cell r="C231" t="str">
            <v xml:space="preserve">Ai= normalisation factor*
pi= fraction of waste with a methane generation rate constant ki
</v>
          </cell>
        </row>
        <row r="232">
          <cell r="B232" t="str">
            <v xml:space="preserve">C = quantité de carbone dégradable
</v>
          </cell>
          <cell r="C232" t="str">
            <v>C = quantity of degradable carbon</v>
          </cell>
        </row>
        <row r="233">
          <cell r="B233" t="str">
            <v>M= Quantité de déchets mis en ISD</v>
          </cell>
          <cell r="C233" t="str">
            <v>M= Quantity of waste disposed in landfill</v>
          </cell>
        </row>
        <row r="234">
          <cell r="B234" t="str">
            <v>Avec:
FCM= facteur de correction de CH4 
F (fraction CH4 dans biogaz) = 0.5
COD= carbone organique dégradable calculé à partir des flux de déchets</v>
          </cell>
          <cell r="C234" t="str">
            <v xml:space="preserve">
With :
FCM= Methane correction factor 
F (fraction of CH4 in landfill gas) = 0.5
COD= degradable organic carbon, based on the waste's flow</v>
          </cell>
        </row>
        <row r="235">
          <cell r="B235" t="str">
            <v xml:space="preserve">FE0= 100 (OM) et 50 (DIB) </v>
          </cell>
          <cell r="C235" t="str">
            <v xml:space="preserve">FE0= 100 (MSW) et 50 (Non hazardous industrial waste) </v>
          </cell>
        </row>
        <row r="236">
          <cell r="B236" t="str">
            <v>Calculé par le modèle basé sur la composition des déchets</v>
          </cell>
          <cell r="C236" t="str">
            <v>Calculated by the model according to waste's composition</v>
          </cell>
        </row>
        <row r="237">
          <cell r="B237" t="str">
            <v>100 (Inv) Reporting dans le cadre de l’inventaire d’émissions des polluants de EPA 
170 (CAA) l’EPA  Contrôle d’émissions dans le cadre du "Clean Air Act"</v>
          </cell>
          <cell r="C237" t="str">
            <v xml:space="preserve">100 (Inv) US EPA's pollutants' emissions inventory
170 (CAA) Emissions control within the US Clean Air Act </v>
          </cell>
        </row>
        <row r="238">
          <cell r="B238" t="str">
            <v xml:space="preserve">Production théorique – volume collecté *(1-taux d’oxydation) 
Oxydation = 10 % (défaut)
</v>
          </cell>
          <cell r="C238" t="str">
            <v>Theoretical production – collected volume * (1-oxidation rate) 
Oxidation = 10 % (default)</v>
          </cell>
        </row>
        <row r="239">
          <cell r="B239" t="str">
            <v>En fonction d’un taux de collecte théorique défini par type de zone+ 10% d’oxydation
Zone et taux de collecte :
- en exploitation : 35%
- couverture semi-perméable: 65%
- couverture imperméable naturelle : 85%
- géomembrane : 90%</v>
          </cell>
          <cell r="C239" t="str">
            <v>Depending on a theoretical collection rate, defined by zone, + 10% oxidation
Collection rate by zone :
- in operation : 35%
- semi-permeable cover : 65%
- natural impermeable cover :85%
- geomembrane : 90%</v>
          </cell>
        </row>
        <row r="240">
          <cell r="B240" t="str">
            <v>Calculé par le logiciel en fonction des types de couvertures</v>
          </cell>
          <cell r="C240" t="str">
            <v>Calculated by the software according to the cover type</v>
          </cell>
        </row>
        <row r="241">
          <cell r="B241" t="str">
            <v>Production théorique – volume collecté *(1-taux d’oxydation)
Oxydation = 10 % (défaut)</v>
          </cell>
          <cell r="C241" t="str">
            <v xml:space="preserve">Theoretical production – collected volume * (1-oxidation rate) 
Oxidation = 10 % (default)
</v>
          </cell>
        </row>
        <row r="242">
          <cell r="B242" t="str">
            <v>EMISSIONS DE GAZ A EFFET DE SERRE LIEES AUX INCINERATEURS</v>
          </cell>
          <cell r="C242" t="str">
            <v>GREENHOUSE GAS EMISSIONS FROM INCINERATORS</v>
          </cell>
        </row>
        <row r="243">
          <cell r="B243" t="str">
            <v>Deux méthodes sont proposées pour le calcul des émissions de CO2 liées à l'incinération : à partir des tonnages brûlés et à partir des mesures de fumées. L'utilisation des mesures est possible si l'exploitant montre que l'incertitude du résultat est infér</v>
          </cell>
          <cell r="C243" t="str">
            <v>Two methods are presented to calculate CO2 emissions from incineration: from  tonnage of  waste combusted and from flue gas monitoring. Measurement use is possible if the operating manager shows that the result's uncertainty is below that of the first met</v>
          </cell>
        </row>
        <row r="244">
          <cell r="B244" t="str">
            <v xml:space="preserve">ATTENTION : l’utilisateur devra éviter tout double compte : 
● La mise en œuvre d’un calcul basé sur le tonnage incinéré nécessite de remplir l’onglet concernant l’incinération ainsi que l’onglet concernant les combustibles fossiles utilisés en appoint
● </v>
          </cell>
          <cell r="C244" t="str">
            <v>BEWARE: the user should avoid any double counting
● The implementation of a calculation based on incinerated tonnage requires to fill the tab concerning incineration as well as the tab concerning eventual additional fossil fuels
● On the opposite, flue ga</v>
          </cell>
        </row>
        <row r="245">
          <cell r="B245" t="str">
            <v>Emissions directes liées aux incinérateurs - CO2</v>
          </cell>
          <cell r="C245" t="str">
            <v>Direct emissions from incinerators - CO2</v>
          </cell>
        </row>
        <row r="246">
          <cell r="B246" t="str">
            <v>1 - Calcul des émissions de CO2 des déchets à partir des tonnages de déchets incinérés</v>
          </cell>
          <cell r="C246" t="str">
            <v>1 - Calculation of waste CO2 emissions based on the tonnages of incinerated waste</v>
          </cell>
        </row>
        <row r="247">
          <cell r="B247" t="str">
            <v>Facteur d'émissions tenant compte de la teneur en carbone biogénique</v>
          </cell>
          <cell r="C247" t="str">
            <v>Emission factors that consider biogenic carbon content</v>
          </cell>
        </row>
        <row r="248">
          <cell r="B248" t="str">
            <v>Quantité incinérée</v>
          </cell>
          <cell r="C248" t="str">
            <v>Incinerated quantity</v>
          </cell>
        </row>
        <row r="249">
          <cell r="B249" t="str">
            <v>Facteur d'émission</v>
          </cell>
          <cell r="C249" t="str">
            <v>Emissions factor</v>
          </cell>
        </row>
        <row r="250">
          <cell r="B250" t="str">
            <v>Type de déchet incinéré</v>
          </cell>
          <cell r="C250" t="str">
            <v>Incinerated waste type</v>
          </cell>
        </row>
        <row r="251">
          <cell r="B251" t="str">
            <v>Ordures ménagères</v>
          </cell>
          <cell r="C251" t="str">
            <v>Household waste</v>
          </cell>
        </row>
        <row r="252">
          <cell r="B252" t="str">
            <v>Déchets industriels banals</v>
          </cell>
          <cell r="C252" t="str">
            <v>Non-hazardous industrial waste</v>
          </cell>
        </row>
        <row r="253">
          <cell r="B253" t="str">
            <v>Déchets dangereux</v>
          </cell>
          <cell r="C253" t="str">
            <v>Hazardous waste</v>
          </cell>
        </row>
        <row r="254">
          <cell r="B254" t="str">
            <v>Autres (type de déchet à préciser; les facteurs d'émissions retenus doivent être documentés)</v>
          </cell>
          <cell r="C254" t="str">
            <v>Others (waste type to be specified; the chosen emission factors need to be documented)</v>
          </cell>
        </row>
        <row r="255">
          <cell r="B255" t="str">
            <v>Emissions nettes</v>
          </cell>
          <cell r="C255" t="str">
            <v>Net emissions</v>
          </cell>
        </row>
        <row r="256">
          <cell r="B256" t="str">
            <v>Facteur d'émissions NE tenant PAS compte de la teneur en carbone biogénique</v>
          </cell>
          <cell r="C256" t="str">
            <v>Emission  factors that do NOT consider biogenic carbon content</v>
          </cell>
        </row>
        <row r="257">
          <cell r="B257" t="str">
            <v>Facteurs d'émissions de N2O par défaut pour différents types de déchets et différentes pratiques d'exploitation</v>
          </cell>
          <cell r="C257" t="str">
            <v>Default N2O emission factors for different types of waste and management practices</v>
          </cell>
        </row>
        <row r="258">
          <cell r="B258" t="str">
            <v>Type de déchets</v>
          </cell>
          <cell r="C258" t="str">
            <v>Type of waste</v>
          </cell>
        </row>
        <row r="259">
          <cell r="B259" t="str">
            <v>OM</v>
          </cell>
          <cell r="C259" t="str">
            <v>MSW</v>
          </cell>
        </row>
        <row r="260">
          <cell r="B260" t="str">
            <v>Déchets industriels</v>
          </cell>
          <cell r="C260" t="str">
            <v>Industrial waste</v>
          </cell>
        </row>
        <row r="261">
          <cell r="B261" t="str">
            <v>Boues (sauf boues d'épuration)</v>
          </cell>
          <cell r="C261" t="str">
            <v>Sludge (except sewage sludge)</v>
          </cell>
        </row>
        <row r="262">
          <cell r="B262" t="str">
            <v>Boues d'épuration</v>
          </cell>
          <cell r="C262" t="str">
            <v>Sewage sludge</v>
          </cell>
        </row>
        <row r="263">
          <cell r="B263" t="str">
            <v>Technologie / Pratique d'exploitation</v>
          </cell>
          <cell r="C263" t="str">
            <v>Technology / Management practice</v>
          </cell>
        </row>
        <row r="264">
          <cell r="B264" t="str">
            <v xml:space="preserve">Incinérateurs continus et semi-continus </v>
          </cell>
          <cell r="C264" t="str">
            <v>Continuous and semi-continuous incinerators</v>
          </cell>
        </row>
        <row r="265">
          <cell r="B265" t="str">
            <v>Incinérateurs de type "batch"</v>
          </cell>
          <cell r="C265" t="str">
            <v>Batch-type incinerators</v>
          </cell>
        </row>
        <row r="266">
          <cell r="B266" t="str">
            <v>Brûlage à feu ouvert</v>
          </cell>
          <cell r="C266" t="str">
            <v>Open burning</v>
          </cell>
        </row>
        <row r="267">
          <cell r="B267" t="str">
            <v>Tous types d'incinération</v>
          </cell>
          <cell r="C267" t="str">
            <v>All types of incineration</v>
          </cell>
        </row>
        <row r="268">
          <cell r="B268" t="str">
            <v>Incinération</v>
          </cell>
          <cell r="C268" t="str">
            <v>Incineration</v>
          </cell>
        </row>
        <row r="269">
          <cell r="B269" t="str">
            <v>Facteur d'émissions
 (g N2O / t déchets)</v>
          </cell>
          <cell r="C269" t="str">
            <v>Emission factor (g N2O / t waste)</v>
          </cell>
        </row>
        <row r="270">
          <cell r="B270" t="str">
            <v>Base de poids</v>
          </cell>
          <cell r="C270" t="str">
            <v>weight basis</v>
          </cell>
        </row>
        <row r="271">
          <cell r="B271" t="str">
            <v>Poids humide</v>
          </cell>
          <cell r="C271" t="str">
            <v>wet weight</v>
          </cell>
        </row>
        <row r="272">
          <cell r="B272" t="str">
            <v>Poids sec</v>
          </cell>
          <cell r="C272" t="str">
            <v>dry weight</v>
          </cell>
        </row>
        <row r="273">
          <cell r="B273" t="str">
            <v>2 - Calcul des émissions de CO2 des déchets à partir des mesures de fumées</v>
          </cell>
          <cell r="C273" t="str">
            <v>2 - Calculation of waste CO2 emissions from flue gas monitorings</v>
          </cell>
        </row>
        <row r="274">
          <cell r="B274" t="str">
            <v>Débit de fumées</v>
          </cell>
          <cell r="C274" t="str">
            <v>Flue gas flow</v>
          </cell>
        </row>
        <row r="275">
          <cell r="B275" t="str">
            <v>Teneur en CO2</v>
          </cell>
          <cell r="C275" t="str">
            <v>CO2 content</v>
          </cell>
        </row>
        <row r="276">
          <cell r="B276" t="str">
            <v>Teneur en carbone biogénique</v>
          </cell>
          <cell r="C276" t="str">
            <v>Biogenic carbon content</v>
          </cell>
        </row>
        <row r="277">
          <cell r="B277" t="str">
            <v>Déchets d'activité de soin</v>
          </cell>
          <cell r="C277" t="str">
            <v>Hospital waste</v>
          </cell>
        </row>
        <row r="278">
          <cell r="B278" t="str">
            <v>Emissions prises en compte</v>
          </cell>
          <cell r="C278" t="str">
            <v>Emissions that are accounted for</v>
          </cell>
        </row>
        <row r="279">
          <cell r="B279" t="str">
            <v>Emissions totales de CO2 et N2O liées à l'incinération des déchets</v>
          </cell>
          <cell r="C279" t="str">
            <v>Total CO2 and N2O emissions associated with waste incineration</v>
          </cell>
        </row>
        <row r="280">
          <cell r="B280" t="str">
            <v>Emissions directes liées aux incinérateurs - N2O</v>
          </cell>
          <cell r="C280" t="str">
            <v>N2O gross direct emissions</v>
          </cell>
        </row>
        <row r="281">
          <cell r="B281" t="str">
            <v>3 - Calcul des émissions de N2O des déchets à partir des tonnages de déchets incinérés</v>
          </cell>
          <cell r="C281" t="str">
            <v>3 - Calculation of waste N2O emissions from incinerated waste tonnages</v>
          </cell>
        </row>
        <row r="283">
          <cell r="C283">
            <v>282</v>
          </cell>
        </row>
        <row r="284">
          <cell r="B284" t="str">
            <v>tCO2/tdéchets</v>
          </cell>
          <cell r="C284" t="str">
            <v>tC2O / t waste</v>
          </cell>
        </row>
        <row r="285">
          <cell r="B285" t="str">
            <v>Quantité totale (OM + DIB)</v>
          </cell>
          <cell r="C285" t="str">
            <v>Total quantity (Household waste + non-dangerous industrial waste)</v>
          </cell>
        </row>
        <row r="286">
          <cell r="B286" t="str">
            <v>Emissions brutes directes de N20</v>
          </cell>
          <cell r="C286" t="str">
            <v>N2O gross direct emissions</v>
          </cell>
        </row>
        <row r="287">
          <cell r="B287" t="str">
            <v>Prise en compte</v>
          </cell>
          <cell r="C287" t="str">
            <v>Accounting</v>
          </cell>
        </row>
        <row r="288">
          <cell r="B288" t="str">
            <v>Emissions de NO2 prises en compte</v>
          </cell>
          <cell r="C288" t="str">
            <v>N2O emissions that are accounted for</v>
          </cell>
        </row>
        <row r="289">
          <cell r="B289" t="str">
            <v>Emissions de GES prises en compte</v>
          </cell>
          <cell r="C289" t="str">
            <v>GHG emissions that are accounted for</v>
          </cell>
        </row>
        <row r="290">
          <cell r="C290">
            <v>289</v>
          </cell>
        </row>
        <row r="291">
          <cell r="C291">
            <v>290</v>
          </cell>
        </row>
        <row r="292">
          <cell r="B292" t="str">
            <v>tonnes</v>
          </cell>
          <cell r="C292" t="str">
            <v>Tonnes</v>
          </cell>
        </row>
        <row r="293">
          <cell r="B293" t="str">
            <v>kgN2O / t déchet</v>
          </cell>
          <cell r="C293" t="str">
            <v>kgN20 / t waste</v>
          </cell>
        </row>
        <row r="294">
          <cell r="B294" t="str">
            <v>t CO2</v>
          </cell>
          <cell r="C294" t="str">
            <v>t CO2</v>
          </cell>
        </row>
        <row r="295">
          <cell r="B295" t="str">
            <v>t CO2 / t</v>
          </cell>
          <cell r="C295" t="str">
            <v>t CO2 / t</v>
          </cell>
        </row>
        <row r="296">
          <cell r="B296" t="str">
            <v>m3</v>
          </cell>
          <cell r="C296" t="str">
            <v>m3</v>
          </cell>
        </row>
        <row r="297">
          <cell r="B297" t="str">
            <v>t CO2 / m3</v>
          </cell>
          <cell r="C297" t="str">
            <v>t CO2 / m3</v>
          </cell>
        </row>
        <row r="298">
          <cell r="B298" t="str">
            <v>t CO2 éq.</v>
          </cell>
          <cell r="C298" t="str">
            <v>t CO2 eq.</v>
          </cell>
        </row>
        <row r="299">
          <cell r="B299" t="str">
            <v>Volume annuel de fumées</v>
          </cell>
          <cell r="C299" t="str">
            <v>Annual flue gas volume</v>
          </cell>
        </row>
        <row r="300">
          <cell r="B300" t="str">
            <v>Teneur en CO2</v>
          </cell>
          <cell r="C300" t="str">
            <v>CO2 content</v>
          </cell>
        </row>
        <row r="302">
          <cell r="B302" t="str">
            <v>Le GIEC donne des valeurs par défaut pour les facteurs d'émission de N2O de l’incinération (2006 IPCC Guidelines for National Greenhouse Gas Inventories - Volume 5 Waste).</v>
          </cell>
          <cell r="C302" t="str">
            <v xml:space="preserve">The IPCC gives default values for N2O emission factors from incineration (2006 IPCC Guidelines for National Greenhouse Gas Inventories - Volume 5 Waste). </v>
          </cell>
        </row>
        <row r="303">
          <cell r="B303" t="str">
            <v>4 - Calcul des émissions de CO2 liées aux combustibles utilisés</v>
          </cell>
          <cell r="C303" t="str">
            <v>4 - Calculation of CO2 emissions due the type of fuels used</v>
          </cell>
        </row>
        <row r="304">
          <cell r="B304" t="str">
            <v>Si vous utilisez des combustibles fossiles ou de l'électricité pour alimenter ponctuellement l'incinérateur (maintien en température, traitement des fumées), vous devez calculer les émissions correspondantes au moyen de l'onglet 'Comb &amp; Indirectes'.</v>
          </cell>
          <cell r="C304" t="str">
            <v>If you use fossil fuels or electricity to feed the incinerator from time to time (temperature preservation, flue gas treatment), you should calculate the corresponding emissions using the 'Comb &amp; Indirect' sheet</v>
          </cell>
        </row>
        <row r="305">
          <cell r="B305" t="str">
            <v>Teneur C biogénique / C total (t CO2/tC) dans le déchet en sortie du MBT</v>
          </cell>
          <cell r="C305" t="str">
            <v>Fraction of biogenic C / total C (t CO2/tC) in waste coming out from MBT</v>
          </cell>
        </row>
        <row r="306">
          <cell r="B306" t="str">
            <v>Quantité incinérée qui suit un pré-traitement mécano-biologique (MBT)</v>
          </cell>
          <cell r="C306" t="str">
            <v>Incinerated waste after an MBT pre-treatment</v>
          </cell>
        </row>
        <row r="307">
          <cell r="B307" t="str">
            <v>Quantité incinérée (tonnes)</v>
          </cell>
          <cell r="C307" t="str">
            <v>Incinerated tonnage (tonnes)</v>
          </cell>
        </row>
        <row r="308">
          <cell r="B308" t="str">
            <v>Contenu carbone total (%)</v>
          </cell>
          <cell r="C308" t="str">
            <v>Total carbon content (%)</v>
          </cell>
        </row>
        <row r="309">
          <cell r="B309" t="str">
            <v>Fraction de carbone biogénique dans le carbone total (%)</v>
          </cell>
          <cell r="C309" t="str">
            <v>Biogenic carbon as fraction of total carbon (%)</v>
          </cell>
        </row>
        <row r="310">
          <cell r="B310" t="str">
            <v>Efficacité de la combustion (%)</v>
          </cell>
          <cell r="C310" t="str">
            <v>Combustion efficiency (%)</v>
          </cell>
        </row>
        <row r="311">
          <cell r="B311" t="str">
            <v>Calcul du facteur d'émission au cas par cas</v>
          </cell>
          <cell r="C311" t="str">
            <v>Case by case calculation of the emission factor</v>
          </cell>
        </row>
        <row r="312">
          <cell r="C312">
            <v>311</v>
          </cell>
        </row>
        <row r="313">
          <cell r="C313">
            <v>312</v>
          </cell>
        </row>
        <row r="314">
          <cell r="C314">
            <v>313</v>
          </cell>
        </row>
        <row r="315">
          <cell r="C315">
            <v>314</v>
          </cell>
        </row>
        <row r="316">
          <cell r="C316">
            <v>315</v>
          </cell>
        </row>
        <row r="317">
          <cell r="C317">
            <v>316</v>
          </cell>
        </row>
        <row r="318">
          <cell r="C318">
            <v>317</v>
          </cell>
        </row>
        <row r="319">
          <cell r="C319">
            <v>318</v>
          </cell>
        </row>
        <row r="320">
          <cell r="C320">
            <v>319</v>
          </cell>
        </row>
        <row r="321">
          <cell r="C321">
            <v>320</v>
          </cell>
        </row>
        <row r="322">
          <cell r="C322">
            <v>321</v>
          </cell>
        </row>
        <row r="323">
          <cell r="C323">
            <v>322</v>
          </cell>
        </row>
        <row r="324">
          <cell r="C324">
            <v>323</v>
          </cell>
        </row>
        <row r="325">
          <cell r="C325">
            <v>324</v>
          </cell>
        </row>
        <row r="326">
          <cell r="C326">
            <v>325</v>
          </cell>
        </row>
        <row r="327">
          <cell r="C327">
            <v>326</v>
          </cell>
        </row>
        <row r="328">
          <cell r="C328">
            <v>327</v>
          </cell>
        </row>
        <row r="329">
          <cell r="C329">
            <v>328</v>
          </cell>
        </row>
        <row r="330">
          <cell r="B330" t="str">
            <v>EMISSIONS DE GAZ A EFFET DE SERRE LIEES AU TRAITEMENT DES EAUX USEES</v>
          </cell>
          <cell r="C330" t="str">
            <v>GREENHOUSE GAS EMISSIONS FROM WASTEWATER TREATMENT</v>
          </cell>
        </row>
        <row r="331">
          <cell r="B331" t="str">
            <v>Emissions directes liées au traitement des eaux usées</v>
          </cell>
          <cell r="C331" t="str">
            <v>Direct emissions from wastewater treatment</v>
          </cell>
        </row>
        <row r="332">
          <cell r="B332" t="str">
            <v>1 - Méthane émis par la filière épuration</v>
          </cell>
          <cell r="C332" t="str">
            <v>1 - Methane emitted from water treatment</v>
          </cell>
        </row>
        <row r="333">
          <cell r="B333" t="str">
            <v xml:space="preserve">Il n'existe pas à l'heure actuelle de méthode fiable pourla quantification des émissions de CH4 provenant du traitement des eaux usées. </v>
          </cell>
          <cell r="C333" t="str">
            <v>Currently, there are no available  methods to accurately quantify CH4 emissions from wastewater treatment.</v>
          </cell>
        </row>
        <row r="334">
          <cell r="B334" t="str">
            <v>2 - N2O émis par la filière épuration</v>
          </cell>
          <cell r="C334" t="str">
            <v>2 - N2O emitted from waste water treatment</v>
          </cell>
        </row>
        <row r="335">
          <cell r="B335" t="str">
            <v>A l'heure actuelle, il n'existe pas une connaissance suffisante permettant de mesurer et comptabiliser ces émissions. Des programmes de recherche sont en cours et le module de calcul sera adapté lorsque des données seront disponibles.</v>
          </cell>
          <cell r="C335" t="str">
            <v>There is not enough knowledge today to monitor and quantify these emissions. Research programs are underway and the calculation tool will be updated as soon as data are available.</v>
          </cell>
        </row>
        <row r="336">
          <cell r="B336" t="str">
            <v>3 - Calcul des émissions de CO2 liées aux combustibles utilisés</v>
          </cell>
          <cell r="C336" t="str">
            <v>3 - Calculation of CO2 emissions from used fuels</v>
          </cell>
        </row>
        <row r="337">
          <cell r="B337" t="str">
            <v>Si vous utilisez des combustibles fossiles ou de l'électricité pour alimenter des installations thermiques (moteur, compresseur, chaudières...). vous devez calculer les émissions correspondantes au moyen de l'onglet 'Comb &amp; Indirectes'.</v>
          </cell>
          <cell r="C337" t="str">
            <v>If you use fossil fuels or electricity to feed thermal facilities (engines, compressors, boilers...) you must calculate the corresponding emissions using the 'Comb &amp; Indirect' sheet.</v>
          </cell>
        </row>
        <row r="338">
          <cell r="C338">
            <v>337</v>
          </cell>
        </row>
        <row r="339">
          <cell r="C339">
            <v>338</v>
          </cell>
        </row>
        <row r="340">
          <cell r="C340">
            <v>339</v>
          </cell>
        </row>
        <row r="341">
          <cell r="C341">
            <v>340</v>
          </cell>
        </row>
        <row r="342">
          <cell r="C342">
            <v>341</v>
          </cell>
        </row>
        <row r="343">
          <cell r="C343">
            <v>342</v>
          </cell>
        </row>
        <row r="344">
          <cell r="C344">
            <v>343</v>
          </cell>
        </row>
        <row r="345">
          <cell r="C345">
            <v>344</v>
          </cell>
        </row>
        <row r="346">
          <cell r="C346">
            <v>345</v>
          </cell>
        </row>
        <row r="347">
          <cell r="C347">
            <v>346</v>
          </cell>
        </row>
        <row r="348">
          <cell r="C348">
            <v>347</v>
          </cell>
        </row>
        <row r="349">
          <cell r="C349">
            <v>348</v>
          </cell>
        </row>
        <row r="350">
          <cell r="C350">
            <v>349</v>
          </cell>
        </row>
        <row r="351">
          <cell r="B351" t="str">
            <v>EMISSIONS DE GAZ A EFFET DE SERRE EVITEES</v>
          </cell>
          <cell r="C351" t="str">
            <v>AVOIDED GREENHOUSE GAS EMISSIONS</v>
          </cell>
        </row>
        <row r="352">
          <cell r="B352" t="str">
            <v>Emissions évitées</v>
          </cell>
          <cell r="C352" t="str">
            <v>Avoided emissions</v>
          </cell>
        </row>
        <row r="353">
          <cell r="B353" t="str">
            <v>CSD</v>
          </cell>
          <cell r="C353" t="str">
            <v>Landfill</v>
          </cell>
        </row>
        <row r="354">
          <cell r="B354" t="str">
            <v>1 - Emissions de CO2 évitées par la valorisation énergétique du biogaz produit</v>
          </cell>
          <cell r="C354" t="str">
            <v>1 - Avoided CO2 emissions through energetic recovering of the produced biogas</v>
          </cell>
        </row>
        <row r="355">
          <cell r="B355" t="str">
            <v>Zone de production de l'énergie revendue (électricité / chaleur)</v>
          </cell>
          <cell r="C355" t="str">
            <v>Sold energy production area (electricity/heat)</v>
          </cell>
        </row>
        <row r="356">
          <cell r="B356" t="str">
            <v>Quantité produite et vendue</v>
          </cell>
          <cell r="C356" t="str">
            <v>Produced and sold quantity</v>
          </cell>
        </row>
        <row r="357">
          <cell r="B357" t="str">
            <v>kgCO2 / MWh</v>
          </cell>
          <cell r="C357" t="str">
            <v>kgCO2 / MWh</v>
          </cell>
        </row>
        <row r="358">
          <cell r="B358" t="str">
            <v>Emissions évitées de CO2</v>
          </cell>
          <cell r="C358" t="str">
            <v>CO2 avoided emissions</v>
          </cell>
        </row>
        <row r="359">
          <cell r="B359" t="str">
            <v>* voir les facteurs proposés à l'onglet 'Facteurs'</v>
          </cell>
          <cell r="C359" t="str">
            <v>* see factors proposed in the 'Factors' sheet</v>
          </cell>
        </row>
        <row r="360">
          <cell r="B360" t="str">
            <v>Incinérateurs</v>
          </cell>
          <cell r="C360" t="str">
            <v>Incineration</v>
          </cell>
        </row>
        <row r="361">
          <cell r="B361" t="str">
            <v>2.1 - Calcul des émissions évitées à partir de la quantité d'électricité produite</v>
          </cell>
          <cell r="C361" t="str">
            <v>2.1 - Calculation of the avoided emissions from the quantity of produced electricity</v>
          </cell>
        </row>
        <row r="362">
          <cell r="B362" t="str">
            <v>Zone de production de l'électricité revendue</v>
          </cell>
          <cell r="C362" t="str">
            <v xml:space="preserve">Sold electricity production area </v>
          </cell>
        </row>
        <row r="363">
          <cell r="B363" t="str">
            <v>2.2 - Calcul des émissions évitées à partir de la quantité de chaleur produite</v>
          </cell>
          <cell r="C363" t="str">
            <v>2.2 - Calculation of the avoided emissions from the quantity of produced heat</v>
          </cell>
        </row>
        <row r="364">
          <cell r="B364" t="str">
            <v>Zone de production de la chaleur revendue</v>
          </cell>
          <cell r="C364" t="str">
            <v xml:space="preserve">Sold heat productrion area </v>
          </cell>
        </row>
        <row r="365">
          <cell r="B365" t="str">
            <v>3- Calcul des émissions évitées à partir des quantités de déchets valorisés</v>
          </cell>
          <cell r="C365" t="str">
            <v>3- Calculation of avoided emissions from the quantity of recovered waste</v>
          </cell>
        </row>
        <row r="366">
          <cell r="B366" t="str">
            <v>Déchets valorisés</v>
          </cell>
          <cell r="C366" t="str">
            <v>Recovered waste</v>
          </cell>
        </row>
        <row r="367">
          <cell r="B367" t="str">
            <v>Mâchefers</v>
          </cell>
          <cell r="C367" t="str">
            <v>Bottom ash</v>
          </cell>
        </row>
        <row r="368">
          <cell r="B368" t="str">
            <v>Ferrailles</v>
          </cell>
          <cell r="C368" t="str">
            <v>Slag</v>
          </cell>
        </row>
        <row r="369">
          <cell r="B369" t="str">
            <v>Autres</v>
          </cell>
          <cell r="C369" t="str">
            <v>Others</v>
          </cell>
        </row>
        <row r="370">
          <cell r="B370" t="str">
            <v>Tonnes vendues</v>
          </cell>
          <cell r="C370" t="str">
            <v>Sold tonnages</v>
          </cell>
        </row>
        <row r="371">
          <cell r="B371" t="str">
            <v>t CO2 / t</v>
          </cell>
          <cell r="C371" t="str">
            <v>t CO2 / t</v>
          </cell>
        </row>
        <row r="372">
          <cell r="B372" t="str">
            <v>Traitements physico-chimiques</v>
          </cell>
          <cell r="C372" t="str">
            <v>Physico- chemical treatments</v>
          </cell>
        </row>
        <row r="373">
          <cell r="B373" t="str">
            <v>4 - Calcul des émissions évitées à partir des combustibles de substitution générés</v>
          </cell>
          <cell r="C373" t="str">
            <v>4 - Calculation of avoided emissions from the generation of alternative fuels</v>
          </cell>
        </row>
        <row r="374">
          <cell r="B374" t="str">
            <v>Combustible de substitution produit</v>
          </cell>
          <cell r="C374" t="str">
            <v>Alternative fuel produced</v>
          </cell>
        </row>
        <row r="375">
          <cell r="B375" t="str">
            <v>Quantité</v>
          </cell>
          <cell r="C375" t="str">
            <v>Quantity</v>
          </cell>
        </row>
        <row r="376">
          <cell r="B376" t="str">
            <v>Tri et recyclage</v>
          </cell>
          <cell r="C376" t="str">
            <v>Sorting and recycling</v>
          </cell>
        </row>
        <row r="377">
          <cell r="B377" t="str">
            <v>5- Calcul des émissions évitées à partir des quantités de déchets valorisés</v>
          </cell>
          <cell r="C377" t="str">
            <v>5- Calculation of avoided emissions from the quantity of recovered waste</v>
          </cell>
        </row>
        <row r="378">
          <cell r="B378" t="str">
            <v>Type de déchet</v>
          </cell>
          <cell r="C378" t="str">
            <v>Waste type</v>
          </cell>
        </row>
        <row r="379">
          <cell r="B379" t="str">
            <v>Papier / Carton</v>
          </cell>
          <cell r="C379" t="str">
            <v>Paper / Cardboard</v>
          </cell>
        </row>
        <row r="380">
          <cell r="B380" t="str">
            <v>Verre</v>
          </cell>
          <cell r="C380" t="str">
            <v>Glass</v>
          </cell>
        </row>
        <row r="381">
          <cell r="B381" t="str">
            <v>Acier</v>
          </cell>
          <cell r="C381" t="str">
            <v>Steel</v>
          </cell>
        </row>
        <row r="382">
          <cell r="B382" t="str">
            <v>Aluminium</v>
          </cell>
          <cell r="C382" t="str">
            <v>Aluminium</v>
          </cell>
        </row>
        <row r="383">
          <cell r="B383" t="str">
            <v>Plastiques (HDPE)</v>
          </cell>
          <cell r="C383" t="str">
            <v>Plastics (HDPE)</v>
          </cell>
        </row>
        <row r="384">
          <cell r="B384" t="str">
            <v>Plastiques (PET)</v>
          </cell>
          <cell r="C384" t="str">
            <v>Plastics (PET)</v>
          </cell>
        </row>
        <row r="385">
          <cell r="B385" t="str">
            <v>Autres (préciser)</v>
          </cell>
          <cell r="C385" t="str">
            <v>Others (to be specified)</v>
          </cell>
        </row>
        <row r="386">
          <cell r="B386" t="str">
            <v>Total des émissions évitées</v>
          </cell>
          <cell r="C386" t="str">
            <v>Total avoided emissions</v>
          </cell>
        </row>
        <row r="387">
          <cell r="C387">
            <v>386</v>
          </cell>
        </row>
        <row r="388">
          <cell r="C388">
            <v>387</v>
          </cell>
        </row>
        <row r="389">
          <cell r="C389">
            <v>388</v>
          </cell>
        </row>
        <row r="390">
          <cell r="C390">
            <v>389</v>
          </cell>
        </row>
        <row r="391">
          <cell r="C391">
            <v>390</v>
          </cell>
        </row>
        <row r="392">
          <cell r="C392">
            <v>391</v>
          </cell>
        </row>
        <row r="393">
          <cell r="C393">
            <v>392</v>
          </cell>
        </row>
        <row r="394">
          <cell r="C394">
            <v>393</v>
          </cell>
        </row>
        <row r="395">
          <cell r="C395">
            <v>394</v>
          </cell>
        </row>
        <row r="396">
          <cell r="C396">
            <v>395</v>
          </cell>
        </row>
        <row r="397">
          <cell r="C397">
            <v>396</v>
          </cell>
        </row>
        <row r="398">
          <cell r="C398">
            <v>397</v>
          </cell>
        </row>
        <row r="399">
          <cell r="C399">
            <v>398</v>
          </cell>
        </row>
        <row r="400">
          <cell r="C400">
            <v>399</v>
          </cell>
        </row>
        <row r="401">
          <cell r="B401" t="str">
            <v>FACTEURS D'EMISSIONS</v>
          </cell>
          <cell r="C401" t="str">
            <v>EMISSION FACTORS</v>
          </cell>
        </row>
        <row r="402">
          <cell r="B402" t="str">
            <v>Type de facteur</v>
          </cell>
          <cell r="C402" t="str">
            <v>Type of factor</v>
          </cell>
        </row>
        <row r="403">
          <cell r="B403" t="str">
            <v>1 - Facteurs d'émissions par type de combustible utilisé</v>
          </cell>
          <cell r="C403" t="str">
            <v>1 - Emission factors by fuel type</v>
          </cell>
        </row>
        <row r="404">
          <cell r="B404" t="str">
            <v>2 - Facteurs d'émissions par MWh (distinction en fonction du pays producteur)</v>
          </cell>
          <cell r="C404" t="str">
            <v>2 - Emission factors per MWh (distinction depending on the producing country)</v>
          </cell>
        </row>
        <row r="405">
          <cell r="B405" t="str">
            <v>3 - Teneur moyenne en carbone organique des ordures ménagères (pays européens)</v>
          </cell>
          <cell r="C405" t="str">
            <v>3 - Organic carbon average rate in household waste (European countries)</v>
          </cell>
        </row>
        <row r="406">
          <cell r="B406" t="str">
            <v>4 - Facteurs pour le traitement des eaux usées</v>
          </cell>
          <cell r="C406" t="str">
            <v>4 - Factors for wastewater treatment</v>
          </cell>
        </row>
        <row r="407">
          <cell r="B407" t="str">
            <v>5 - Facteurs pour la valorisation des ferrailles et mâchefers de l'incinération</v>
          </cell>
          <cell r="C407" t="str">
            <v>5 - Factors for the recovery of slag and bottom ash from incineration</v>
          </cell>
        </row>
        <row r="408">
          <cell r="B408" t="str">
            <v>Onglets d'utilisation</v>
          </cell>
          <cell r="C408" t="str">
            <v>Used in sheets</v>
          </cell>
        </row>
        <row r="409">
          <cell r="B409" t="str">
            <v>Comb &amp; Indirectes</v>
          </cell>
          <cell r="C409" t="str">
            <v>Comb &amp; Indirect</v>
          </cell>
        </row>
        <row r="410">
          <cell r="B410" t="str">
            <v>Evitées</v>
          </cell>
          <cell r="C410" t="str">
            <v>Avoided</v>
          </cell>
        </row>
        <row r="411">
          <cell r="B411" t="str">
            <v>Incinération</v>
          </cell>
          <cell r="C411" t="str">
            <v>Incineration</v>
          </cell>
        </row>
        <row r="412">
          <cell r="B412" t="str">
            <v>Eaux usées</v>
          </cell>
          <cell r="C412" t="str">
            <v>Wastewater</v>
          </cell>
        </row>
        <row r="414">
          <cell r="B414" t="str">
            <v>Facteurs d'émission de CO2 d'installations de combustion en fonction du type de combustible utilisé</v>
          </cell>
          <cell r="C414" t="str">
            <v>CO2 emission factors from combustion facilities per type of used fuels</v>
          </cell>
        </row>
        <row r="415">
          <cell r="B415" t="str">
            <v>GIEC : Revised IPCC guidelines for national greenhouse gas inventories :
reference manual http://www.ipcc-nggip.iges.or.jp/public/gl/invs1.htm</v>
          </cell>
          <cell r="C415" t="str">
            <v>IPCC : Revised IPCC guidelines for national greenhouse gas inventories : reference manual http://www.ipcc-nggip.iges.or.jp/public/gl/invs1.htm</v>
          </cell>
        </row>
        <row r="417">
          <cell r="B417" t="str">
            <v>GhG Protocol : http://www.ghgprotocol.org/templates/GHG5/layout.asp?MenuID=849</v>
          </cell>
          <cell r="C417" t="str">
            <v>GhG Protocol : http://www.ghgprotocol.org/templates/GHG5/layout.asp?MenuID=849</v>
          </cell>
        </row>
        <row r="418">
          <cell r="B418" t="str">
            <v>CITEPA : http://www.citepa.org/publications/Inventaires.htm</v>
          </cell>
          <cell r="C418" t="str">
            <v>CITEPA : http://www.citepa.org/publications/Inventaires.htm</v>
          </cell>
        </row>
        <row r="419">
          <cell r="B419" t="str">
            <v>Type de combustible</v>
          </cell>
          <cell r="C419" t="str">
            <v>Fuel type</v>
          </cell>
        </row>
        <row r="420">
          <cell r="B420" t="str">
            <v>Unité</v>
          </cell>
          <cell r="C420" t="str">
            <v>Unit</v>
          </cell>
        </row>
        <row r="421">
          <cell r="B421" t="str">
            <v>Facteur d'émission</v>
          </cell>
          <cell r="C421" t="str">
            <v>Emission Factors</v>
          </cell>
        </row>
        <row r="422">
          <cell r="B422" t="str">
            <v>GIEC, 1996</v>
          </cell>
          <cell r="C422" t="str">
            <v>GIEC, 1996</v>
          </cell>
        </row>
        <row r="423">
          <cell r="B423" t="str">
            <v>CITEPA, 2005</v>
          </cell>
          <cell r="C423" t="str">
            <v>CITEPA, 2005</v>
          </cell>
        </row>
        <row r="424">
          <cell r="B424" t="str">
            <v>ADEME 2005</v>
          </cell>
          <cell r="C424" t="str">
            <v>ADEME 2005</v>
          </cell>
        </row>
        <row r="425">
          <cell r="B425" t="str">
            <v>Fioul lourd</v>
          </cell>
          <cell r="C425" t="str">
            <v>Fuel oil</v>
          </cell>
        </row>
        <row r="426">
          <cell r="B426" t="str">
            <v>Fioul domestique / Gazoil</v>
          </cell>
          <cell r="C426" t="str">
            <v>Gasoil</v>
          </cell>
        </row>
        <row r="427">
          <cell r="B427" t="str">
            <v>Gaz naturel</v>
          </cell>
          <cell r="C427" t="str">
            <v>Natural Gas</v>
          </cell>
        </row>
        <row r="428">
          <cell r="B428" t="str">
            <v>t CO2/t</v>
          </cell>
          <cell r="C428" t="str">
            <v>t CO2/t</v>
          </cell>
        </row>
        <row r="429">
          <cell r="B429" t="str">
            <v>t CO2/GJ</v>
          </cell>
          <cell r="C429" t="str">
            <v>t CO2/GJ</v>
          </cell>
        </row>
        <row r="430">
          <cell r="B430" t="str">
            <v>GhG protocol (IEA)</v>
          </cell>
          <cell r="C430" t="str">
            <v>GhG protocol (IEA)</v>
          </cell>
        </row>
        <row r="431">
          <cell r="B431" t="str">
            <v>Emissions de CO2 par kWh pour les procédés de production d'électricité et/ou de chaleur</v>
          </cell>
          <cell r="C431" t="str">
            <v>CO2 emissions per MWh for electricity and/or heat production processes</v>
          </cell>
        </row>
        <row r="432">
          <cell r="B432" t="str">
            <v>Facteurs d'émissions en grammes CO2 / kWh liés à la consommation de combustibles utilisés par les usines de production d'électricité et de chaleur : fuel, gaz, charbon, nucléaire, hydro, géothermie, solaire, biomasse.</v>
          </cell>
          <cell r="C432" t="str">
            <v xml:space="preserve">Emission factors (in grams CO2 / kWh) linked to fuel consumption by electricity and heat production plants : oil, gas, coal, nuclear, hydro, geothermal, solar and biomass. </v>
          </cell>
        </row>
        <row r="433">
          <cell r="B433" t="str">
            <v>Données International Energy Agency "CO2 Emissions from Fuel Combustion (2007 Edition)", disponibles sur le site du GHG Protocol (http://www.ghgprotocol.org), Rubrique "Corporate Standard" - "Calculation tools".</v>
          </cell>
          <cell r="C433" t="str">
            <v>Source :International Energy Agency 'CO2 Emissions from Fuel Combustion (2007 Edition)', available on the GHG Protocol website (http://www.ghgprotocol.org), Section 'Corporate Standard' - 'Calculation tools'.</v>
          </cell>
        </row>
        <row r="434">
          <cell r="B434" t="str">
            <v>Les facteurs moyennés sur des zones géographiques sont indiqué en rouge</v>
          </cell>
          <cell r="C434" t="str">
            <v>Average factors on a geographic area are presented in red.</v>
          </cell>
        </row>
        <row r="435">
          <cell r="B435" t="str">
            <v>Pays</v>
          </cell>
          <cell r="C435" t="str">
            <v>Country</v>
          </cell>
        </row>
        <row r="436">
          <cell r="B436" t="str">
            <v>Les données des pays non-Annexe 1 sont moins fiables que celles pour les pays de l'Annexe 1. Ces facteurs d'émission doivent être utilisés avec précaution.</v>
          </cell>
          <cell r="C436" t="str">
            <v>Data for non-Annex 1 countries are less accurate that the ones for Annex 1 countries. These emissions factors should be used carefully.</v>
          </cell>
        </row>
        <row r="437">
          <cell r="B437" t="str">
            <v>Teneur moyenne des ordures ménagères (OM) en carbone biogénique</v>
          </cell>
          <cell r="C437" t="str">
            <v>Average content of biogenic carbon in Household Waste (HW)</v>
          </cell>
        </row>
        <row r="438">
          <cell r="B438" t="str">
            <v xml:space="preserve">Source (hors France): Agence Européenne pour l'Environnement, 2005 </v>
          </cell>
          <cell r="C438" t="str">
            <v xml:space="preserve">Source (except France): European Environment Agency, 2005 </v>
          </cell>
        </row>
        <row r="439">
          <cell r="B439" t="str">
            <v>Pour la France : source ADEME 2004</v>
          </cell>
          <cell r="C439" t="str">
            <v>For France: source ADEME 2004</v>
          </cell>
        </row>
        <row r="440">
          <cell r="B440" t="str">
            <v>Teneur en carbone biogénique dans les OM</v>
          </cell>
          <cell r="C440" t="str">
            <v>Biogenic carbon content in MSW</v>
          </cell>
        </row>
        <row r="441">
          <cell r="B441" t="str">
            <v>tC/tOM</v>
          </cell>
          <cell r="C441" t="str">
            <v>tC/tMSW</v>
          </cell>
        </row>
        <row r="442">
          <cell r="B442" t="str">
            <v>Emissions liées au traitement des eaux usées</v>
          </cell>
          <cell r="C442" t="str">
            <v>Emissions from wastewater treatment</v>
          </cell>
        </row>
        <row r="443">
          <cell r="B443" t="str">
            <v>Source :  GIEC (1996)</v>
          </cell>
          <cell r="C443" t="str">
            <v>Source: IPCC (1996)</v>
          </cell>
        </row>
        <row r="444">
          <cell r="B444" t="str">
            <v>Emissions de CH4 converties en tonnes CO2eq</v>
          </cell>
          <cell r="C444" t="str">
            <v>CH4 emissions converted in tCO2 equivalent</v>
          </cell>
        </row>
        <row r="445">
          <cell r="B445" t="str">
            <v>Emissions évitées liées à la valorisation des ferrailles et mâchefers</v>
          </cell>
          <cell r="C445" t="str">
            <v>Avoided emissions related to the recovery of slag and bottom ash</v>
          </cell>
        </row>
        <row r="446">
          <cell r="B446" t="str">
            <v>Source : ADEME 2007</v>
          </cell>
          <cell r="C446" t="str">
            <v>Source: ADEME 2007</v>
          </cell>
        </row>
        <row r="447">
          <cell r="B447" t="str">
            <v>Matière</v>
          </cell>
          <cell r="C447" t="str">
            <v>Material</v>
          </cell>
        </row>
        <row r="448">
          <cell r="B448" t="str">
            <v>Mâchefers</v>
          </cell>
          <cell r="C448" t="str">
            <v>Bottom ash</v>
          </cell>
        </row>
        <row r="449">
          <cell r="B449" t="str">
            <v>Ferrailles</v>
          </cell>
          <cell r="C449" t="str">
            <v>Slag</v>
          </cell>
        </row>
        <row r="450">
          <cell r="B450" t="str">
            <v>Remarque : Les mâchefers issus de l'incinération des déchets peuvent être utilisés en technique routière en substitution aux graviers. Le calcul des émissions évitées liées à la valorisation des mâchefers dépend du contexte local : quantité de fuel et d'é</v>
          </cell>
          <cell r="C450" t="str">
            <v>Remark : Bottom ash from waste incineration can be used instated of gravel. The calculation of the avoided emissions related to bottom ash recovery depend on the local context : quantity of fuel and electricity used for the fabrication of one tonne of gra</v>
          </cell>
        </row>
        <row r="451">
          <cell r="B451" t="str">
            <v>Afrique</v>
          </cell>
          <cell r="C451" t="str">
            <v>Africa</v>
          </cell>
        </row>
        <row r="452">
          <cell r="B452" t="str">
            <v>Asie &amp; Amérique latine</v>
          </cell>
          <cell r="C452" t="str">
            <v>Asia &amp; Latin America</v>
          </cell>
        </row>
        <row r="453">
          <cell r="B453" t="str">
            <v>Pays de l'OCDE</v>
          </cell>
          <cell r="C453" t="str">
            <v>OECD Countries</v>
          </cell>
        </row>
        <row r="454">
          <cell r="B454" t="str">
            <v>Teneur en Carbone biogénique par rapport au carbone total (t Cbio/tC)</v>
          </cell>
          <cell r="C454" t="str">
            <v>Fraction of biogenic carbon in total carbon (t Cbio/tC)</v>
          </cell>
        </row>
        <row r="455">
          <cell r="B455" t="str">
            <v>Emissions de CO2 par kWh pour les procédés de production d'électricité</v>
          </cell>
          <cell r="C455" t="str">
            <v>CO2 emissions per kWh for electricity production processes</v>
          </cell>
        </row>
        <row r="456">
          <cell r="B456" t="str">
            <v>Emissions de CO2 par kWh pour les procédés de production de chaleur</v>
          </cell>
          <cell r="C456" t="str">
            <v>CO2 emissions per kWh for heat production processes</v>
          </cell>
        </row>
        <row r="457">
          <cell r="B457" t="str">
            <v>Source d’énergie thermique replacée</v>
          </cell>
          <cell r="C457" t="str">
            <v xml:space="preserve">Thermal energy source replaced </v>
          </cell>
        </row>
        <row r="458">
          <cell r="B458" t="str">
            <v>Facteur d'émission g CO2eq / kWh</v>
          </cell>
          <cell r="C458" t="str">
            <v>Emission Factor (gCO2eq / kWh)</v>
          </cell>
        </row>
        <row r="459">
          <cell r="B459" t="str">
            <v>Chaudière au fuel</v>
          </cell>
          <cell r="C459" t="str">
            <v>Oil boiler</v>
          </cell>
        </row>
        <row r="460">
          <cell r="B460" t="str">
            <v>Chaudière au gaz naturel</v>
          </cell>
          <cell r="C460" t="str">
            <v>Natural gas boiler</v>
          </cell>
        </row>
        <row r="461">
          <cell r="B461" t="str">
            <v>Chauffage collectif au fuel</v>
          </cell>
          <cell r="C461" t="str">
            <v>Collective oil heating</v>
          </cell>
        </row>
        <row r="462">
          <cell r="B462" t="str">
            <v>Chauffage collectif au gaz naturel</v>
          </cell>
          <cell r="C462" t="str">
            <v>Collective natural gas heating</v>
          </cell>
        </row>
        <row r="463">
          <cell r="B463" t="str">
            <v>Chauffage industriel au fuel</v>
          </cell>
          <cell r="C463" t="str">
            <v>Industrial oil heating</v>
          </cell>
        </row>
        <row r="464">
          <cell r="B464" t="str">
            <v>Chauffage industriel au gaz naturel</v>
          </cell>
          <cell r="C464" t="str">
            <v>Industrial natural gas heating</v>
          </cell>
        </row>
        <row r="465">
          <cell r="B465" t="str">
            <v>Chaleur, moyenne européenne</v>
          </cell>
          <cell r="C465" t="str">
            <v>Heat, european average</v>
          </cell>
        </row>
        <row r="466">
          <cell r="B466" t="str">
            <v>ADEME et Gaz de France, Rapport d'ACV des modes de valorisation énergétique du biogaz, 2007</v>
          </cell>
          <cell r="C466" t="str">
            <v>ADEME and Gaz de France, LCA report on the different types of biogas recovery, 2007</v>
          </cell>
        </row>
        <row r="467">
          <cell r="B467" t="str">
            <v>ADEME et BIO Intelligence Service, Rapport d'ACV du chauffage collectif et industriel au bois, 2005</v>
          </cell>
          <cell r="C467" t="str">
            <v>ADEME and BIO Intelligence Service, LCA report on Collective and Industrial wood heating, 2005</v>
          </cell>
        </row>
        <row r="468">
          <cell r="B468" t="str">
            <v>AEA Technology, Waste management options and climate change, 2001</v>
          </cell>
          <cell r="C468" t="str">
            <v>AEA Technology, Waste management options and climate change, 2001</v>
          </cell>
        </row>
        <row r="469">
          <cell r="C469">
            <v>468</v>
          </cell>
        </row>
        <row r="470">
          <cell r="C470">
            <v>469</v>
          </cell>
        </row>
        <row r="471">
          <cell r="C471">
            <v>470</v>
          </cell>
        </row>
        <row r="472">
          <cell r="B472" t="str">
            <v>FACTEURS POUR LES EMISSIONS EVITEES PAR L'INTERMEDIAIRE DU RECYCLAGE</v>
          </cell>
          <cell r="C472" t="str">
            <v>FACTORS FOR AVOIDED EMISSIONS FROM RECYCLING</v>
          </cell>
        </row>
        <row r="473">
          <cell r="B473" t="str">
            <v>Les valeurs indiquées ci-dessous proviennent de trois publications : une étude européenne d'AEA Technology pour la DG Environnement, une publication de l'US EPA et une étude française ADEME/Ecobilan.</v>
          </cell>
          <cell r="C473" t="str">
            <v>The values below originate from three publications : a European study by AEA Technology for the Environment DG, a publication from US EPA and a French study ADEME/Ecobilan.</v>
          </cell>
        </row>
        <row r="474">
          <cell r="B474" t="str">
            <v>L'utilisateur choisira les valeurs les plus adaptées à la localisation géographique des sites concernés.</v>
          </cell>
          <cell r="C474" t="str">
            <v>The user will choose the most appropriate values according to the geographical location of the considered sites.</v>
          </cell>
        </row>
        <row r="475">
          <cell r="B475" t="str">
            <v>Toutes les valeurs sont données en tonnes métriques de CO2 / tonne métrique de matériaux. 
En ce qui concerne les données américaines, les facteurs ont été convertis en tonnes métriques de CO2e par tonne métrique de matériaux à partir des données original</v>
          </cell>
          <cell r="C475" t="str">
            <v>All these values are given in metric tonnes of CO2 / metric tonne of material. 
As far as the American values are concerned, factors have been converted into metric tonnes of CO2 / metric tonne of material taking as a starting point the original values gi</v>
          </cell>
        </row>
        <row r="476">
          <cell r="B476" t="str">
            <v>Titre du document</v>
          </cell>
          <cell r="C476" t="str">
            <v>Title of the document</v>
          </cell>
        </row>
        <row r="477">
          <cell r="B477" t="str">
            <v>Waste management options and climate change, AEA Technology pour la DG Environnement</v>
          </cell>
          <cell r="C477" t="str">
            <v>Waste management options and climate change, AEA Technology pour la DG Environnement</v>
          </cell>
        </row>
        <row r="478">
          <cell r="B478" t="str">
            <v>Solid Waste Management and Greenhouse Gases: A Life-Cycle Assessment of Emissions and Sinks, 3rd edition, US EPA</v>
          </cell>
          <cell r="C478" t="str">
            <v>Solid Waste Management and Greenhouse Gases: A Life-Cycle Assessment of Emissions and Sinks, 3rd edition, US EPA</v>
          </cell>
        </row>
        <row r="479">
          <cell r="B479" t="str">
            <v>Etude technico-économique sur le bilan des filières de recyclage, ADEME/Ecobilan</v>
          </cell>
          <cell r="C479" t="str">
            <v>Etude technico-économique sur le bilan des filières de recyclage, ADEME/Ecobilan</v>
          </cell>
        </row>
        <row r="480">
          <cell r="B480" t="str">
            <v>Périmètre</v>
          </cell>
          <cell r="C480" t="str">
            <v>Perimeter</v>
          </cell>
        </row>
        <row r="481">
          <cell r="B481" t="str">
            <v>Intègre le transport et les émissions des sites de tri</v>
          </cell>
          <cell r="C481" t="str">
            <v>Includes transport and emissions from sorting facilities</v>
          </cell>
        </row>
        <row r="482">
          <cell r="B482" t="str">
            <v>Intègre le transport, les émissions des sites de tri, et le carbone séquestré (séquestration du carbone par les arbres qui auraient été coupés en l’absence de recyclage)</v>
          </cell>
          <cell r="C482" t="str">
            <v xml:space="preserve">Includes transport, emissions from sorting facilities and sequestered carbon (carbon sequestration in the trees that would have been cut in the absence of recycling). </v>
          </cell>
        </row>
        <row r="483">
          <cell r="B483" t="str">
            <v xml:space="preserve">Recyclage seul (impact du recyclage de 1 tonne de déchets en entrée du site de recyclage) </v>
          </cell>
          <cell r="C483" t="str">
            <v>Recycling only (impact of the recycling of 1 tonne of waste at the entrance of the recycling facility)</v>
          </cell>
        </row>
        <row r="484">
          <cell r="B484" t="str">
            <v>Année publication</v>
          </cell>
          <cell r="C484" t="str">
            <v>Publication year</v>
          </cell>
        </row>
        <row r="485">
          <cell r="B485" t="str">
            <v>Materiau</v>
          </cell>
          <cell r="C485" t="str">
            <v>Material</v>
          </cell>
        </row>
        <row r="486">
          <cell r="B486" t="str">
            <v>Unité</v>
          </cell>
          <cell r="C486" t="str">
            <v>Unit</v>
          </cell>
        </row>
        <row r="487">
          <cell r="B487" t="str">
            <v>Emissions évitées</v>
          </cell>
          <cell r="C487" t="str">
            <v>Avoided emissions</v>
          </cell>
        </row>
        <row r="488">
          <cell r="B488" t="str">
            <v>Papier</v>
          </cell>
          <cell r="C488" t="str">
            <v>Paper</v>
          </cell>
        </row>
        <row r="489">
          <cell r="B489" t="str">
            <v>HDPE</v>
          </cell>
          <cell r="C489" t="str">
            <v>HDPE</v>
          </cell>
        </row>
        <row r="490">
          <cell r="B490" t="str">
            <v>PET</v>
          </cell>
          <cell r="C490" t="str">
            <v>PET</v>
          </cell>
        </row>
        <row r="491">
          <cell r="B491" t="str">
            <v>Verre</v>
          </cell>
          <cell r="C491" t="str">
            <v>Glass</v>
          </cell>
        </row>
        <row r="492">
          <cell r="B492" t="str">
            <v>Métaux ferreux</v>
          </cell>
          <cell r="C492" t="str">
            <v>Ferrous metal</v>
          </cell>
        </row>
        <row r="493">
          <cell r="B493" t="str">
            <v>Aluminium</v>
          </cell>
          <cell r="C493" t="str">
            <v>Aluminium</v>
          </cell>
        </row>
        <row r="494">
          <cell r="B494" t="str">
            <v>Textiles</v>
          </cell>
          <cell r="C494" t="str">
            <v>Textiles</v>
          </cell>
        </row>
        <row r="495">
          <cell r="B495" t="str">
            <v>Canettes en aluminium</v>
          </cell>
          <cell r="C495" t="str">
            <v>Aluminum Cans</v>
          </cell>
        </row>
        <row r="496">
          <cell r="B496" t="str">
            <v>Canettes en acier</v>
          </cell>
          <cell r="C496" t="str">
            <v>Steel Cans</v>
          </cell>
        </row>
        <row r="497">
          <cell r="B497" t="str">
            <v>Fil de cuivre</v>
          </cell>
          <cell r="C497" t="str">
            <v>Copper Wire</v>
          </cell>
        </row>
        <row r="498">
          <cell r="B498" t="str">
            <v>Verre</v>
          </cell>
          <cell r="C498" t="str">
            <v>Glass</v>
          </cell>
        </row>
        <row r="499">
          <cell r="B499" t="str">
            <v>HDPE</v>
          </cell>
          <cell r="C499" t="str">
            <v>HDPE</v>
          </cell>
        </row>
        <row r="500">
          <cell r="B500" t="str">
            <v>LDPE</v>
          </cell>
          <cell r="C500" t="str">
            <v>LDPE</v>
          </cell>
        </row>
        <row r="501">
          <cell r="B501" t="str">
            <v>PET</v>
          </cell>
          <cell r="C501" t="str">
            <v>PET</v>
          </cell>
        </row>
        <row r="502">
          <cell r="B502" t="str">
            <v>Carton ondulé</v>
          </cell>
          <cell r="C502" t="str">
            <v>Corrugated Box</v>
          </cell>
        </row>
        <row r="503">
          <cell r="B503" t="str">
            <v>Magazines</v>
          </cell>
          <cell r="C503" t="str">
            <v>Magazines</v>
          </cell>
        </row>
        <row r="504">
          <cell r="B504" t="str">
            <v>Journaux</v>
          </cell>
          <cell r="C504" t="str">
            <v>Newspaper</v>
          </cell>
        </row>
        <row r="505">
          <cell r="B505" t="str">
            <v>Papier de bureau</v>
          </cell>
          <cell r="C505" t="str">
            <v>Office Paper</v>
          </cell>
        </row>
        <row r="506">
          <cell r="B506" t="str">
            <v>Annuaires</v>
          </cell>
          <cell r="C506" t="str">
            <v>Phonebook</v>
          </cell>
        </row>
        <row r="507">
          <cell r="B507" t="str">
            <v xml:space="preserve">Cahiers </v>
          </cell>
          <cell r="C507" t="str">
            <v>Textbook</v>
          </cell>
        </row>
        <row r="508">
          <cell r="B508" t="str">
            <v>Planches de bois</v>
          </cell>
          <cell r="C508" t="str">
            <v>Dimensional Lumber</v>
          </cell>
        </row>
        <row r="509">
          <cell r="B509" t="str">
            <v>Panneaux de fibres</v>
          </cell>
          <cell r="C509" t="str">
            <v>Fiberboard</v>
          </cell>
        </row>
        <row r="510">
          <cell r="B510" t="str">
            <v>Panneaux en papiers mélangés</v>
          </cell>
          <cell r="C510" t="str">
            <v>Mixed Paper Board</v>
          </cell>
        </row>
        <row r="511">
          <cell r="B511" t="str">
            <v>Papiers mélangés - résidentiel</v>
          </cell>
          <cell r="C511" t="str">
            <v>Mixed Paper - Residential</v>
          </cell>
        </row>
        <row r="512">
          <cell r="B512" t="str">
            <v>Plastiques mélangés</v>
          </cell>
          <cell r="C512" t="str">
            <v>Mixed Plastics</v>
          </cell>
        </row>
        <row r="513">
          <cell r="B513" t="str">
            <v>Matériaux reyclables mélangés</v>
          </cell>
          <cell r="C513" t="str">
            <v>Mixed Recyclables</v>
          </cell>
        </row>
        <row r="514">
          <cell r="B514" t="str">
            <v>Tapis</v>
          </cell>
          <cell r="C514" t="str">
            <v>Carpets</v>
          </cell>
        </row>
        <row r="515">
          <cell r="B515" t="str">
            <v>Ordinateurs</v>
          </cell>
          <cell r="C515" t="str">
            <v>PCs</v>
          </cell>
        </row>
        <row r="516">
          <cell r="B516" t="str">
            <v>Aggrégat</v>
          </cell>
          <cell r="C516" t="str">
            <v>Aggregate</v>
          </cell>
        </row>
        <row r="517">
          <cell r="B517" t="str">
            <v>Cendres</v>
          </cell>
          <cell r="C517" t="str">
            <v>FlyAsh</v>
          </cell>
        </row>
        <row r="518">
          <cell r="B518" t="str">
            <v>Pneus</v>
          </cell>
          <cell r="C518" t="str">
            <v>Tires</v>
          </cell>
        </row>
        <row r="519">
          <cell r="B519" t="str">
            <v>Acier</v>
          </cell>
          <cell r="C519" t="str">
            <v>Steel</v>
          </cell>
        </row>
        <row r="520">
          <cell r="B520" t="str">
            <v>Aluminium</v>
          </cell>
          <cell r="C520" t="str">
            <v>Aluminium</v>
          </cell>
        </row>
        <row r="521">
          <cell r="B521" t="str">
            <v>Plomb</v>
          </cell>
          <cell r="C521" t="str">
            <v>Lead</v>
          </cell>
        </row>
        <row r="522">
          <cell r="B522" t="str">
            <v>Cuivre</v>
          </cell>
          <cell r="C522" t="str">
            <v>Copper Wire</v>
          </cell>
        </row>
        <row r="523">
          <cell r="B523" t="str">
            <v>Cartons d'emballage</v>
          </cell>
          <cell r="C523" t="str">
            <v>Cardboard packing</v>
          </cell>
        </row>
        <row r="524">
          <cell r="B524" t="str">
            <v>Papiers à usage graphique</v>
          </cell>
          <cell r="C524" t="str">
            <v>Graphic papers</v>
          </cell>
        </row>
        <row r="525">
          <cell r="B525" t="str">
            <v>Papiers spéciaux et d'hygiène</v>
          </cell>
          <cell r="C525" t="str">
            <v>Special and hygiene papers</v>
          </cell>
        </row>
        <row r="526">
          <cell r="B526" t="str">
            <v>Verre</v>
          </cell>
          <cell r="C526" t="str">
            <v>Glass</v>
          </cell>
        </row>
        <row r="527">
          <cell r="B527" t="str">
            <v>PE</v>
          </cell>
          <cell r="C527" t="str">
            <v>PE</v>
          </cell>
        </row>
        <row r="528">
          <cell r="B528" t="str">
            <v>PET</v>
          </cell>
          <cell r="C528" t="str">
            <v>PET</v>
          </cell>
        </row>
        <row r="529">
          <cell r="B529" t="str">
            <v>Remarque : Si l'utilisateur souhaite utiliser des facteurs d'émissions autres que ceux fournis ci-dessous, il doit les documenter et donner les références de l'étude ACV (Analyse de Cycle de Vie) à l'origine de ses valeurs.</v>
          </cell>
          <cell r="C529" t="str">
            <v>Remark : If the user wants to use values other than those cited below, he should document them and give the references of the LCA study at the origin of his figures.</v>
          </cell>
        </row>
        <row r="532">
          <cell r="B532" t="str">
            <v>SYNTHESE DES EMISSIONS</v>
          </cell>
          <cell r="C532" t="str">
            <v>EMISSIONS SYNTHESIS</v>
          </cell>
        </row>
        <row r="533">
          <cell r="B533" t="str">
            <v>Emissions directes</v>
          </cell>
          <cell r="C533" t="str">
            <v>Direct emissions</v>
          </cell>
        </row>
        <row r="534">
          <cell r="B534" t="str">
            <v>Emissions indirectes</v>
          </cell>
          <cell r="C534" t="str">
            <v>Indirect emissions</v>
          </cell>
        </row>
        <row r="535">
          <cell r="B535" t="str">
            <v>Emissions évitées</v>
          </cell>
          <cell r="C535" t="str">
            <v>Avoided emissions</v>
          </cell>
        </row>
        <row r="536">
          <cell r="B536" t="str">
            <v>Installations de combustion fixes</v>
          </cell>
          <cell r="C536" t="str">
            <v>Permanent combustion facility</v>
          </cell>
        </row>
        <row r="537">
          <cell r="B537" t="str">
            <v xml:space="preserve">Transport en propre </v>
          </cell>
          <cell r="C537" t="str">
            <v>Operated transport</v>
          </cell>
        </row>
        <row r="538">
          <cell r="B538" t="str">
            <v>CSD</v>
          </cell>
          <cell r="C538" t="str">
            <v>Landfill</v>
          </cell>
        </row>
        <row r="539">
          <cell r="B539" t="str">
            <v>Incinération</v>
          </cell>
          <cell r="C539" t="str">
            <v>Incineration</v>
          </cell>
        </row>
        <row r="540">
          <cell r="B540" t="str">
            <v>Traitement des eaux usées</v>
          </cell>
          <cell r="C540" t="str">
            <v>Wastewater treatment</v>
          </cell>
        </row>
        <row r="541">
          <cell r="B541" t="str">
            <v>Total émissions directes</v>
          </cell>
          <cell r="C541" t="str">
            <v xml:space="preserve">Total direct emissions </v>
          </cell>
        </row>
        <row r="542">
          <cell r="B542" t="str">
            <v>Emissions liées à l'utilisation d'électricité et d'énergie thermique</v>
          </cell>
          <cell r="C542" t="str">
            <v>Emissions related to the use of electricity or thermal energy</v>
          </cell>
        </row>
        <row r="543">
          <cell r="B543" t="str">
            <v>Emissions indirectes liées aux transports</v>
          </cell>
          <cell r="C543" t="str">
            <v>Indirect emissions related to transport</v>
          </cell>
        </row>
        <row r="544">
          <cell r="B544" t="str">
            <v>Total émissions indirectes</v>
          </cell>
          <cell r="C544" t="str">
            <v>Total indirect emissions</v>
          </cell>
        </row>
        <row r="545">
          <cell r="B545" t="str">
            <v>Attention : dans le cas de l'incinération, le calcul a pu être effectué sans calculer les émissions brutes au préalable, selon les données disponibles. Par conséquent, toute exploitation ou comparaison des émissions brutes et nettes doit être effectuée av</v>
          </cell>
          <cell r="C545" t="str">
            <v>Beware: for incineration, the calculation could have been made without a prior calculation of the gross emissions before, according to available data. As a consequence, every analysis or comparison of gross and net emissions should be done carefully.</v>
          </cell>
        </row>
        <row r="546">
          <cell r="B546" t="str">
            <v>Les émissions évitées ne doivent pas être déduites du total des émissions directes et/ou indirectes calculées ci-dessus</v>
          </cell>
          <cell r="C546" t="str">
            <v>Avoided emissions shouldn't be deduced from the total of direct/indirect emissions calculated above.</v>
          </cell>
        </row>
        <row r="547">
          <cell r="B547" t="str">
            <v>Emissions totales évitées</v>
          </cell>
          <cell r="C547" t="str">
            <v>Total avoided emissions</v>
          </cell>
        </row>
        <row r="548">
          <cell r="B548" t="str">
            <v>Valorisation énergétique du biogaz produit</v>
          </cell>
          <cell r="C548" t="str">
            <v>Energy recovery from the produced biogas</v>
          </cell>
        </row>
        <row r="549">
          <cell r="B549" t="str">
            <v>Production d'énergie de l'incinération</v>
          </cell>
          <cell r="C549" t="str">
            <v>Energy production from incineration</v>
          </cell>
        </row>
        <row r="550">
          <cell r="B550" t="str">
            <v>Valorisation de sous produits d'incinération</v>
          </cell>
          <cell r="C550" t="str">
            <v>Recovery of incineration by-products</v>
          </cell>
        </row>
        <row r="551">
          <cell r="B551" t="str">
            <v>Combustibles de substitution</v>
          </cell>
          <cell r="C551" t="str">
            <v>Alternative fuels</v>
          </cell>
        </row>
        <row r="552">
          <cell r="B552" t="str">
            <v>Tri et recyclage</v>
          </cell>
          <cell r="C552" t="str">
            <v>Sorting and recycling</v>
          </cell>
        </row>
        <row r="553">
          <cell r="B553" t="str">
            <v>Total émissions évitées</v>
          </cell>
          <cell r="C553" t="str">
            <v>Total avoided emissions</v>
          </cell>
        </row>
        <row r="554">
          <cell r="B554" t="str">
            <v>Source</v>
          </cell>
          <cell r="C554" t="str">
            <v>Source</v>
          </cell>
        </row>
        <row r="555">
          <cell r="B555" t="str">
            <v xml:space="preserve">Emissions directes nettes </v>
          </cell>
          <cell r="C555" t="str">
            <v xml:space="preserve">Net direct emissions </v>
          </cell>
        </row>
        <row r="556">
          <cell r="C556">
            <v>517</v>
          </cell>
        </row>
        <row r="557">
          <cell r="C557">
            <v>518</v>
          </cell>
        </row>
        <row r="558">
          <cell r="C558">
            <v>519</v>
          </cell>
        </row>
        <row r="559">
          <cell r="C559">
            <v>520</v>
          </cell>
        </row>
        <row r="560">
          <cell r="C560">
            <v>521</v>
          </cell>
        </row>
        <row r="561">
          <cell r="C561">
            <v>522</v>
          </cell>
        </row>
        <row r="562">
          <cell r="C562">
            <v>523</v>
          </cell>
        </row>
        <row r="563">
          <cell r="C563">
            <v>524</v>
          </cell>
        </row>
        <row r="564">
          <cell r="C564">
            <v>525</v>
          </cell>
        </row>
        <row r="565">
          <cell r="C565">
            <v>526</v>
          </cell>
        </row>
        <row r="566">
          <cell r="C566">
            <v>527</v>
          </cell>
        </row>
        <row r="567">
          <cell r="C567">
            <v>528</v>
          </cell>
        </row>
        <row r="568">
          <cell r="C568">
            <v>529</v>
          </cell>
        </row>
        <row r="569">
          <cell r="C569">
            <v>530</v>
          </cell>
        </row>
        <row r="570">
          <cell r="C570">
            <v>531</v>
          </cell>
        </row>
        <row r="571">
          <cell r="C571">
            <v>532</v>
          </cell>
        </row>
        <row r="572">
          <cell r="C572">
            <v>533</v>
          </cell>
        </row>
        <row r="573">
          <cell r="C573">
            <v>534</v>
          </cell>
        </row>
        <row r="574">
          <cell r="C574">
            <v>535</v>
          </cell>
        </row>
        <row r="575">
          <cell r="C575">
            <v>536</v>
          </cell>
        </row>
        <row r="576">
          <cell r="C576">
            <v>537</v>
          </cell>
        </row>
        <row r="577">
          <cell r="C577">
            <v>538</v>
          </cell>
        </row>
        <row r="578">
          <cell r="C578">
            <v>539</v>
          </cell>
        </row>
        <row r="579">
          <cell r="C579">
            <v>540</v>
          </cell>
        </row>
        <row r="580">
          <cell r="C580">
            <v>541</v>
          </cell>
        </row>
        <row r="581">
          <cell r="C581">
            <v>542</v>
          </cell>
        </row>
        <row r="582">
          <cell r="C582">
            <v>543</v>
          </cell>
        </row>
        <row r="583">
          <cell r="C583">
            <v>544</v>
          </cell>
        </row>
        <row r="584">
          <cell r="C584">
            <v>545</v>
          </cell>
        </row>
        <row r="585">
          <cell r="C585">
            <v>546</v>
          </cell>
        </row>
        <row r="586">
          <cell r="C586">
            <v>547</v>
          </cell>
        </row>
        <row r="587">
          <cell r="C587">
            <v>548</v>
          </cell>
        </row>
        <row r="588">
          <cell r="C588">
            <v>549</v>
          </cell>
        </row>
        <row r="589">
          <cell r="C589">
            <v>550</v>
          </cell>
        </row>
        <row r="590">
          <cell r="C590">
            <v>551</v>
          </cell>
        </row>
        <row r="591">
          <cell r="C591">
            <v>552</v>
          </cell>
        </row>
        <row r="592">
          <cell r="C592">
            <v>553</v>
          </cell>
        </row>
        <row r="593">
          <cell r="C593">
            <v>554</v>
          </cell>
        </row>
        <row r="594">
          <cell r="C594">
            <v>555</v>
          </cell>
        </row>
        <row r="595">
          <cell r="C595">
            <v>556</v>
          </cell>
        </row>
        <row r="596">
          <cell r="C596">
            <v>557</v>
          </cell>
        </row>
        <row r="597">
          <cell r="C597">
            <v>558</v>
          </cell>
        </row>
        <row r="598">
          <cell r="C598">
            <v>559</v>
          </cell>
        </row>
        <row r="599">
          <cell r="C599">
            <v>560</v>
          </cell>
        </row>
        <row r="600">
          <cell r="C600">
            <v>561</v>
          </cell>
        </row>
        <row r="601">
          <cell r="C601">
            <v>562</v>
          </cell>
        </row>
        <row r="602">
          <cell r="C602">
            <v>563</v>
          </cell>
        </row>
        <row r="603">
          <cell r="C603">
            <v>564</v>
          </cell>
        </row>
        <row r="604">
          <cell r="C604">
            <v>565</v>
          </cell>
        </row>
        <row r="605">
          <cell r="C605">
            <v>566</v>
          </cell>
        </row>
        <row r="606">
          <cell r="C606">
            <v>567</v>
          </cell>
        </row>
        <row r="607">
          <cell r="C607">
            <v>568</v>
          </cell>
        </row>
        <row r="608">
          <cell r="C608">
            <v>569</v>
          </cell>
        </row>
        <row r="609">
          <cell r="C609">
            <v>570</v>
          </cell>
        </row>
        <row r="610">
          <cell r="C610">
            <v>571</v>
          </cell>
        </row>
        <row r="611">
          <cell r="C611">
            <v>572</v>
          </cell>
        </row>
        <row r="612">
          <cell r="C612">
            <v>573</v>
          </cell>
        </row>
        <row r="613">
          <cell r="C613">
            <v>574</v>
          </cell>
        </row>
        <row r="614">
          <cell r="C614">
            <v>575</v>
          </cell>
        </row>
        <row r="615">
          <cell r="C615">
            <v>576</v>
          </cell>
        </row>
        <row r="616">
          <cell r="C616">
            <v>577</v>
          </cell>
        </row>
        <row r="617">
          <cell r="C617">
            <v>578</v>
          </cell>
        </row>
        <row r="618">
          <cell r="C618">
            <v>579</v>
          </cell>
        </row>
        <row r="619">
          <cell r="C619">
            <v>580</v>
          </cell>
        </row>
        <row r="620">
          <cell r="C620">
            <v>581</v>
          </cell>
        </row>
        <row r="621">
          <cell r="C621">
            <v>582</v>
          </cell>
        </row>
        <row r="622">
          <cell r="C622">
            <v>583</v>
          </cell>
        </row>
        <row r="623">
          <cell r="C623">
            <v>584</v>
          </cell>
        </row>
        <row r="624">
          <cell r="C624">
            <v>585</v>
          </cell>
        </row>
        <row r="625">
          <cell r="C625">
            <v>586</v>
          </cell>
        </row>
        <row r="626">
          <cell r="C626">
            <v>587</v>
          </cell>
        </row>
        <row r="627">
          <cell r="C627">
            <v>588</v>
          </cell>
        </row>
        <row r="628">
          <cell r="C628">
            <v>589</v>
          </cell>
        </row>
        <row r="629">
          <cell r="C629">
            <v>590</v>
          </cell>
        </row>
        <row r="630">
          <cell r="C630">
            <v>591</v>
          </cell>
        </row>
        <row r="631">
          <cell r="C631">
            <v>592</v>
          </cell>
        </row>
        <row r="632">
          <cell r="C632">
            <v>593</v>
          </cell>
        </row>
        <row r="633">
          <cell r="C633">
            <v>594</v>
          </cell>
        </row>
        <row r="634">
          <cell r="C634">
            <v>595</v>
          </cell>
        </row>
        <row r="635">
          <cell r="C635">
            <v>596</v>
          </cell>
        </row>
        <row r="636">
          <cell r="C636">
            <v>597</v>
          </cell>
        </row>
        <row r="637">
          <cell r="C637">
            <v>598</v>
          </cell>
        </row>
        <row r="638">
          <cell r="C638">
            <v>599</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2 - Intro"/>
      <sheetName val="CO2 - Início"/>
      <sheetName val="CO2 - Reciclagem"/>
      <sheetName val="CO2 - Destinação"/>
      <sheetName val="Custos"/>
      <sheetName val="CO2 - Cenário Base"/>
      <sheetName val="CO2 - Cenário RT 1A"/>
      <sheetName val="CO2 - Cenário RT 1B"/>
      <sheetName val="CO2 - Cenário RT 1C"/>
      <sheetName val="CO2 - Cenário RT 2"/>
      <sheetName val="CO2 - Cenário RT 3"/>
      <sheetName val="CO2 - Cenário RT 4"/>
      <sheetName val="CO2 - Cenário RT 5"/>
      <sheetName val="CO2 - Todos Resultados"/>
      <sheetName val="Resultados Custos"/>
      <sheetName val="CO2 - Cálculos"/>
    </sheetNames>
    <sheetDataSet>
      <sheetData sheetId="0"/>
      <sheetData sheetId="1" refreshError="1"/>
      <sheetData sheetId="2" refreshError="1"/>
      <sheetData sheetId="3" refreshError="1"/>
      <sheetData sheetId="4" refreshError="1"/>
      <sheetData sheetId="5">
        <row r="7">
          <cell r="B7" t="str">
            <v>Resíduos de alimentos</v>
          </cell>
          <cell r="C7">
            <v>0</v>
          </cell>
        </row>
        <row r="8">
          <cell r="B8" t="str">
            <v>Resíduos de jardins e parques</v>
          </cell>
          <cell r="C8">
            <v>0</v>
          </cell>
        </row>
        <row r="9">
          <cell r="B9" t="str">
            <v>Papel, papelão</v>
          </cell>
          <cell r="C9">
            <v>2513.6280000000006</v>
          </cell>
        </row>
        <row r="10">
          <cell r="B10" t="str">
            <v>Plásticos</v>
          </cell>
          <cell r="C10">
            <v>2590.3800000000006</v>
          </cell>
        </row>
        <row r="11">
          <cell r="B11" t="str">
            <v>Vidros</v>
          </cell>
          <cell r="C11">
            <v>0</v>
          </cell>
        </row>
        <row r="12">
          <cell r="B12" t="str">
            <v>Metais ferrosos</v>
          </cell>
          <cell r="C12">
            <v>882.64800000000002</v>
          </cell>
        </row>
        <row r="13">
          <cell r="B13" t="str">
            <v>Alumínio</v>
          </cell>
          <cell r="C13">
            <v>230.256</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0</v>
          </cell>
        </row>
        <row r="22">
          <cell r="B22" t="str">
            <v>Aterro sanitário</v>
          </cell>
          <cell r="C22">
            <v>185663.08799999999</v>
          </cell>
        </row>
        <row r="23">
          <cell r="B23" t="str">
            <v>Trat. biol + cobertura at.</v>
          </cell>
          <cell r="C23">
            <v>0</v>
          </cell>
        </row>
        <row r="24">
          <cell r="B24" t="str">
            <v>CDR seco + rejeito aterro</v>
          </cell>
          <cell r="C24">
            <v>0</v>
          </cell>
        </row>
        <row r="25">
          <cell r="B25" t="str">
            <v>CDR seco + trat. biol.</v>
          </cell>
          <cell r="C25">
            <v>0</v>
          </cell>
        </row>
        <row r="26">
          <cell r="B26" t="str">
            <v>CDR seco + CDR org.</v>
          </cell>
          <cell r="C26">
            <v>0</v>
          </cell>
        </row>
        <row r="27">
          <cell r="B27" t="str">
            <v>Incineração</v>
          </cell>
          <cell r="C27">
            <v>0</v>
          </cell>
        </row>
        <row r="52">
          <cell r="H52" t="str">
            <v>Resíduo reciclado</v>
          </cell>
          <cell r="I52" t="str">
            <v>Descarte de resíduos</v>
          </cell>
          <cell r="J52" t="str">
            <v>RSU total</v>
          </cell>
        </row>
        <row r="53">
          <cell r="G53" t="str">
            <v>Débitos</v>
          </cell>
          <cell r="H53">
            <v>4436.1504720000012</v>
          </cell>
          <cell r="I53">
            <v>233392.2106986026</v>
          </cell>
          <cell r="J53">
            <v>237828.36117060261</v>
          </cell>
        </row>
        <row r="54">
          <cell r="G54" t="str">
            <v>Créditos</v>
          </cell>
          <cell r="H54">
            <v>-12624.226524000003</v>
          </cell>
          <cell r="I54">
            <v>0</v>
          </cell>
          <cell r="J54">
            <v>-12624.226524000003</v>
          </cell>
        </row>
        <row r="55">
          <cell r="G55" t="str">
            <v>Líquido</v>
          </cell>
          <cell r="H55">
            <v>-8188.0760520000022</v>
          </cell>
          <cell r="I55">
            <v>233392.2106986026</v>
          </cell>
          <cell r="J55">
            <v>225204.13464660262</v>
          </cell>
        </row>
        <row r="61">
          <cell r="C61" t="str">
            <v>Resíduos reciclados</v>
          </cell>
          <cell r="D61" t="str">
            <v>Líquido</v>
          </cell>
          <cell r="L61" t="str">
            <v>Resíduos descartados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3157.1167680000008</v>
          </cell>
          <cell r="K64" t="str">
            <v>Lixão não controlado</v>
          </cell>
          <cell r="L64">
            <v>0</v>
          </cell>
        </row>
        <row r="65">
          <cell r="B65" t="str">
            <v>Plásticos</v>
          </cell>
          <cell r="C65">
            <v>1062.0558000000003</v>
          </cell>
          <cell r="K65" t="str">
            <v>Aterro controlado</v>
          </cell>
          <cell r="L65">
            <v>0</v>
          </cell>
        </row>
        <row r="66">
          <cell r="B66" t="str">
            <v>Vidros</v>
          </cell>
          <cell r="C66">
            <v>0</v>
          </cell>
          <cell r="K66" t="str">
            <v>Aterro sanitário</v>
          </cell>
          <cell r="L66">
            <v>233392.2106986026</v>
          </cell>
        </row>
        <row r="67">
          <cell r="B67" t="str">
            <v>Metais ferrosos</v>
          </cell>
          <cell r="C67">
            <v>56.489471999999999</v>
          </cell>
          <cell r="K67" t="str">
            <v>Trat. biol + cobertura at.</v>
          </cell>
          <cell r="L67">
            <v>0</v>
          </cell>
        </row>
        <row r="68">
          <cell r="B68" t="str">
            <v>Alumínio</v>
          </cell>
          <cell r="C68">
            <v>160.48843199999999</v>
          </cell>
          <cell r="K68" t="str">
            <v>CDR seco + rejeito aterro</v>
          </cell>
          <cell r="L68">
            <v>0</v>
          </cell>
        </row>
        <row r="69">
          <cell r="B69" t="str">
            <v>Têxteis</v>
          </cell>
          <cell r="C69">
            <v>0</v>
          </cell>
          <cell r="K69" t="str">
            <v>CDR seco + trat. biol.</v>
          </cell>
          <cell r="L69">
            <v>0</v>
          </cell>
        </row>
        <row r="70">
          <cell r="B70" t="str">
            <v>Débitos</v>
          </cell>
          <cell r="K70" t="str">
            <v>CDR seco + CDR org.</v>
          </cell>
          <cell r="L70">
            <v>0</v>
          </cell>
        </row>
        <row r="71">
          <cell r="B71" t="str">
            <v>Resíduos de alimentos</v>
          </cell>
          <cell r="C71">
            <v>0</v>
          </cell>
          <cell r="K71" t="str">
            <v>Incineração</v>
          </cell>
          <cell r="L71">
            <v>0</v>
          </cell>
        </row>
        <row r="72">
          <cell r="B72" t="str">
            <v>Resíduos de jardins e parques</v>
          </cell>
          <cell r="C72">
            <v>0</v>
          </cell>
          <cell r="K72" t="str">
            <v>Débitos</v>
          </cell>
        </row>
        <row r="73">
          <cell r="B73" t="str">
            <v>Papel, papelão</v>
          </cell>
          <cell r="C73">
            <v>-3891.096144000001</v>
          </cell>
          <cell r="K73" t="str">
            <v>Resíduos dispersos</v>
          </cell>
          <cell r="L73">
            <v>0</v>
          </cell>
        </row>
        <row r="74">
          <cell r="B74" t="str">
            <v>Plásticos</v>
          </cell>
          <cell r="C74">
            <v>-4947.1077240000013</v>
          </cell>
          <cell r="K74" t="str">
            <v>Queima a céu aberto</v>
          </cell>
          <cell r="L74">
            <v>0</v>
          </cell>
        </row>
        <row r="75">
          <cell r="B75" t="str">
            <v>Vidros</v>
          </cell>
          <cell r="C75">
            <v>0</v>
          </cell>
          <cell r="K75" t="str">
            <v>Lixão não controlado</v>
          </cell>
          <cell r="L75">
            <v>0</v>
          </cell>
        </row>
        <row r="76">
          <cell r="B76" t="str">
            <v>Metais ferrosos</v>
          </cell>
          <cell r="C76">
            <v>-1511.093376</v>
          </cell>
          <cell r="K76" t="str">
            <v>Aterro controlado</v>
          </cell>
          <cell r="L76">
            <v>0</v>
          </cell>
        </row>
        <row r="77">
          <cell r="B77" t="str">
            <v>Alumínio</v>
          </cell>
          <cell r="C77">
            <v>-2274.9292799999998</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0</v>
          </cell>
        </row>
        <row r="80">
          <cell r="B80" t="str">
            <v>Líquidos</v>
          </cell>
          <cell r="D80">
            <v>-8188.0760520000003</v>
          </cell>
          <cell r="K80" t="str">
            <v>CDR seco + trat. biol.</v>
          </cell>
          <cell r="L80">
            <v>0</v>
          </cell>
        </row>
        <row r="81">
          <cell r="K81" t="str">
            <v>CDR seco + CDR org.</v>
          </cell>
          <cell r="L81">
            <v>0</v>
          </cell>
        </row>
        <row r="82">
          <cell r="K82" t="str">
            <v>Incineração</v>
          </cell>
          <cell r="L82">
            <v>0</v>
          </cell>
        </row>
        <row r="83">
          <cell r="K83" t="str">
            <v>Créditos</v>
          </cell>
        </row>
        <row r="84">
          <cell r="K84" t="str">
            <v>Líquido</v>
          </cell>
          <cell r="M84">
            <v>233392.2106986026</v>
          </cell>
        </row>
      </sheetData>
      <sheetData sheetId="6">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0</v>
          </cell>
        </row>
        <row r="22">
          <cell r="B22" t="str">
            <v>Aterro sanitário</v>
          </cell>
          <cell r="C22">
            <v>60383.571065999997</v>
          </cell>
        </row>
        <row r="23">
          <cell r="B23" t="str">
            <v>Trat. biol + cobertura at.</v>
          </cell>
          <cell r="C23">
            <v>0</v>
          </cell>
        </row>
        <row r="24">
          <cell r="B24" t="str">
            <v>CDR seco + rejeito aterro</v>
          </cell>
          <cell r="C24">
            <v>21565.561095000001</v>
          </cell>
        </row>
        <row r="25">
          <cell r="B25" t="str">
            <v>CDR seco + trat. biol.</v>
          </cell>
          <cell r="C25">
            <v>90575.356599000006</v>
          </cell>
        </row>
        <row r="26">
          <cell r="B26" t="str">
            <v>CDR seco + CDR org.</v>
          </cell>
          <cell r="C26">
            <v>0</v>
          </cell>
        </row>
        <row r="27">
          <cell r="B27" t="str">
            <v>Incineração</v>
          </cell>
          <cell r="C27">
            <v>0</v>
          </cell>
        </row>
        <row r="52">
          <cell r="H52" t="str">
            <v>Resíduo reciclado</v>
          </cell>
          <cell r="I52" t="str">
            <v>Destinação de resíduos</v>
          </cell>
          <cell r="J52" t="str">
            <v>RSU total</v>
          </cell>
        </row>
        <row r="53">
          <cell r="G53" t="str">
            <v>Débitos</v>
          </cell>
          <cell r="H53">
            <v>13880.36664144</v>
          </cell>
          <cell r="I53">
            <v>98140.719122907482</v>
          </cell>
          <cell r="J53">
            <v>112021.08576434749</v>
          </cell>
        </row>
        <row r="54">
          <cell r="G54" t="str">
            <v>Créditos</v>
          </cell>
          <cell r="H54">
            <v>-41824.594768319992</v>
          </cell>
          <cell r="I54">
            <v>-59374.374747797869</v>
          </cell>
          <cell r="J54">
            <v>-101198.96951611785</v>
          </cell>
        </row>
        <row r="55">
          <cell r="G55" t="str">
            <v>Líquido</v>
          </cell>
          <cell r="H55">
            <v>-27944.228126879992</v>
          </cell>
          <cell r="I55">
            <v>38766.344375109613</v>
          </cell>
          <cell r="J55">
            <v>10822.11624822962</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0</v>
          </cell>
        </row>
        <row r="66">
          <cell r="B66" t="str">
            <v>Vidros</v>
          </cell>
          <cell r="C66">
            <v>0</v>
          </cell>
          <cell r="K66" t="str">
            <v>Aterro sanitário</v>
          </cell>
          <cell r="L66">
            <v>75651.718869543605</v>
          </cell>
        </row>
        <row r="67">
          <cell r="B67" t="str">
            <v>Metais ferrosos</v>
          </cell>
          <cell r="C67">
            <v>268.32499199999995</v>
          </cell>
          <cell r="K67" t="str">
            <v>Trat. biol + cobertura at.</v>
          </cell>
          <cell r="L67">
            <v>0</v>
          </cell>
        </row>
        <row r="68">
          <cell r="B68" t="str">
            <v>Alumínio</v>
          </cell>
          <cell r="C68">
            <v>762.32005199999992</v>
          </cell>
          <cell r="K68" t="str">
            <v>CDR seco + rejeito aterro</v>
          </cell>
          <cell r="L68">
            <v>12948.164326587033</v>
          </cell>
        </row>
        <row r="69">
          <cell r="B69" t="str">
            <v>Têxteis</v>
          </cell>
          <cell r="C69">
            <v>0</v>
          </cell>
          <cell r="K69" t="str">
            <v>CDR seco + trat. biol.</v>
          </cell>
          <cell r="L69">
            <v>9540.8359267768355</v>
          </cell>
        </row>
        <row r="70">
          <cell r="B70" t="str">
            <v>Débitos</v>
          </cell>
          <cell r="K70" t="str">
            <v>CDR seco + CDR org.</v>
          </cell>
          <cell r="L70">
            <v>0</v>
          </cell>
        </row>
        <row r="71">
          <cell r="B71" t="str">
            <v>Resíduos de alimentos</v>
          </cell>
          <cell r="C71">
            <v>0</v>
          </cell>
          <cell r="K71" t="str">
            <v>Incineração</v>
          </cell>
          <cell r="L71">
            <v>0</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-11304.699341863436</v>
          </cell>
        </row>
        <row r="80">
          <cell r="B80" t="str">
            <v>Líquido</v>
          </cell>
          <cell r="D80">
            <v>-27944.22812688</v>
          </cell>
          <cell r="K80" t="str">
            <v>CDR seco + trat. biol.</v>
          </cell>
          <cell r="L80">
            <v>-48069.675405934431</v>
          </cell>
        </row>
        <row r="81">
          <cell r="K81" t="str">
            <v>CDR seco + CDR org.</v>
          </cell>
          <cell r="L81">
            <v>0</v>
          </cell>
        </row>
        <row r="82">
          <cell r="K82" t="str">
            <v>Incineração</v>
          </cell>
          <cell r="L82">
            <v>0</v>
          </cell>
        </row>
        <row r="83">
          <cell r="K83" t="str">
            <v>Créditos</v>
          </cell>
        </row>
        <row r="84">
          <cell r="K84" t="str">
            <v>Líquido</v>
          </cell>
          <cell r="M84">
            <v>38766.344375109613</v>
          </cell>
        </row>
      </sheetData>
      <sheetData sheetId="7">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0</v>
          </cell>
        </row>
        <row r="22">
          <cell r="B22" t="str">
            <v>Aterro sanitário</v>
          </cell>
          <cell r="C22">
            <v>60383.571065999997</v>
          </cell>
        </row>
        <row r="23">
          <cell r="B23" t="str">
            <v>Trat. biol + cobertura at.</v>
          </cell>
          <cell r="C23">
            <v>0</v>
          </cell>
        </row>
        <row r="24">
          <cell r="B24" t="str">
            <v>CDR seco + rejeito aterro</v>
          </cell>
          <cell r="C24">
            <v>21565.561095000001</v>
          </cell>
        </row>
        <row r="25">
          <cell r="B25" t="str">
            <v>CDR seco + trat. biol.</v>
          </cell>
          <cell r="C25">
            <v>90575.356599000006</v>
          </cell>
        </row>
        <row r="26">
          <cell r="B26" t="str">
            <v>CDR seco + CDR org.</v>
          </cell>
          <cell r="C26">
            <v>0</v>
          </cell>
        </row>
        <row r="27">
          <cell r="B27" t="str">
            <v>Incineração</v>
          </cell>
          <cell r="C27">
            <v>0</v>
          </cell>
        </row>
        <row r="52">
          <cell r="H52" t="str">
            <v>Resíduo reciclado</v>
          </cell>
          <cell r="I52" t="str">
            <v>Destinação de resíduos</v>
          </cell>
          <cell r="J52" t="str">
            <v>RSU total</v>
          </cell>
        </row>
        <row r="53">
          <cell r="G53" t="str">
            <v>Débitos</v>
          </cell>
          <cell r="H53">
            <v>13880.36664144</v>
          </cell>
          <cell r="I53">
            <v>98140.719122907482</v>
          </cell>
          <cell r="J53">
            <v>112021.08576434749</v>
          </cell>
        </row>
        <row r="54">
          <cell r="G54" t="str">
            <v>Créditos</v>
          </cell>
          <cell r="H54">
            <v>-41824.594768319992</v>
          </cell>
          <cell r="I54">
            <v>-67551.897129492572</v>
          </cell>
          <cell r="J54">
            <v>-109376.49189781256</v>
          </cell>
        </row>
        <row r="55">
          <cell r="G55" t="str">
            <v>Líquido</v>
          </cell>
          <cell r="H55">
            <v>-27944.228126879992</v>
          </cell>
          <cell r="I55">
            <v>30588.821993414909</v>
          </cell>
          <cell r="J55">
            <v>2644.5938665349167</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0</v>
          </cell>
        </row>
        <row r="66">
          <cell r="B66" t="str">
            <v>Vidros</v>
          </cell>
          <cell r="C66">
            <v>0</v>
          </cell>
          <cell r="K66" t="str">
            <v>Aterro sanitário</v>
          </cell>
          <cell r="L66">
            <v>75651.718869543605</v>
          </cell>
        </row>
        <row r="67">
          <cell r="B67" t="str">
            <v>Metais ferrosos</v>
          </cell>
          <cell r="C67">
            <v>268.32499199999995</v>
          </cell>
          <cell r="K67" t="str">
            <v>Trat. biol + cobertura at.</v>
          </cell>
          <cell r="L67">
            <v>0</v>
          </cell>
        </row>
        <row r="68">
          <cell r="B68" t="str">
            <v>Alumínio</v>
          </cell>
          <cell r="C68">
            <v>762.32005199999992</v>
          </cell>
          <cell r="K68" t="str">
            <v>CDR seco + rejeito aterro</v>
          </cell>
          <cell r="L68">
            <v>12948.164326587033</v>
          </cell>
        </row>
        <row r="69">
          <cell r="B69" t="str">
            <v>Têxteis</v>
          </cell>
          <cell r="C69">
            <v>0</v>
          </cell>
          <cell r="K69" t="str">
            <v>CDR seco + trat. biol.</v>
          </cell>
          <cell r="L69">
            <v>9540.8359267768355</v>
          </cell>
        </row>
        <row r="70">
          <cell r="B70" t="str">
            <v>Débitos</v>
          </cell>
          <cell r="K70" t="str">
            <v>CDR seco + CDR org.</v>
          </cell>
          <cell r="L70">
            <v>0</v>
          </cell>
        </row>
        <row r="71">
          <cell r="B71" t="str">
            <v>Resíduos de alimentos</v>
          </cell>
          <cell r="C71">
            <v>0</v>
          </cell>
          <cell r="K71" t="str">
            <v>Incineração</v>
          </cell>
          <cell r="L71">
            <v>0</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-11304.699341863436</v>
          </cell>
        </row>
        <row r="80">
          <cell r="B80" t="str">
            <v>Líquido</v>
          </cell>
          <cell r="D80">
            <v>-27944.22812688</v>
          </cell>
          <cell r="K80" t="str">
            <v>CDR seco + trat. biol.</v>
          </cell>
          <cell r="L80">
            <v>-56247.197787629142</v>
          </cell>
        </row>
        <row r="81">
          <cell r="K81" t="str">
            <v>CDR seco + CDR org.</v>
          </cell>
          <cell r="L81">
            <v>0</v>
          </cell>
        </row>
        <row r="82">
          <cell r="K82" t="str">
            <v>Incineração</v>
          </cell>
          <cell r="L82">
            <v>0</v>
          </cell>
        </row>
        <row r="83">
          <cell r="K83" t="str">
            <v>Créditos</v>
          </cell>
        </row>
        <row r="84">
          <cell r="K84" t="str">
            <v>Líquido</v>
          </cell>
          <cell r="M84">
            <v>30588.821993414902</v>
          </cell>
        </row>
      </sheetData>
      <sheetData sheetId="8">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0</v>
          </cell>
        </row>
        <row r="22">
          <cell r="B22" t="str">
            <v>Aterro sanitário</v>
          </cell>
          <cell r="C22">
            <v>60383.571065999997</v>
          </cell>
        </row>
        <row r="23">
          <cell r="B23" t="str">
            <v>Trat. biol + cobertura at.</v>
          </cell>
          <cell r="C23">
            <v>0</v>
          </cell>
        </row>
        <row r="24">
          <cell r="B24" t="str">
            <v>CDR seco + rejeito aterro</v>
          </cell>
          <cell r="C24">
            <v>21565.561095000001</v>
          </cell>
        </row>
        <row r="25">
          <cell r="B25" t="str">
            <v>CDR seco + trat. biol.</v>
          </cell>
          <cell r="C25">
            <v>90575.356599000006</v>
          </cell>
        </row>
        <row r="26">
          <cell r="B26" t="str">
            <v>CDR seco + CDR org.</v>
          </cell>
          <cell r="C26">
            <v>0</v>
          </cell>
        </row>
        <row r="27">
          <cell r="B27" t="str">
            <v>Incineração</v>
          </cell>
          <cell r="C27">
            <v>0</v>
          </cell>
        </row>
        <row r="52">
          <cell r="H52" t="str">
            <v>Resíduo reciclado</v>
          </cell>
          <cell r="I52" t="str">
            <v>Destinação de resíduos</v>
          </cell>
          <cell r="J52" t="str">
            <v>RSU total</v>
          </cell>
        </row>
        <row r="53">
          <cell r="G53" t="str">
            <v>Débitos</v>
          </cell>
          <cell r="H53">
            <v>13880.36664144</v>
          </cell>
          <cell r="I53">
            <v>97683.506964199827</v>
          </cell>
          <cell r="J53">
            <v>111563.87360563982</v>
          </cell>
        </row>
        <row r="54">
          <cell r="G54" t="str">
            <v>Créditos</v>
          </cell>
          <cell r="H54">
            <v>-41824.594768319992</v>
          </cell>
          <cell r="I54">
            <v>-58784.436577689863</v>
          </cell>
          <cell r="J54">
            <v>-100609.03134600986</v>
          </cell>
        </row>
        <row r="55">
          <cell r="G55" t="str">
            <v>Líquido</v>
          </cell>
          <cell r="H55">
            <v>-27944.228126879992</v>
          </cell>
          <cell r="I55">
            <v>38899.070386509964</v>
          </cell>
          <cell r="J55">
            <v>10954.842259629972</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0</v>
          </cell>
        </row>
        <row r="66">
          <cell r="B66" t="str">
            <v>Vidros</v>
          </cell>
          <cell r="C66">
            <v>0</v>
          </cell>
          <cell r="K66" t="str">
            <v>Aterro sanitário</v>
          </cell>
          <cell r="L66">
            <v>75651.718869543605</v>
          </cell>
        </row>
        <row r="67">
          <cell r="B67" t="str">
            <v>Metais ferrosos</v>
          </cell>
          <cell r="C67">
            <v>268.32499199999995</v>
          </cell>
          <cell r="K67" t="str">
            <v>Trat. biol + cobertura at.</v>
          </cell>
          <cell r="L67">
            <v>0</v>
          </cell>
        </row>
        <row r="68">
          <cell r="B68" t="str">
            <v>Alumínio</v>
          </cell>
          <cell r="C68">
            <v>762.32005199999992</v>
          </cell>
          <cell r="K68" t="str">
            <v>CDR seco + rejeito aterro</v>
          </cell>
          <cell r="L68">
            <v>12948.164326587033</v>
          </cell>
        </row>
        <row r="69">
          <cell r="B69" t="str">
            <v>Têxteis</v>
          </cell>
          <cell r="C69">
            <v>0</v>
          </cell>
          <cell r="K69" t="str">
            <v>CDR seco + trat. biol.</v>
          </cell>
          <cell r="L69">
            <v>9083.6237680691793</v>
          </cell>
        </row>
        <row r="70">
          <cell r="B70" t="str">
            <v>Débitos</v>
          </cell>
          <cell r="K70" t="str">
            <v>CDR seco + CDR org.</v>
          </cell>
          <cell r="L70">
            <v>0</v>
          </cell>
        </row>
        <row r="71">
          <cell r="B71" t="str">
            <v>Resíduos de alimentos</v>
          </cell>
          <cell r="C71">
            <v>0</v>
          </cell>
          <cell r="K71" t="str">
            <v>Incineração</v>
          </cell>
          <cell r="L71">
            <v>0</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-11304.699341863436</v>
          </cell>
        </row>
        <row r="80">
          <cell r="B80" t="str">
            <v>Líquido</v>
          </cell>
          <cell r="D80">
            <v>-27944.22812688</v>
          </cell>
          <cell r="K80" t="str">
            <v>CDR seco + trat. biol.</v>
          </cell>
          <cell r="L80">
            <v>-47479.737235826426</v>
          </cell>
        </row>
        <row r="81">
          <cell r="K81" t="str">
            <v>CDR seco + CDR org.</v>
          </cell>
          <cell r="L81">
            <v>0</v>
          </cell>
        </row>
        <row r="82">
          <cell r="K82" t="str">
            <v>Incineração</v>
          </cell>
          <cell r="L82">
            <v>0</v>
          </cell>
        </row>
        <row r="83">
          <cell r="K83" t="str">
            <v>Créditos</v>
          </cell>
        </row>
        <row r="84">
          <cell r="K84" t="str">
            <v>Líquido</v>
          </cell>
          <cell r="M84">
            <v>38899.070386509964</v>
          </cell>
        </row>
      </sheetData>
      <sheetData sheetId="9">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0</v>
          </cell>
        </row>
        <row r="22">
          <cell r="B22" t="str">
            <v>Aterro sanitário</v>
          </cell>
          <cell r="C22">
            <v>64696.683285000006</v>
          </cell>
        </row>
        <row r="23">
          <cell r="B23" t="str">
            <v>Trat. biol + cobertura at.</v>
          </cell>
          <cell r="C23">
            <v>107827.805475</v>
          </cell>
        </row>
        <row r="24">
          <cell r="B24" t="str">
            <v>CDR seco + rejeito aterro</v>
          </cell>
          <cell r="C24">
            <v>0</v>
          </cell>
        </row>
        <row r="25">
          <cell r="B25" t="str">
            <v>CDR seco + trat. biol.</v>
          </cell>
          <cell r="C25">
            <v>0</v>
          </cell>
        </row>
        <row r="26">
          <cell r="B26" t="str">
            <v>CDR seco + CDR org.</v>
          </cell>
          <cell r="C26">
            <v>0</v>
          </cell>
        </row>
        <row r="27">
          <cell r="B27" t="str">
            <v>Incineração</v>
          </cell>
          <cell r="C27">
            <v>0</v>
          </cell>
        </row>
        <row r="52">
          <cell r="H52" t="str">
            <v>Resíduo reciclado</v>
          </cell>
          <cell r="I52" t="str">
            <v>Destinação de resíduo</v>
          </cell>
          <cell r="J52" t="str">
            <v>RSU total</v>
          </cell>
        </row>
        <row r="53">
          <cell r="G53" t="str">
            <v>Débitos</v>
          </cell>
          <cell r="H53">
            <v>13880.36664144</v>
          </cell>
          <cell r="I53">
            <v>84857.906720684157</v>
          </cell>
          <cell r="J53">
            <v>98738.273362124164</v>
          </cell>
        </row>
        <row r="54">
          <cell r="G54" t="str">
            <v>Créditos</v>
          </cell>
          <cell r="H54">
            <v>-41824.594768319992</v>
          </cell>
          <cell r="I54">
            <v>0</v>
          </cell>
          <cell r="J54">
            <v>-41824.594768319992</v>
          </cell>
        </row>
        <row r="55">
          <cell r="G55" t="str">
            <v>Líquido</v>
          </cell>
          <cell r="H55">
            <v>-27944.228126879992</v>
          </cell>
          <cell r="I55">
            <v>84857.906720684157</v>
          </cell>
          <cell r="J55">
            <v>56913.678593804165</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0</v>
          </cell>
        </row>
        <row r="66">
          <cell r="B66" t="str">
            <v>Vidros</v>
          </cell>
          <cell r="C66">
            <v>0</v>
          </cell>
          <cell r="K66" t="str">
            <v>Aterro sanitário</v>
          </cell>
          <cell r="L66">
            <v>81055.413074511016</v>
          </cell>
        </row>
        <row r="67">
          <cell r="B67" t="str">
            <v>Metais ferrosos</v>
          </cell>
          <cell r="C67">
            <v>268.32499199999995</v>
          </cell>
          <cell r="K67" t="str">
            <v>Trat. biol + cobertura at.</v>
          </cell>
          <cell r="L67">
            <v>3802.4936461731372</v>
          </cell>
        </row>
        <row r="68">
          <cell r="B68" t="str">
            <v>Alumínio</v>
          </cell>
          <cell r="C68">
            <v>762.32005199999992</v>
          </cell>
          <cell r="K68" t="str">
            <v>CDR seco + rejeito aterro</v>
          </cell>
          <cell r="L68">
            <v>0</v>
          </cell>
        </row>
        <row r="69">
          <cell r="B69" t="str">
            <v>Têxteis</v>
          </cell>
          <cell r="C69">
            <v>0</v>
          </cell>
          <cell r="K69" t="str">
            <v>CDR seco + trat. biol.</v>
          </cell>
          <cell r="L69">
            <v>0</v>
          </cell>
        </row>
        <row r="70">
          <cell r="B70" t="str">
            <v>Débitos</v>
          </cell>
          <cell r="K70" t="str">
            <v>CDR seco + CDR org.</v>
          </cell>
          <cell r="L70">
            <v>0</v>
          </cell>
        </row>
        <row r="71">
          <cell r="B71" t="str">
            <v>Resíduos de alimentos</v>
          </cell>
          <cell r="C71">
            <v>0</v>
          </cell>
          <cell r="K71" t="str">
            <v>Incineração</v>
          </cell>
          <cell r="L71">
            <v>0</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0</v>
          </cell>
        </row>
        <row r="80">
          <cell r="B80" t="str">
            <v>Líquido</v>
          </cell>
          <cell r="D80">
            <v>-27944.22812688</v>
          </cell>
          <cell r="K80" t="str">
            <v>CDR seco + trat. biol.</v>
          </cell>
          <cell r="L80">
            <v>0</v>
          </cell>
        </row>
        <row r="81">
          <cell r="K81" t="str">
            <v>CDR seco + CDR org.</v>
          </cell>
          <cell r="L81">
            <v>0</v>
          </cell>
        </row>
        <row r="82">
          <cell r="K82" t="str">
            <v>Incineração</v>
          </cell>
          <cell r="L82">
            <v>0</v>
          </cell>
        </row>
        <row r="83">
          <cell r="K83" t="str">
            <v>Créditos</v>
          </cell>
        </row>
        <row r="84">
          <cell r="K84" t="str">
            <v>Líquido</v>
          </cell>
          <cell r="M84">
            <v>84857.906720684157</v>
          </cell>
        </row>
      </sheetData>
      <sheetData sheetId="10">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51757.346627999999</v>
          </cell>
        </row>
        <row r="22">
          <cell r="B22" t="str">
            <v>Aterro sanitário</v>
          </cell>
          <cell r="C22">
            <v>0</v>
          </cell>
        </row>
        <row r="23">
          <cell r="B23" t="str">
            <v>Trat. biol + cobertura at.</v>
          </cell>
          <cell r="C23">
            <v>0</v>
          </cell>
        </row>
        <row r="24">
          <cell r="B24" t="str">
            <v>CDR seco + rejeito aterro</v>
          </cell>
          <cell r="C24">
            <v>0</v>
          </cell>
        </row>
        <row r="25">
          <cell r="B25" t="str">
            <v>CDR seco + trat. biol.</v>
          </cell>
          <cell r="C25">
            <v>0</v>
          </cell>
        </row>
        <row r="26">
          <cell r="B26" t="str">
            <v>CDR seco + CDR org.</v>
          </cell>
          <cell r="C26">
            <v>120767.14213199999</v>
          </cell>
        </row>
        <row r="27">
          <cell r="B27" t="str">
            <v>Incineração</v>
          </cell>
          <cell r="C27">
            <v>0</v>
          </cell>
        </row>
        <row r="52">
          <cell r="H52" t="str">
            <v>Resíduo reciclado</v>
          </cell>
          <cell r="I52" t="str">
            <v>Destinação de resíduo</v>
          </cell>
          <cell r="J52" t="str">
            <v>RSU total</v>
          </cell>
        </row>
        <row r="53">
          <cell r="G53" t="str">
            <v>Débitos</v>
          </cell>
          <cell r="H53">
            <v>13880.36664144</v>
          </cell>
          <cell r="I53">
            <v>92688.870027729921</v>
          </cell>
          <cell r="J53">
            <v>106569.23666916991</v>
          </cell>
        </row>
        <row r="54">
          <cell r="G54" t="str">
            <v>Créditos</v>
          </cell>
          <cell r="H54">
            <v>-41824.594768319992</v>
          </cell>
          <cell r="I54">
            <v>-108661.48909556239</v>
          </cell>
          <cell r="J54">
            <v>-150486.08386388238</v>
          </cell>
        </row>
        <row r="55">
          <cell r="G55" t="str">
            <v>Líquido</v>
          </cell>
          <cell r="H55">
            <v>-27944.228126879992</v>
          </cell>
          <cell r="I55">
            <v>-15972.619067832464</v>
          </cell>
          <cell r="J55">
            <v>-43916.847194712456</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74181.175878396971</v>
          </cell>
        </row>
        <row r="66">
          <cell r="B66" t="str">
            <v>Vidros</v>
          </cell>
          <cell r="C66">
            <v>0</v>
          </cell>
          <cell r="K66" t="str">
            <v>Aterro sanitário</v>
          </cell>
          <cell r="L66">
            <v>0</v>
          </cell>
        </row>
        <row r="67">
          <cell r="B67" t="str">
            <v>Metais ferrosos</v>
          </cell>
          <cell r="C67">
            <v>268.32499199999995</v>
          </cell>
          <cell r="K67" t="str">
            <v>Trat. biol + cobertura at.</v>
          </cell>
          <cell r="L67">
            <v>0</v>
          </cell>
        </row>
        <row r="68">
          <cell r="B68" t="str">
            <v>Alumínio</v>
          </cell>
          <cell r="C68">
            <v>762.32005199999992</v>
          </cell>
          <cell r="K68" t="str">
            <v>CDR seco + rejeito aterro</v>
          </cell>
          <cell r="L68">
            <v>0</v>
          </cell>
        </row>
        <row r="69">
          <cell r="B69" t="str">
            <v>Têxteis</v>
          </cell>
          <cell r="C69">
            <v>0</v>
          </cell>
          <cell r="K69" t="str">
            <v>CDR seco + trat. biol.</v>
          </cell>
          <cell r="L69">
            <v>0</v>
          </cell>
        </row>
        <row r="70">
          <cell r="B70" t="str">
            <v>Débitos</v>
          </cell>
          <cell r="K70" t="str">
            <v>CDR seco + CDR org.</v>
          </cell>
          <cell r="L70">
            <v>18507.694149332947</v>
          </cell>
        </row>
        <row r="71">
          <cell r="B71" t="str">
            <v>Resíduos de alimentos</v>
          </cell>
          <cell r="C71">
            <v>0</v>
          </cell>
          <cell r="K71" t="str">
            <v>Incineração</v>
          </cell>
          <cell r="L71">
            <v>0</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0</v>
          </cell>
        </row>
        <row r="80">
          <cell r="B80" t="str">
            <v>Líquido</v>
          </cell>
          <cell r="D80">
            <v>-27944.22812688</v>
          </cell>
          <cell r="K80" t="str">
            <v>CDR seco + trat. biol.</v>
          </cell>
          <cell r="L80">
            <v>0</v>
          </cell>
        </row>
        <row r="81">
          <cell r="K81" t="str">
            <v>CDR seco + CDR org.</v>
          </cell>
          <cell r="L81">
            <v>-108661.48909556239</v>
          </cell>
        </row>
        <row r="82">
          <cell r="K82" t="str">
            <v>Incineração</v>
          </cell>
          <cell r="L82">
            <v>0</v>
          </cell>
        </row>
        <row r="83">
          <cell r="K83" t="str">
            <v>Créditos</v>
          </cell>
        </row>
        <row r="84">
          <cell r="K84" t="str">
            <v>Líquido</v>
          </cell>
          <cell r="M84">
            <v>-15972.619067832464</v>
          </cell>
        </row>
      </sheetData>
      <sheetData sheetId="11">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25878.673314</v>
          </cell>
        </row>
        <row r="22">
          <cell r="B22" t="str">
            <v>Aterro sanitário</v>
          </cell>
          <cell r="C22">
            <v>0</v>
          </cell>
        </row>
        <row r="23">
          <cell r="B23" t="str">
            <v>Trat. biol + cobertura at.</v>
          </cell>
          <cell r="C23">
            <v>0</v>
          </cell>
        </row>
        <row r="24">
          <cell r="B24" t="str">
            <v>CDR seco + rejeito aterro</v>
          </cell>
          <cell r="C24">
            <v>0</v>
          </cell>
        </row>
        <row r="25">
          <cell r="B25" t="str">
            <v>CDR seco + trat. biol.</v>
          </cell>
          <cell r="C25">
            <v>0</v>
          </cell>
        </row>
        <row r="26">
          <cell r="B26" t="str">
            <v>CDR seco + CDR org.</v>
          </cell>
          <cell r="C26">
            <v>0</v>
          </cell>
        </row>
        <row r="27">
          <cell r="B27" t="str">
            <v>Incineração</v>
          </cell>
          <cell r="C27">
            <v>146645.81544599999</v>
          </cell>
        </row>
        <row r="52">
          <cell r="H52" t="str">
            <v>Resíduo reciclado</v>
          </cell>
          <cell r="I52" t="str">
            <v>Destinação de resíduo</v>
          </cell>
          <cell r="J52" t="str">
            <v>RSU total</v>
          </cell>
        </row>
        <row r="53">
          <cell r="G53" t="str">
            <v>Débitos</v>
          </cell>
          <cell r="H53">
            <v>13880.36664144</v>
          </cell>
          <cell r="I53">
            <v>87679.96396809876</v>
          </cell>
          <cell r="J53">
            <v>101560.33060953877</v>
          </cell>
        </row>
        <row r="54">
          <cell r="G54" t="str">
            <v>Créditos</v>
          </cell>
          <cell r="H54">
            <v>-41824.594768319992</v>
          </cell>
          <cell r="I54">
            <v>-3793.9920602673387</v>
          </cell>
          <cell r="J54">
            <v>-45618.586828587329</v>
          </cell>
        </row>
        <row r="55">
          <cell r="G55" t="str">
            <v>Líquido</v>
          </cell>
          <cell r="H55">
            <v>-27944.228126879992</v>
          </cell>
          <cell r="I55">
            <v>83885.971907831423</v>
          </cell>
          <cell r="J55">
            <v>55941.74378095143</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37090.587939198485</v>
          </cell>
        </row>
        <row r="66">
          <cell r="B66" t="str">
            <v>Vidros</v>
          </cell>
          <cell r="C66">
            <v>0</v>
          </cell>
          <cell r="K66" t="str">
            <v>Aterro sanitário</v>
          </cell>
          <cell r="L66">
            <v>0</v>
          </cell>
        </row>
        <row r="67">
          <cell r="B67" t="str">
            <v>Metais ferrosos</v>
          </cell>
          <cell r="C67">
            <v>268.32499199999995</v>
          </cell>
          <cell r="K67" t="str">
            <v>Trat. biol + cobertura at.</v>
          </cell>
          <cell r="L67">
            <v>0</v>
          </cell>
        </row>
        <row r="68">
          <cell r="B68" t="str">
            <v>Alumínio</v>
          </cell>
          <cell r="C68">
            <v>762.32005199999992</v>
          </cell>
          <cell r="K68" t="str">
            <v>CDR seco + rejeito aterro</v>
          </cell>
          <cell r="L68">
            <v>0</v>
          </cell>
        </row>
        <row r="69">
          <cell r="B69" t="str">
            <v>Têxteis</v>
          </cell>
          <cell r="C69">
            <v>0</v>
          </cell>
          <cell r="K69" t="str">
            <v>CDR seco + trat. biol.</v>
          </cell>
          <cell r="L69">
            <v>0</v>
          </cell>
        </row>
        <row r="70">
          <cell r="B70" t="str">
            <v>Débitos</v>
          </cell>
          <cell r="K70" t="str">
            <v>CDR seco + CDR org.</v>
          </cell>
          <cell r="L70">
            <v>0</v>
          </cell>
        </row>
        <row r="71">
          <cell r="B71" t="str">
            <v>Resíduos de alimentos</v>
          </cell>
          <cell r="C71">
            <v>0</v>
          </cell>
          <cell r="K71" t="str">
            <v>Incineração</v>
          </cell>
          <cell r="L71">
            <v>50589.376028900275</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0</v>
          </cell>
        </row>
        <row r="80">
          <cell r="B80" t="str">
            <v>Líquido</v>
          </cell>
          <cell r="D80">
            <v>-27944.22812688</v>
          </cell>
          <cell r="K80" t="str">
            <v>CDR seco + trat. biol.</v>
          </cell>
          <cell r="L80">
            <v>0</v>
          </cell>
        </row>
        <row r="81">
          <cell r="K81" t="str">
            <v>CDR seco + CDR org.</v>
          </cell>
          <cell r="L81">
            <v>0</v>
          </cell>
        </row>
        <row r="82">
          <cell r="K82" t="str">
            <v>Incineração</v>
          </cell>
          <cell r="L82">
            <v>-3793.9920602673387</v>
          </cell>
        </row>
        <row r="83">
          <cell r="K83" t="str">
            <v>Créditos</v>
          </cell>
        </row>
        <row r="84">
          <cell r="K84" t="str">
            <v>Líquido</v>
          </cell>
          <cell r="M84">
            <v>83885.971907831423</v>
          </cell>
        </row>
      </sheetData>
      <sheetData sheetId="12">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25878.673314</v>
          </cell>
        </row>
        <row r="22">
          <cell r="B22" t="str">
            <v>Aterro sanitário</v>
          </cell>
          <cell r="C22">
            <v>0</v>
          </cell>
        </row>
        <row r="23">
          <cell r="B23" t="str">
            <v>Trat. biol + cobertura at.</v>
          </cell>
          <cell r="C23">
            <v>0</v>
          </cell>
        </row>
        <row r="24">
          <cell r="B24" t="str">
            <v>CDR seco + rejeito aterro</v>
          </cell>
          <cell r="C24">
            <v>0</v>
          </cell>
        </row>
        <row r="25">
          <cell r="B25" t="str">
            <v>CDR seco + trat. biol.</v>
          </cell>
          <cell r="C25">
            <v>0</v>
          </cell>
        </row>
        <row r="26">
          <cell r="B26" t="str">
            <v>CDR seco + CDR org.</v>
          </cell>
          <cell r="C26">
            <v>0</v>
          </cell>
        </row>
        <row r="27">
          <cell r="B27" t="str">
            <v>Incineração</v>
          </cell>
          <cell r="C27">
            <v>146645.81544599999</v>
          </cell>
        </row>
        <row r="52">
          <cell r="H52" t="str">
            <v>Resíduo reciclado</v>
          </cell>
          <cell r="I52" t="str">
            <v>Destinação de resíduo</v>
          </cell>
          <cell r="J52" t="str">
            <v>RSU total</v>
          </cell>
        </row>
        <row r="53">
          <cell r="G53" t="str">
            <v>Débitos</v>
          </cell>
          <cell r="H53">
            <v>13880.36664144</v>
          </cell>
          <cell r="I53">
            <v>87679.96396809876</v>
          </cell>
          <cell r="J53">
            <v>101560.33060953877</v>
          </cell>
        </row>
        <row r="54">
          <cell r="G54" t="str">
            <v>Créditos</v>
          </cell>
          <cell r="H54">
            <v>-41824.594768319992</v>
          </cell>
          <cell r="I54">
            <v>-3793.9920602673387</v>
          </cell>
          <cell r="J54">
            <v>-45618.586828587329</v>
          </cell>
        </row>
        <row r="55">
          <cell r="G55" t="str">
            <v>Líquido</v>
          </cell>
          <cell r="H55">
            <v>-27944.228126879992</v>
          </cell>
          <cell r="I55">
            <v>83885.971907831423</v>
          </cell>
          <cell r="J55">
            <v>55941.74378095143</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37090.587939198485</v>
          </cell>
        </row>
        <row r="66">
          <cell r="B66" t="str">
            <v>Vidros</v>
          </cell>
          <cell r="C66">
            <v>0</v>
          </cell>
          <cell r="K66" t="str">
            <v>Aterro sanitário</v>
          </cell>
          <cell r="L66">
            <v>0</v>
          </cell>
        </row>
        <row r="67">
          <cell r="B67" t="str">
            <v>Metais ferrosos</v>
          </cell>
          <cell r="C67">
            <v>268.32499199999995</v>
          </cell>
          <cell r="K67" t="str">
            <v>Trat. biol + cobertura at.</v>
          </cell>
          <cell r="L67">
            <v>0</v>
          </cell>
        </row>
        <row r="68">
          <cell r="B68" t="str">
            <v>Alumínio</v>
          </cell>
          <cell r="C68">
            <v>762.32005199999992</v>
          </cell>
          <cell r="K68" t="str">
            <v>CDR seco + rejeito aterro</v>
          </cell>
          <cell r="L68">
            <v>0</v>
          </cell>
        </row>
        <row r="69">
          <cell r="B69" t="str">
            <v>Têxteis</v>
          </cell>
          <cell r="C69">
            <v>0</v>
          </cell>
          <cell r="K69" t="str">
            <v>CDR seco + trat. biol.</v>
          </cell>
          <cell r="L69">
            <v>0</v>
          </cell>
        </row>
        <row r="70">
          <cell r="B70" t="str">
            <v>Débitos</v>
          </cell>
          <cell r="K70" t="str">
            <v>CDR seco + CDR org.</v>
          </cell>
          <cell r="L70">
            <v>0</v>
          </cell>
        </row>
        <row r="71">
          <cell r="B71" t="str">
            <v>Resíduos de alimentos</v>
          </cell>
          <cell r="C71">
            <v>0</v>
          </cell>
          <cell r="K71" t="str">
            <v>Incineração</v>
          </cell>
          <cell r="L71">
            <v>50589.376028900275</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0</v>
          </cell>
        </row>
        <row r="80">
          <cell r="B80" t="str">
            <v>Líquido</v>
          </cell>
          <cell r="D80">
            <v>-27944.22812688</v>
          </cell>
          <cell r="K80" t="str">
            <v>CDR seco + trat. biol.</v>
          </cell>
          <cell r="L80">
            <v>0</v>
          </cell>
        </row>
        <row r="81">
          <cell r="K81" t="str">
            <v>CDR seco + CDR org.</v>
          </cell>
          <cell r="L81">
            <v>0</v>
          </cell>
        </row>
        <row r="82">
          <cell r="K82" t="str">
            <v>Incineração</v>
          </cell>
          <cell r="L82">
            <v>-3793.9920602673387</v>
          </cell>
        </row>
        <row r="83">
          <cell r="K83" t="str">
            <v>Créditos</v>
          </cell>
        </row>
        <row r="84">
          <cell r="K84" t="str">
            <v>Líquido</v>
          </cell>
          <cell r="M84">
            <v>83885.971907831423</v>
          </cell>
        </row>
      </sheetData>
      <sheetData sheetId="13">
        <row r="2">
          <cell r="C2" t="str">
            <v>Cenário-Base</v>
          </cell>
          <cell r="D2" t="str">
            <v>Biodigestão RT1A + CDR TM</v>
          </cell>
          <cell r="F2" t="str">
            <v>Biodigestão RT1C + CDR TM</v>
          </cell>
          <cell r="G2" t="str">
            <v>Compostagem + CDR TM</v>
          </cell>
          <cell r="H2" t="str">
            <v xml:space="preserve">Biosecagem + CDR TMB </v>
          </cell>
          <cell r="I2" t="str">
            <v>Incineração Mass Burning</v>
          </cell>
        </row>
        <row r="7">
          <cell r="B7" t="str">
            <v>Resíduos de alimentos</v>
          </cell>
          <cell r="C7">
            <v>0</v>
          </cell>
          <cell r="D7">
            <v>0</v>
          </cell>
          <cell r="F7">
            <v>0</v>
          </cell>
          <cell r="G7">
            <v>0</v>
          </cell>
          <cell r="H7">
            <v>0</v>
          </cell>
          <cell r="I7">
            <v>0</v>
          </cell>
        </row>
        <row r="8">
          <cell r="B8" t="str">
            <v>Resíduos de jardins e parques</v>
          </cell>
          <cell r="C8">
            <v>0</v>
          </cell>
          <cell r="D8">
            <v>0</v>
          </cell>
          <cell r="F8">
            <v>0</v>
          </cell>
          <cell r="G8">
            <v>0</v>
          </cell>
          <cell r="H8">
            <v>0</v>
          </cell>
          <cell r="I8">
            <v>0</v>
          </cell>
        </row>
        <row r="9">
          <cell r="B9" t="str">
            <v>Papel, papelão</v>
          </cell>
          <cell r="C9">
            <v>2513.6280000000006</v>
          </cell>
          <cell r="D9">
            <v>8370.3812400000006</v>
          </cell>
          <cell r="F9">
            <v>8370.3812400000006</v>
          </cell>
          <cell r="G9">
            <v>8370.3812400000006</v>
          </cell>
          <cell r="H9">
            <v>8370.3812400000006</v>
          </cell>
          <cell r="I9">
            <v>8370.3812400000006</v>
          </cell>
        </row>
        <row r="10">
          <cell r="B10" t="str">
            <v>Plásticos</v>
          </cell>
          <cell r="C10">
            <v>2590.3800000000006</v>
          </cell>
          <cell r="D10">
            <v>5698.8360000000002</v>
          </cell>
          <cell r="F10">
            <v>5698.8360000000002</v>
          </cell>
          <cell r="G10">
            <v>5698.8360000000002</v>
          </cell>
          <cell r="H10">
            <v>5698.8360000000002</v>
          </cell>
          <cell r="I10">
            <v>5698.8360000000002</v>
          </cell>
        </row>
        <row r="11">
          <cell r="B11" t="str">
            <v>Vidros</v>
          </cell>
          <cell r="C11">
            <v>0</v>
          </cell>
          <cell r="D11">
            <v>0</v>
          </cell>
          <cell r="F11">
            <v>0</v>
          </cell>
          <cell r="G11">
            <v>0</v>
          </cell>
          <cell r="H11">
            <v>0</v>
          </cell>
          <cell r="I11">
            <v>0</v>
          </cell>
        </row>
        <row r="12">
          <cell r="B12" t="str">
            <v>Metais ferrosos</v>
          </cell>
          <cell r="C12">
            <v>882.64800000000002</v>
          </cell>
          <cell r="D12">
            <v>4192.5779999999995</v>
          </cell>
          <cell r="F12">
            <v>4192.5779999999995</v>
          </cell>
          <cell r="G12">
            <v>4192.5779999999995</v>
          </cell>
          <cell r="H12">
            <v>4192.5779999999995</v>
          </cell>
          <cell r="I12">
            <v>4192.5779999999995</v>
          </cell>
        </row>
        <row r="13">
          <cell r="B13" t="str">
            <v>Alumínio</v>
          </cell>
          <cell r="C13">
            <v>230.256</v>
          </cell>
          <cell r="D13">
            <v>1093.7159999999999</v>
          </cell>
          <cell r="F13">
            <v>1093.7159999999999</v>
          </cell>
          <cell r="G13">
            <v>1093.7159999999999</v>
          </cell>
          <cell r="H13">
            <v>1093.7159999999999</v>
          </cell>
          <cell r="I13">
            <v>1093.7159999999999</v>
          </cell>
        </row>
        <row r="14">
          <cell r="B14" t="str">
            <v>Têxteis</v>
          </cell>
          <cell r="C14">
            <v>0</v>
          </cell>
          <cell r="D14">
            <v>0</v>
          </cell>
          <cell r="F14">
            <v>0</v>
          </cell>
          <cell r="G14">
            <v>0</v>
          </cell>
          <cell r="H14">
            <v>0</v>
          </cell>
        </row>
        <row r="15">
          <cell r="C15">
            <v>3.2400000000000012E-2</v>
          </cell>
          <cell r="D15">
            <v>0.100873</v>
          </cell>
          <cell r="G15">
            <v>0.100873</v>
          </cell>
          <cell r="H15">
            <v>0.10087300000000002</v>
          </cell>
        </row>
        <row r="18">
          <cell r="B18" t="str">
            <v>Resíduos dispersos</v>
          </cell>
          <cell r="C18">
            <v>0</v>
          </cell>
          <cell r="D18">
            <v>0</v>
          </cell>
          <cell r="F18">
            <v>0</v>
          </cell>
          <cell r="G18">
            <v>0</v>
          </cell>
          <cell r="H18">
            <v>0</v>
          </cell>
          <cell r="I18">
            <v>0</v>
          </cell>
        </row>
        <row r="19">
          <cell r="B19" t="str">
            <v>Queima a céu aberto</v>
          </cell>
          <cell r="C19">
            <v>0</v>
          </cell>
          <cell r="D19">
            <v>0</v>
          </cell>
          <cell r="F19">
            <v>0</v>
          </cell>
          <cell r="G19">
            <v>0</v>
          </cell>
          <cell r="H19">
            <v>0</v>
          </cell>
          <cell r="I19">
            <v>0</v>
          </cell>
        </row>
        <row r="20">
          <cell r="B20" t="str">
            <v>Lixão não controlado</v>
          </cell>
          <cell r="C20">
            <v>0</v>
          </cell>
          <cell r="D20">
            <v>0</v>
          </cell>
          <cell r="F20">
            <v>0</v>
          </cell>
          <cell r="G20">
            <v>0</v>
          </cell>
          <cell r="H20">
            <v>0</v>
          </cell>
          <cell r="I20">
            <v>0</v>
          </cell>
        </row>
        <row r="21">
          <cell r="B21" t="str">
            <v>Aterro controlado</v>
          </cell>
          <cell r="C21">
            <v>0</v>
          </cell>
          <cell r="D21">
            <v>0</v>
          </cell>
          <cell r="F21">
            <v>0</v>
          </cell>
          <cell r="G21">
            <v>0</v>
          </cell>
          <cell r="H21">
            <v>51757.346627999999</v>
          </cell>
          <cell r="I21">
            <v>25878.673314</v>
          </cell>
        </row>
        <row r="22">
          <cell r="B22" t="str">
            <v>Aterro sanitário</v>
          </cell>
          <cell r="C22">
            <v>185663.08799999999</v>
          </cell>
          <cell r="D22">
            <v>60383.571065999997</v>
          </cell>
          <cell r="F22">
            <v>60383.571065999997</v>
          </cell>
          <cell r="G22">
            <v>64696.683285000006</v>
          </cell>
          <cell r="H22">
            <v>0</v>
          </cell>
          <cell r="I22">
            <v>0</v>
          </cell>
        </row>
        <row r="23">
          <cell r="B23" t="str">
            <v>Trat. biol + cobertura at.</v>
          </cell>
          <cell r="C23">
            <v>0</v>
          </cell>
          <cell r="D23">
            <v>0</v>
          </cell>
          <cell r="F23">
            <v>0</v>
          </cell>
          <cell r="G23">
            <v>107827.805475</v>
          </cell>
          <cell r="H23">
            <v>0</v>
          </cell>
          <cell r="I23">
            <v>0</v>
          </cell>
        </row>
        <row r="24">
          <cell r="B24" t="str">
            <v>CDR seco + rejeito aterro</v>
          </cell>
          <cell r="C24">
            <v>0</v>
          </cell>
          <cell r="D24">
            <v>21565.561095000001</v>
          </cell>
          <cell r="F24">
            <v>21565.561095000001</v>
          </cell>
          <cell r="G24">
            <v>0</v>
          </cell>
          <cell r="H24">
            <v>0</v>
          </cell>
          <cell r="I24">
            <v>0</v>
          </cell>
        </row>
        <row r="25">
          <cell r="B25" t="str">
            <v>CDR seco + trat. biol.</v>
          </cell>
          <cell r="C25">
            <v>0</v>
          </cell>
          <cell r="D25">
            <v>90575.356599000006</v>
          </cell>
          <cell r="F25">
            <v>90575.356599000006</v>
          </cell>
          <cell r="G25">
            <v>0</v>
          </cell>
          <cell r="H25">
            <v>0</v>
          </cell>
          <cell r="I25">
            <v>0</v>
          </cell>
        </row>
        <row r="26">
          <cell r="B26" t="str">
            <v>CDR seco + CDR org.</v>
          </cell>
          <cell r="C26">
            <v>0</v>
          </cell>
          <cell r="D26">
            <v>0</v>
          </cell>
          <cell r="F26">
            <v>0</v>
          </cell>
          <cell r="G26">
            <v>0</v>
          </cell>
          <cell r="H26">
            <v>120767.14213199999</v>
          </cell>
          <cell r="I26">
            <v>0</v>
          </cell>
        </row>
        <row r="27">
          <cell r="B27" t="str">
            <v>Incineração</v>
          </cell>
          <cell r="C27">
            <v>0</v>
          </cell>
          <cell r="D27">
            <v>0</v>
          </cell>
          <cell r="F27">
            <v>0</v>
          </cell>
          <cell r="G27">
            <v>0</v>
          </cell>
          <cell r="H27">
            <v>0</v>
          </cell>
          <cell r="I27">
            <v>146645.81544599999</v>
          </cell>
        </row>
        <row r="31">
          <cell r="C31" t="str">
            <v>Cenário-Base</v>
          </cell>
          <cell r="D31" t="str">
            <v>Biodigestão RT1A + CDR TM</v>
          </cell>
          <cell r="E31" t="str">
            <v>Biodigestão RT1B + CDR TM</v>
          </cell>
          <cell r="F31" t="str">
            <v>Biodigestão RT1C + CDR TM</v>
          </cell>
          <cell r="G31" t="str">
            <v>Compostagem + CDR TM</v>
          </cell>
          <cell r="H31" t="str">
            <v xml:space="preserve">Biosecagem + CDR TMB </v>
          </cell>
          <cell r="I31" t="str">
            <v>Incineração Mass Burning</v>
          </cell>
        </row>
        <row r="32">
          <cell r="B32" t="str">
            <v>Débitos</v>
          </cell>
          <cell r="C32">
            <v>4436.1504720000012</v>
          </cell>
          <cell r="D32">
            <v>13880.36664144</v>
          </cell>
          <cell r="F32">
            <v>13880.36664144</v>
          </cell>
          <cell r="G32">
            <v>13880.36664144</v>
          </cell>
          <cell r="H32">
            <v>13880.36664144</v>
          </cell>
          <cell r="I32">
            <v>13880.36664144</v>
          </cell>
        </row>
        <row r="33">
          <cell r="B33" t="str">
            <v>Créditos</v>
          </cell>
          <cell r="C33">
            <v>-12624.226524000003</v>
          </cell>
          <cell r="D33">
            <v>-41824.594768319992</v>
          </cell>
          <cell r="F33">
            <v>-41824.594768319992</v>
          </cell>
          <cell r="G33">
            <v>-41824.594768319992</v>
          </cell>
          <cell r="H33">
            <v>-41824.594768319992</v>
          </cell>
          <cell r="I33">
            <v>-41824.594768319992</v>
          </cell>
        </row>
        <row r="34">
          <cell r="B34" t="str">
            <v>Débitos</v>
          </cell>
          <cell r="C34">
            <v>233392.2106986026</v>
          </cell>
          <cell r="D34">
            <v>98140.719122907482</v>
          </cell>
          <cell r="F34">
            <v>97683.506964199827</v>
          </cell>
          <cell r="G34">
            <v>84857.906720684157</v>
          </cell>
          <cell r="H34">
            <v>92688.870027729921</v>
          </cell>
          <cell r="I34">
            <v>87679.96396809876</v>
          </cell>
        </row>
        <row r="35">
          <cell r="B35" t="str">
            <v>Créditos</v>
          </cell>
          <cell r="C35">
            <v>0</v>
          </cell>
          <cell r="D35">
            <v>-59374.374747797869</v>
          </cell>
          <cell r="F35">
            <v>-58784.436577689863</v>
          </cell>
          <cell r="G35">
            <v>0</v>
          </cell>
          <cell r="H35">
            <v>-108661.48909556239</v>
          </cell>
          <cell r="I35">
            <v>-3793.9920602673387</v>
          </cell>
        </row>
        <row r="36">
          <cell r="B36" t="str">
            <v>Débitos</v>
          </cell>
          <cell r="C36">
            <v>237828.36117060261</v>
          </cell>
          <cell r="D36">
            <v>112021.08576434749</v>
          </cell>
          <cell r="E36">
            <v>112021.08576434749</v>
          </cell>
          <cell r="F36">
            <v>111563.87360563982</v>
          </cell>
          <cell r="G36">
            <v>98738.273362124164</v>
          </cell>
          <cell r="H36">
            <v>106569.23666916991</v>
          </cell>
          <cell r="I36">
            <v>101560.33060953877</v>
          </cell>
        </row>
        <row r="37">
          <cell r="B37" t="str">
            <v>Créditos</v>
          </cell>
          <cell r="C37">
            <v>-12624.226524000003</v>
          </cell>
          <cell r="D37">
            <v>-101198.96951611785</v>
          </cell>
          <cell r="E37">
            <v>-109376.49189781256</v>
          </cell>
          <cell r="F37">
            <v>-100609.03134600986</v>
          </cell>
          <cell r="G37">
            <v>-41824.594768319992</v>
          </cell>
          <cell r="H37">
            <v>-150486.08386388238</v>
          </cell>
          <cell r="I37">
            <v>-45618.586828587329</v>
          </cell>
        </row>
        <row r="38">
          <cell r="B38" t="str">
            <v>Líquido</v>
          </cell>
          <cell r="C38">
            <v>225204.13464660262</v>
          </cell>
          <cell r="D38">
            <v>10822.116248229635</v>
          </cell>
          <cell r="E38">
            <v>2644.593866534924</v>
          </cell>
          <cell r="F38">
            <v>10954.842259629964</v>
          </cell>
          <cell r="G38">
            <v>56913.678593804172</v>
          </cell>
          <cell r="H38">
            <v>-43916.847194712464</v>
          </cell>
          <cell r="I38">
            <v>55941.743780951438</v>
          </cell>
        </row>
      </sheetData>
      <sheetData sheetId="14" refreshError="1"/>
      <sheetData sheetId="15" refreshError="1"/>
    </sheetDataSet>
  </externalBook>
</externalLink>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mailto:sanearbrasil@mdr.gov.br" TargetMode="External"/><Relationship Id="rId1" Type="http://schemas.openxmlformats.org/officeDocument/2006/relationships/hyperlink" Target="https://www.gov.br/mdr/pt-br/assuntos/saneamento/protegeer" TargetMode="External"/><Relationship Id="rId4"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9.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68" customWidth="1"/>
    <col min="2" max="2" width="7.42578125" style="68" customWidth="1"/>
    <col min="3" max="3" width="13.42578125" style="68" customWidth="1"/>
    <col min="4" max="4" width="9.7109375" style="68" customWidth="1"/>
    <col min="5" max="6" width="8.42578125" style="68" customWidth="1"/>
    <col min="7" max="7" width="42.42578125" style="68" customWidth="1"/>
    <col min="8" max="8" width="6.42578125" style="68" customWidth="1"/>
    <col min="9" max="9" width="10.42578125" style="68" customWidth="1"/>
    <col min="10" max="10" width="7.42578125" style="68" customWidth="1"/>
    <col min="11" max="15" width="8.42578125" style="68" customWidth="1"/>
    <col min="16" max="16" width="11.42578125" style="68" customWidth="1"/>
    <col min="17" max="17" width="13.42578125" style="68" customWidth="1"/>
    <col min="18" max="18" width="8.42578125" style="68" customWidth="1"/>
  </cols>
  <sheetData>
    <row r="1" spans="2:18" ht="6" customHeight="1" x14ac:dyDescent="0.25">
      <c r="B1" s="379"/>
      <c r="C1" s="379"/>
      <c r="D1" s="379"/>
      <c r="E1" s="379"/>
      <c r="F1" s="381"/>
      <c r="G1" s="381"/>
      <c r="H1" s="381"/>
      <c r="I1" s="381"/>
      <c r="J1" s="381"/>
      <c r="K1" s="381"/>
      <c r="L1" s="69"/>
      <c r="M1" s="69"/>
      <c r="N1" s="69"/>
      <c r="O1" s="69"/>
      <c r="P1" s="69"/>
      <c r="Q1" s="69"/>
      <c r="R1" s="69"/>
    </row>
    <row r="2" spans="2:18" ht="21.4" customHeight="1" x14ac:dyDescent="0.3">
      <c r="B2" s="379"/>
      <c r="C2" s="2642" t="s">
        <v>424</v>
      </c>
      <c r="D2" s="2643"/>
      <c r="E2" s="2643"/>
      <c r="F2" s="2643"/>
      <c r="G2" s="2643"/>
      <c r="H2" s="380"/>
      <c r="I2" s="2646" t="s">
        <v>868</v>
      </c>
      <c r="J2" s="2647"/>
      <c r="K2" s="2647"/>
    </row>
    <row r="3" spans="2:18" ht="10.5" customHeight="1" x14ac:dyDescent="0.25">
      <c r="B3" s="379"/>
      <c r="C3" s="378"/>
      <c r="D3" s="378"/>
      <c r="E3" s="378"/>
      <c r="F3" s="378"/>
      <c r="G3" s="378"/>
      <c r="H3" s="379"/>
      <c r="I3" s="379"/>
      <c r="J3" s="379"/>
      <c r="K3" s="379"/>
    </row>
    <row r="4" spans="2:18" ht="37.9" customHeight="1" x14ac:dyDescent="0.25">
      <c r="B4" s="381"/>
      <c r="C4" s="2644" t="s">
        <v>715</v>
      </c>
      <c r="D4" s="2645"/>
      <c r="E4" s="2645"/>
      <c r="F4" s="2645"/>
      <c r="G4" s="2645"/>
      <c r="H4" s="379"/>
      <c r="I4" s="379"/>
      <c r="J4" s="379"/>
      <c r="K4" s="379"/>
    </row>
    <row r="5" spans="2:18" ht="18" customHeight="1" x14ac:dyDescent="0.25">
      <c r="B5" s="69"/>
      <c r="J5" s="70"/>
      <c r="K5" s="70"/>
      <c r="L5" s="70"/>
      <c r="M5" s="70"/>
      <c r="N5" s="70"/>
      <c r="O5" s="70"/>
      <c r="P5" s="70"/>
      <c r="Q5" s="70"/>
      <c r="R5" s="70"/>
    </row>
    <row r="6" spans="2:18" ht="18" customHeight="1" x14ac:dyDescent="0.25">
      <c r="B6" s="69"/>
      <c r="I6" s="103" t="s">
        <v>716</v>
      </c>
      <c r="J6" s="2639" t="s">
        <v>448</v>
      </c>
      <c r="K6" s="2641"/>
      <c r="L6" s="2641"/>
      <c r="M6" s="2641"/>
      <c r="N6" s="2641"/>
      <c r="O6" s="2641"/>
      <c r="P6" s="2641"/>
      <c r="Q6" s="2641"/>
      <c r="R6" s="2641"/>
    </row>
    <row r="7" spans="2:18" ht="18" customHeight="1" x14ac:dyDescent="0.25">
      <c r="B7" s="69"/>
      <c r="I7" s="382"/>
      <c r="J7" s="2641"/>
      <c r="K7" s="2641"/>
      <c r="L7" s="2641"/>
      <c r="M7" s="2641"/>
      <c r="N7" s="2641"/>
      <c r="O7" s="2641"/>
      <c r="P7" s="2641"/>
      <c r="Q7" s="2641"/>
      <c r="R7" s="2641"/>
    </row>
    <row r="8" spans="2:18" ht="18" customHeight="1" x14ac:dyDescent="0.25">
      <c r="B8" s="69"/>
      <c r="I8" s="382"/>
      <c r="J8" s="70"/>
      <c r="K8" s="70"/>
      <c r="L8" s="70"/>
      <c r="M8" s="70"/>
      <c r="N8" s="70"/>
      <c r="O8" s="70"/>
      <c r="P8" s="70"/>
      <c r="Q8" s="70"/>
      <c r="R8" s="70"/>
    </row>
    <row r="9" spans="2:18" ht="22.9" customHeight="1" x14ac:dyDescent="0.25">
      <c r="B9" s="69"/>
      <c r="I9" s="103" t="s">
        <v>717</v>
      </c>
      <c r="J9" s="2639" t="s">
        <v>720</v>
      </c>
      <c r="K9" s="2641"/>
      <c r="L9" s="2641"/>
      <c r="M9" s="2641"/>
      <c r="N9" s="2641"/>
      <c r="O9" s="2641"/>
      <c r="P9" s="2641"/>
      <c r="Q9" s="2641"/>
      <c r="R9" s="2641"/>
    </row>
    <row r="10" spans="2:18" ht="22.9" customHeight="1" x14ac:dyDescent="0.25">
      <c r="B10" s="69"/>
      <c r="I10" s="382"/>
      <c r="J10" s="2641"/>
      <c r="K10" s="2641"/>
      <c r="L10" s="2641"/>
      <c r="M10" s="2641"/>
      <c r="N10" s="2641"/>
      <c r="O10" s="2641"/>
      <c r="P10" s="2641"/>
      <c r="Q10" s="2641"/>
      <c r="R10" s="2641"/>
    </row>
    <row r="11" spans="2:18" ht="22.9" customHeight="1" x14ac:dyDescent="0.25">
      <c r="I11" s="382"/>
      <c r="J11" s="2641"/>
      <c r="K11" s="2641"/>
      <c r="L11" s="2641"/>
      <c r="M11" s="2641"/>
      <c r="N11" s="2641"/>
      <c r="O11" s="2641"/>
      <c r="P11" s="2641"/>
      <c r="Q11" s="2641"/>
      <c r="R11" s="2641"/>
    </row>
    <row r="12" spans="2:18" ht="18" customHeight="1" x14ac:dyDescent="0.25">
      <c r="I12" s="382"/>
      <c r="J12" s="73"/>
      <c r="K12" s="73"/>
      <c r="L12" s="73"/>
      <c r="M12" s="73"/>
      <c r="N12" s="73"/>
      <c r="O12" s="73"/>
      <c r="P12" s="73"/>
      <c r="Q12" s="73"/>
      <c r="R12" s="73"/>
    </row>
    <row r="13" spans="2:18" ht="18" customHeight="1" x14ac:dyDescent="0.25">
      <c r="B13" s="69"/>
      <c r="C13" s="74"/>
      <c r="I13" s="103" t="s">
        <v>718</v>
      </c>
      <c r="J13" s="2640" t="s">
        <v>721</v>
      </c>
      <c r="K13" s="2640"/>
      <c r="L13" s="2640"/>
      <c r="M13" s="2640"/>
      <c r="N13" s="2640"/>
      <c r="O13" s="2640"/>
      <c r="P13" s="2640"/>
      <c r="Q13" s="2640"/>
      <c r="R13" s="2640"/>
    </row>
    <row r="14" spans="2:18" ht="18" customHeight="1" x14ac:dyDescent="0.25">
      <c r="B14" s="69"/>
      <c r="C14" s="74"/>
      <c r="I14" s="382"/>
      <c r="J14" s="2640"/>
      <c r="K14" s="2640"/>
      <c r="L14" s="2640"/>
      <c r="M14" s="2640"/>
      <c r="N14" s="2640"/>
      <c r="O14" s="2640"/>
      <c r="P14" s="2640"/>
      <c r="Q14" s="2640"/>
      <c r="R14" s="2640"/>
    </row>
    <row r="15" spans="2:18" ht="18" customHeight="1" x14ac:dyDescent="0.25">
      <c r="B15" s="69"/>
      <c r="C15" s="74"/>
      <c r="I15" s="382"/>
      <c r="J15" s="2640"/>
      <c r="K15" s="2640"/>
      <c r="L15" s="2640"/>
      <c r="M15" s="2640"/>
      <c r="N15" s="2640"/>
      <c r="O15" s="2640"/>
      <c r="P15" s="2640"/>
      <c r="Q15" s="2640"/>
      <c r="R15" s="2640"/>
    </row>
    <row r="16" spans="2:18" ht="18" customHeight="1" x14ac:dyDescent="0.25">
      <c r="B16" s="69"/>
      <c r="C16" s="74"/>
      <c r="I16" s="382"/>
      <c r="J16" s="2640"/>
      <c r="K16" s="2640"/>
      <c r="L16" s="2640"/>
      <c r="M16" s="2640"/>
      <c r="N16" s="2640"/>
      <c r="O16" s="2640"/>
      <c r="P16" s="2640"/>
      <c r="Q16" s="2640"/>
      <c r="R16" s="2640"/>
    </row>
    <row r="17" spans="1:18" ht="18" customHeight="1" x14ac:dyDescent="0.25">
      <c r="B17" s="69"/>
      <c r="I17" s="382"/>
      <c r="J17" s="70"/>
      <c r="K17" s="70"/>
      <c r="L17" s="70"/>
      <c r="M17" s="70"/>
      <c r="N17" s="70"/>
      <c r="O17" s="70"/>
      <c r="P17" s="70"/>
      <c r="Q17" s="70"/>
      <c r="R17" s="70"/>
    </row>
    <row r="18" spans="1:18" ht="18" customHeight="1" x14ac:dyDescent="0.25">
      <c r="B18" s="69"/>
      <c r="C18" s="74"/>
      <c r="I18" s="103" t="s">
        <v>719</v>
      </c>
      <c r="J18" s="2639" t="s">
        <v>449</v>
      </c>
      <c r="K18" s="2639"/>
      <c r="L18" s="2639"/>
      <c r="M18" s="2639"/>
      <c r="N18" s="2639"/>
      <c r="O18" s="2639"/>
      <c r="P18" s="2639"/>
      <c r="Q18" s="2639"/>
      <c r="R18" s="2639"/>
    </row>
    <row r="19" spans="1:18" ht="18" customHeight="1" x14ac:dyDescent="0.25">
      <c r="B19" s="69"/>
      <c r="D19" s="74"/>
      <c r="E19" s="74"/>
      <c r="F19" s="74"/>
      <c r="G19" s="74"/>
      <c r="H19" s="74"/>
      <c r="I19" s="74"/>
      <c r="J19" s="2639"/>
      <c r="K19" s="2639"/>
      <c r="L19" s="2639"/>
      <c r="M19" s="2639"/>
      <c r="N19" s="2639"/>
      <c r="O19" s="2639"/>
      <c r="P19" s="2639"/>
      <c r="Q19" s="2639"/>
      <c r="R19" s="2639"/>
    </row>
    <row r="20" spans="1:18" ht="18" customHeight="1" x14ac:dyDescent="0.25">
      <c r="B20" s="69"/>
      <c r="C20" s="74"/>
      <c r="D20" s="74"/>
      <c r="E20" s="74"/>
      <c r="F20" s="74"/>
      <c r="G20" s="74"/>
      <c r="H20" s="74"/>
      <c r="I20" s="74"/>
      <c r="J20" s="2639"/>
      <c r="K20" s="2639"/>
      <c r="L20" s="2639"/>
      <c r="M20" s="2639"/>
      <c r="N20" s="2639"/>
      <c r="O20" s="2639"/>
      <c r="P20" s="2639"/>
      <c r="Q20" s="2639"/>
      <c r="R20" s="2639"/>
    </row>
    <row r="21" spans="1:18" ht="40.15" customHeight="1" x14ac:dyDescent="0.25">
      <c r="A21" s="459"/>
      <c r="B21" s="383"/>
      <c r="C21" s="384"/>
      <c r="D21" s="384"/>
      <c r="E21" s="384"/>
      <c r="F21" s="384"/>
      <c r="G21" s="387"/>
      <c r="I21" s="74"/>
      <c r="J21" s="2639"/>
      <c r="K21" s="2639"/>
      <c r="L21" s="2639"/>
      <c r="M21" s="2639"/>
      <c r="N21" s="2639"/>
      <c r="O21" s="2639"/>
      <c r="P21" s="2639"/>
      <c r="Q21" s="2639"/>
      <c r="R21" s="2639"/>
    </row>
    <row r="22" spans="1:18" ht="34.9" customHeight="1" x14ac:dyDescent="0.25">
      <c r="B22" s="71"/>
      <c r="C22" s="71"/>
      <c r="D22" s="71"/>
      <c r="E22" s="71"/>
      <c r="F22" s="71"/>
      <c r="G22" s="71"/>
      <c r="H22" s="71"/>
      <c r="I22" s="71"/>
      <c r="J22" s="2639"/>
      <c r="K22" s="2639"/>
      <c r="L22" s="2639"/>
      <c r="M22" s="2639"/>
      <c r="N22" s="2639"/>
      <c r="O22" s="2639"/>
      <c r="P22" s="2639"/>
      <c r="Q22" s="2639"/>
      <c r="R22" s="2639"/>
    </row>
    <row r="23" spans="1:18" ht="18" customHeight="1" x14ac:dyDescent="0.25">
      <c r="B23" s="71"/>
      <c r="C23" s="193" t="s">
        <v>450</v>
      </c>
      <c r="D23" s="460" t="s">
        <v>423</v>
      </c>
      <c r="E23" s="72"/>
      <c r="F23" s="71"/>
      <c r="G23" s="71"/>
      <c r="H23" s="71"/>
      <c r="J23" s="2639"/>
      <c r="K23" s="2639"/>
      <c r="L23" s="2639"/>
      <c r="M23" s="2639"/>
      <c r="N23" s="2639"/>
      <c r="O23" s="2639"/>
      <c r="P23" s="2639"/>
      <c r="Q23" s="2639"/>
      <c r="R23" s="2639"/>
    </row>
    <row r="24" spans="1:18" ht="18" customHeight="1" x14ac:dyDescent="0.25">
      <c r="B24" s="71"/>
      <c r="C24" s="193" t="s">
        <v>451</v>
      </c>
      <c r="D24" s="461" t="s">
        <v>1</v>
      </c>
      <c r="E24" s="385"/>
      <c r="F24" s="386"/>
      <c r="G24" s="386"/>
      <c r="H24" s="71"/>
      <c r="I24" s="1413" t="s">
        <v>0</v>
      </c>
      <c r="J24" s="71"/>
      <c r="K24" s="71"/>
      <c r="L24" s="71"/>
    </row>
    <row r="25" spans="1:18" ht="18" customHeight="1" x14ac:dyDescent="0.25">
      <c r="B25" s="71"/>
      <c r="C25" s="193" t="s">
        <v>452</v>
      </c>
      <c r="D25" s="461" t="s">
        <v>2</v>
      </c>
      <c r="E25" s="385"/>
      <c r="F25" s="386"/>
      <c r="G25" s="386"/>
      <c r="H25" s="71"/>
      <c r="I25" s="71"/>
      <c r="J25" s="71"/>
      <c r="K25" s="71"/>
      <c r="L25" s="71"/>
    </row>
    <row r="26" spans="1:18" ht="18" customHeight="1" x14ac:dyDescent="0.25">
      <c r="B26" s="71"/>
      <c r="C26" s="193" t="s">
        <v>453</v>
      </c>
      <c r="D26" s="461" t="s">
        <v>2</v>
      </c>
      <c r="E26" s="386"/>
      <c r="F26" s="386"/>
      <c r="G26" s="386"/>
      <c r="H26" s="71"/>
      <c r="I26" s="71"/>
      <c r="J26" s="71"/>
      <c r="K26" s="71"/>
      <c r="L26" s="71"/>
      <c r="O26" s="74"/>
    </row>
    <row r="27" spans="1:18" ht="14.25" customHeight="1" x14ac:dyDescent="0.25">
      <c r="B27" s="71"/>
      <c r="C27" s="71"/>
      <c r="D27" s="71"/>
      <c r="E27" s="71"/>
      <c r="F27" s="71"/>
      <c r="G27" s="71"/>
      <c r="H27" s="71"/>
      <c r="I27" s="71"/>
      <c r="J27" s="71"/>
      <c r="K27" s="71"/>
      <c r="L27" s="71"/>
    </row>
    <row r="28" spans="1:18" ht="14.25" customHeight="1" x14ac:dyDescent="0.25">
      <c r="B28" s="71"/>
      <c r="C28" s="71"/>
      <c r="D28" s="71"/>
      <c r="E28" s="71"/>
      <c r="F28" s="71"/>
      <c r="G28" s="71"/>
      <c r="H28" s="71"/>
      <c r="I28" s="71"/>
      <c r="J28" s="71"/>
      <c r="K28" s="71"/>
      <c r="L28" s="71"/>
    </row>
    <row r="29" spans="1:18" ht="14.25" customHeight="1" x14ac:dyDescent="0.25">
      <c r="B29" s="69"/>
      <c r="C29" s="74"/>
      <c r="D29" s="74"/>
      <c r="E29" s="74"/>
      <c r="F29" s="74"/>
      <c r="G29" s="74"/>
      <c r="H29" s="74"/>
      <c r="I29" s="74"/>
      <c r="J29" s="74"/>
      <c r="K29" s="74"/>
      <c r="L29" s="74"/>
    </row>
    <row r="30" spans="1:18" ht="14.25" customHeight="1" x14ac:dyDescent="0.25">
      <c r="B30" s="69"/>
      <c r="C30" s="74"/>
      <c r="D30" s="74"/>
      <c r="E30" s="74"/>
      <c r="F30" s="74"/>
      <c r="G30" s="74"/>
      <c r="H30" s="74"/>
      <c r="I30" s="74"/>
      <c r="J30" s="74"/>
      <c r="K30" s="74"/>
      <c r="L30" s="74"/>
    </row>
    <row r="31" spans="1:18" ht="14.25" customHeight="1" x14ac:dyDescent="0.25">
      <c r="B31" s="69"/>
      <c r="C31" s="74"/>
      <c r="D31" s="74"/>
      <c r="E31" s="74"/>
      <c r="F31" s="74"/>
      <c r="G31" s="74"/>
      <c r="H31" s="74"/>
      <c r="I31" s="74"/>
      <c r="J31" s="74"/>
      <c r="K31" s="74"/>
      <c r="L31" s="74"/>
    </row>
    <row r="32" spans="1:18" ht="14.25" customHeight="1" x14ac:dyDescent="0.25">
      <c r="B32" s="69"/>
      <c r="C32" s="74"/>
      <c r="D32" s="74"/>
      <c r="E32" s="74"/>
      <c r="F32" s="74"/>
      <c r="G32" s="74"/>
      <c r="H32" s="74"/>
      <c r="I32" s="74"/>
      <c r="J32" s="74"/>
      <c r="K32" s="74"/>
      <c r="L32" s="74"/>
    </row>
    <row r="33" spans="2:12" ht="14.25" customHeight="1" x14ac:dyDescent="0.25">
      <c r="B33" s="69"/>
      <c r="C33" s="74"/>
      <c r="H33" s="74"/>
      <c r="I33" s="74"/>
      <c r="J33" s="74"/>
      <c r="K33" s="74"/>
      <c r="L33" s="74"/>
    </row>
    <row r="34" spans="2:12" ht="14.25" customHeight="1" x14ac:dyDescent="0.25">
      <c r="B34" s="69"/>
      <c r="C34" s="74"/>
      <c r="H34" s="74"/>
      <c r="I34" s="74"/>
      <c r="J34" s="74"/>
      <c r="K34" s="74"/>
      <c r="L34" s="74"/>
    </row>
    <row r="35" spans="2:12" ht="14.25" customHeight="1" x14ac:dyDescent="0.25">
      <c r="B35" s="69"/>
      <c r="C35" s="74"/>
      <c r="D35" s="74"/>
      <c r="E35" s="74"/>
      <c r="F35" s="74"/>
      <c r="G35" s="74"/>
      <c r="H35" s="74"/>
      <c r="I35" s="74"/>
      <c r="J35" s="74"/>
      <c r="K35" s="74"/>
      <c r="L35" s="74"/>
    </row>
    <row r="36" spans="2:12" ht="14.25" customHeight="1" x14ac:dyDescent="0.25">
      <c r="B36" s="69"/>
      <c r="C36" s="74"/>
      <c r="D36" s="74"/>
      <c r="E36" s="74"/>
      <c r="F36" s="74"/>
      <c r="G36" s="74"/>
      <c r="H36" s="74"/>
      <c r="I36" s="74"/>
      <c r="J36" s="74"/>
      <c r="K36" s="74"/>
      <c r="L36" s="74"/>
    </row>
    <row r="37" spans="2:12" ht="14.25" customHeight="1" x14ac:dyDescent="0.25">
      <c r="B37" s="69"/>
      <c r="C37" s="74" t="s">
        <v>3</v>
      </c>
      <c r="D37" s="74"/>
      <c r="E37" s="74"/>
      <c r="F37" s="74"/>
      <c r="G37" s="74"/>
      <c r="H37" s="74"/>
      <c r="I37" s="74"/>
      <c r="J37" s="74"/>
      <c r="K37" s="74"/>
      <c r="L37" s="74"/>
    </row>
    <row r="38" spans="2:12" ht="14.25" customHeight="1" x14ac:dyDescent="0.25">
      <c r="B38" s="69"/>
      <c r="C38" s="74"/>
      <c r="D38" s="74"/>
      <c r="E38" s="74"/>
      <c r="F38" s="74"/>
      <c r="G38" s="74"/>
      <c r="H38" s="74"/>
      <c r="I38" s="74"/>
      <c r="J38" s="74"/>
      <c r="K38" s="74"/>
      <c r="L38" s="74"/>
    </row>
    <row r="39" spans="2:12" ht="14.25" customHeight="1" x14ac:dyDescent="0.25">
      <c r="B39" s="69"/>
      <c r="C39" s="74"/>
      <c r="D39" s="74"/>
      <c r="E39" s="74"/>
      <c r="F39" s="74"/>
      <c r="G39" s="74"/>
      <c r="H39" s="74"/>
      <c r="I39" s="74"/>
      <c r="J39" s="74"/>
      <c r="K39" s="74"/>
      <c r="L39" s="74"/>
    </row>
    <row r="40" spans="2:12" ht="14.25" customHeight="1" x14ac:dyDescent="0.25">
      <c r="B40" s="69"/>
      <c r="C40" s="74"/>
      <c r="D40" s="74"/>
      <c r="E40" s="74"/>
      <c r="F40" s="74"/>
      <c r="G40" s="74"/>
      <c r="H40" s="74"/>
      <c r="I40" s="74"/>
      <c r="J40" s="74"/>
      <c r="K40" s="74"/>
      <c r="L40" s="74"/>
    </row>
    <row r="41" spans="2:12" ht="14.25" customHeight="1" x14ac:dyDescent="0.25">
      <c r="B41" s="69"/>
      <c r="C41" s="74"/>
      <c r="D41" s="74"/>
      <c r="E41" s="74"/>
      <c r="F41" s="74"/>
      <c r="G41" s="74"/>
      <c r="H41" s="74"/>
      <c r="I41" s="74"/>
      <c r="J41" s="74"/>
      <c r="K41" s="74"/>
      <c r="L41" s="74"/>
    </row>
    <row r="42" spans="2:12" ht="14.25" customHeight="1" x14ac:dyDescent="0.25">
      <c r="B42" s="69"/>
      <c r="C42" s="74"/>
      <c r="D42" s="74"/>
      <c r="E42" s="74"/>
      <c r="F42" s="74"/>
      <c r="G42" s="74"/>
      <c r="H42" s="74"/>
      <c r="I42" s="74"/>
      <c r="J42" s="74"/>
      <c r="K42" s="74"/>
      <c r="L42" s="74"/>
    </row>
    <row r="43" spans="2:12" ht="14.25" customHeight="1" x14ac:dyDescent="0.25">
      <c r="B43" s="69"/>
      <c r="C43" s="74"/>
      <c r="D43" s="74"/>
      <c r="E43" s="74"/>
      <c r="F43" s="74"/>
      <c r="G43" s="74"/>
      <c r="H43" s="74"/>
      <c r="I43" s="74"/>
      <c r="J43" s="74"/>
      <c r="K43" s="74"/>
      <c r="L43" s="74"/>
    </row>
    <row r="44" spans="2:12" ht="14.25" customHeight="1" x14ac:dyDescent="0.25">
      <c r="B44" s="69"/>
      <c r="C44" s="74"/>
      <c r="D44" s="74"/>
      <c r="E44" s="74"/>
      <c r="F44" s="74"/>
      <c r="G44" s="74"/>
      <c r="H44" s="74"/>
      <c r="I44" s="74"/>
      <c r="J44" s="74"/>
      <c r="K44" s="74"/>
      <c r="L44" s="74"/>
    </row>
    <row r="45" spans="2:12" ht="14.25" customHeight="1" x14ac:dyDescent="0.25">
      <c r="B45" s="69"/>
      <c r="C45" s="74"/>
      <c r="D45" s="74"/>
      <c r="E45" s="74"/>
      <c r="F45" s="74"/>
      <c r="G45" s="74"/>
      <c r="H45" s="74"/>
      <c r="I45" s="74"/>
      <c r="J45" s="74"/>
      <c r="K45" s="74"/>
      <c r="L45" s="74"/>
    </row>
    <row r="46" spans="2:12" ht="14.25" customHeight="1" x14ac:dyDescent="0.25">
      <c r="B46" s="69"/>
      <c r="C46" s="74"/>
      <c r="D46" s="74"/>
      <c r="E46" s="74"/>
      <c r="F46" s="74"/>
      <c r="G46" s="74"/>
      <c r="H46" s="74"/>
      <c r="I46" s="74"/>
      <c r="J46" s="74"/>
      <c r="K46" s="74"/>
      <c r="L46" s="74"/>
    </row>
    <row r="47" spans="2:12" ht="14.25" customHeight="1" x14ac:dyDescent="0.25">
      <c r="B47" s="69"/>
      <c r="C47" s="74"/>
      <c r="D47" s="74"/>
      <c r="E47" s="74"/>
      <c r="F47" s="74"/>
      <c r="G47" s="74"/>
      <c r="H47" s="74"/>
      <c r="I47" s="74"/>
      <c r="J47" s="74"/>
      <c r="K47" s="74"/>
      <c r="L47" s="74"/>
    </row>
    <row r="48" spans="2:12" ht="14.25" customHeight="1" x14ac:dyDescent="0.25">
      <c r="B48" s="69"/>
      <c r="C48" s="74"/>
    </row>
    <row r="49" spans="2:3" ht="14.25" customHeight="1" x14ac:dyDescent="0.25">
      <c r="B49" s="69"/>
      <c r="C49" s="74"/>
    </row>
    <row r="50" spans="2:3" ht="14.25" customHeight="1" x14ac:dyDescent="0.25">
      <c r="B50" s="69"/>
      <c r="C50" s="74"/>
    </row>
    <row r="51" spans="2:3" ht="14.25" customHeight="1" x14ac:dyDescent="0.25">
      <c r="B51" s="69"/>
      <c r="C51" s="74"/>
    </row>
    <row r="52" spans="2:3" ht="14.25" customHeight="1" x14ac:dyDescent="0.25">
      <c r="B52" s="69"/>
      <c r="C52" s="74"/>
    </row>
    <row r="53" spans="2:3" ht="14.25" customHeight="1" x14ac:dyDescent="0.25">
      <c r="B53" s="69"/>
      <c r="C53" s="75"/>
    </row>
    <row r="54" spans="2:3" ht="14.25" customHeight="1" x14ac:dyDescent="0.25">
      <c r="B54" s="69"/>
      <c r="C54" s="76"/>
    </row>
    <row r="55" spans="2:3" ht="14.25" customHeight="1" x14ac:dyDescent="0.25">
      <c r="B55" s="69"/>
      <c r="C55" s="76"/>
    </row>
    <row r="56" spans="2:3" ht="14.25" customHeight="1" x14ac:dyDescent="0.25">
      <c r="B56" s="69"/>
      <c r="C56" s="76"/>
    </row>
    <row r="57" spans="2:3" ht="14.25" customHeight="1" x14ac:dyDescent="0.25">
      <c r="B57" s="69"/>
      <c r="C57" s="76"/>
    </row>
    <row r="58" spans="2:3" ht="14.25" customHeight="1" x14ac:dyDescent="0.25">
      <c r="B58" s="69"/>
      <c r="C58" s="76"/>
    </row>
    <row r="59" spans="2:3" ht="14.25" customHeight="1" x14ac:dyDescent="0.25">
      <c r="B59" s="69"/>
      <c r="C59" s="76"/>
    </row>
    <row r="60" spans="2:3" ht="14.25" customHeight="1" x14ac:dyDescent="0.25">
      <c r="B60" s="69"/>
      <c r="C60" s="76"/>
    </row>
    <row r="61" spans="2:3" ht="14.25" customHeight="1" x14ac:dyDescent="0.25">
      <c r="B61" s="69"/>
      <c r="C61" s="76"/>
    </row>
    <row r="62" spans="2:3" ht="14.25" customHeight="1" x14ac:dyDescent="0.25">
      <c r="B62" s="69"/>
      <c r="C62" s="76"/>
    </row>
    <row r="63" spans="2:3" ht="14.25" customHeight="1" x14ac:dyDescent="0.25">
      <c r="B63" s="69"/>
      <c r="C63" s="76"/>
    </row>
    <row r="64" spans="2:3" ht="14.25" customHeight="1" x14ac:dyDescent="0.25">
      <c r="B64" s="69"/>
      <c r="C64" s="76"/>
    </row>
    <row r="65" spans="2:3" ht="14.25" customHeight="1" x14ac:dyDescent="0.25">
      <c r="B65" s="69"/>
      <c r="C65" s="76"/>
    </row>
    <row r="66" spans="2:3" ht="14.25" customHeight="1" x14ac:dyDescent="0.25">
      <c r="B66" s="69"/>
      <c r="C66" s="76"/>
    </row>
    <row r="67" spans="2:3" ht="14.25" customHeight="1" x14ac:dyDescent="0.25">
      <c r="B67" s="69"/>
      <c r="C67" s="76"/>
    </row>
    <row r="68" spans="2:3" ht="14.25" customHeight="1" x14ac:dyDescent="0.25">
      <c r="B68" s="69"/>
      <c r="C68" s="76"/>
    </row>
    <row r="69" spans="2:3" ht="14.25" customHeight="1" x14ac:dyDescent="0.25">
      <c r="B69" s="69"/>
      <c r="C69" s="76"/>
    </row>
    <row r="70" spans="2:3" ht="14.25" customHeight="1" x14ac:dyDescent="0.25">
      <c r="B70" s="69"/>
      <c r="C70" s="76"/>
    </row>
    <row r="71" spans="2:3" ht="14.25" customHeight="1" x14ac:dyDescent="0.25">
      <c r="B71" s="69"/>
      <c r="C71" s="76"/>
    </row>
    <row r="72" spans="2:3" ht="14.25" customHeight="1" x14ac:dyDescent="0.25">
      <c r="B72" s="69"/>
      <c r="C72" s="76"/>
    </row>
    <row r="73" spans="2:3" ht="14.25" customHeight="1" x14ac:dyDescent="0.25">
      <c r="B73" s="69"/>
      <c r="C73" s="76"/>
    </row>
    <row r="74" spans="2:3" ht="14.25" customHeight="1" x14ac:dyDescent="0.25">
      <c r="B74" s="69"/>
      <c r="C74" s="76"/>
    </row>
    <row r="75" spans="2:3" ht="14.25" customHeight="1" x14ac:dyDescent="0.25">
      <c r="B75" s="69"/>
      <c r="C75" s="76"/>
    </row>
    <row r="76" spans="2:3" ht="14.25" customHeight="1" x14ac:dyDescent="0.25">
      <c r="B76" s="69"/>
      <c r="C76" s="76"/>
    </row>
    <row r="77" spans="2:3" ht="14.25" customHeight="1" x14ac:dyDescent="0.25">
      <c r="B77" s="69"/>
      <c r="C77" s="76"/>
    </row>
    <row r="78" spans="2:3" ht="14.25" customHeight="1" x14ac:dyDescent="0.25">
      <c r="B78" s="69"/>
      <c r="C78" s="76"/>
    </row>
    <row r="79" spans="2:3" ht="14.25" customHeight="1" x14ac:dyDescent="0.25">
      <c r="B79" s="69"/>
      <c r="C79" s="74"/>
    </row>
    <row r="80" spans="2:3" ht="14.25" customHeight="1" x14ac:dyDescent="0.25">
      <c r="B80" s="69"/>
      <c r="C80" s="74"/>
    </row>
    <row r="81" spans="2:3" ht="14.25" customHeight="1" x14ac:dyDescent="0.25">
      <c r="B81" s="69"/>
      <c r="C81" s="74"/>
    </row>
    <row r="82" spans="2:3" ht="14.25" customHeight="1" x14ac:dyDescent="0.25">
      <c r="B82" s="69"/>
      <c r="C82" s="74"/>
    </row>
    <row r="83" spans="2:3" ht="14.25" customHeight="1" x14ac:dyDescent="0.25">
      <c r="B83" s="69"/>
      <c r="C83" s="74"/>
    </row>
    <row r="84" spans="2:3" ht="14.25" customHeight="1" x14ac:dyDescent="0.25">
      <c r="B84" s="69"/>
      <c r="C84" s="74"/>
    </row>
    <row r="85" spans="2:3" ht="14.25" customHeight="1" x14ac:dyDescent="0.25">
      <c r="B85" s="69"/>
      <c r="C85" s="74"/>
    </row>
    <row r="86" spans="2:3" ht="14.25" customHeight="1" x14ac:dyDescent="0.25">
      <c r="B86" s="69"/>
      <c r="C86" s="74"/>
    </row>
    <row r="87" spans="2:3" ht="14.25" customHeight="1" x14ac:dyDescent="0.25">
      <c r="B87" s="69"/>
      <c r="C87" s="74"/>
    </row>
    <row r="88" spans="2:3" ht="14.25" customHeight="1" x14ac:dyDescent="0.25">
      <c r="B88" s="69"/>
      <c r="C88" s="74"/>
    </row>
    <row r="89" spans="2:3" ht="14.25" customHeight="1" x14ac:dyDescent="0.25">
      <c r="B89" s="69"/>
      <c r="C89" s="74"/>
    </row>
    <row r="90" spans="2:3" ht="14.25" customHeight="1" x14ac:dyDescent="0.25">
      <c r="B90" s="69"/>
      <c r="C90" s="74"/>
    </row>
    <row r="91" spans="2:3" ht="14.25" customHeight="1" x14ac:dyDescent="0.25">
      <c r="B91" s="69"/>
      <c r="C91" s="74"/>
    </row>
    <row r="92" spans="2:3" ht="14.25" customHeight="1" x14ac:dyDescent="0.25">
      <c r="B92" s="69"/>
      <c r="C92" s="74"/>
    </row>
    <row r="93" spans="2:3" ht="14.25" customHeight="1" x14ac:dyDescent="0.25">
      <c r="B93" s="69"/>
      <c r="C93" s="74"/>
    </row>
    <row r="94" spans="2:3" ht="14.25" customHeight="1" x14ac:dyDescent="0.25">
      <c r="B94" s="69"/>
      <c r="C94" s="74"/>
    </row>
    <row r="95" spans="2:3" ht="14.25" customHeight="1" x14ac:dyDescent="0.25">
      <c r="B95" s="69"/>
      <c r="C95" s="74"/>
    </row>
    <row r="96" spans="2:3" ht="14.25" customHeight="1" x14ac:dyDescent="0.25">
      <c r="B96" s="69"/>
      <c r="C96" s="74"/>
    </row>
    <row r="97" spans="2:3" ht="14.25" customHeight="1" x14ac:dyDescent="0.25">
      <c r="B97" s="69"/>
      <c r="C97" s="74"/>
    </row>
    <row r="98" spans="2:3" ht="14.25" customHeight="1" x14ac:dyDescent="0.25">
      <c r="B98" s="69"/>
      <c r="C98" s="74"/>
    </row>
    <row r="99" spans="2:3" ht="14.25" customHeight="1" x14ac:dyDescent="0.25">
      <c r="B99" s="69"/>
      <c r="C99" s="74"/>
    </row>
    <row r="100" spans="2:3" ht="14.25" customHeight="1" x14ac:dyDescent="0.25">
      <c r="B100" s="69"/>
      <c r="C100" s="74"/>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3" sqref="C3"/>
    </sheetView>
  </sheetViews>
  <sheetFormatPr defaultColWidth="14.42578125" defaultRowHeight="15" customHeight="1" x14ac:dyDescent="0.25"/>
  <cols>
    <col min="1" max="1" width="0.28515625" style="78" customWidth="1"/>
    <col min="2" max="2" width="1" style="78" customWidth="1"/>
    <col min="3" max="3" width="36.28515625" style="78" customWidth="1"/>
    <col min="4" max="4" width="14.42578125" style="78" customWidth="1"/>
    <col min="5" max="5" width="12.42578125" style="78" customWidth="1"/>
    <col min="6" max="6" width="11.42578125" style="78" customWidth="1"/>
    <col min="7" max="7" width="16.7109375" style="78" customWidth="1"/>
    <col min="8" max="8" width="11.28515625" style="78" customWidth="1"/>
    <col min="9" max="9" width="12.28515625" style="78" customWidth="1"/>
    <col min="10" max="10" width="13.28515625" style="78" customWidth="1"/>
    <col min="11" max="11" width="15.42578125" style="78" customWidth="1"/>
    <col min="12" max="13" width="13.28515625" style="78" customWidth="1"/>
    <col min="14" max="14" width="10.42578125" style="78" customWidth="1"/>
    <col min="15" max="15" width="3.28515625" style="78" customWidth="1"/>
    <col min="16" max="16" width="9.7109375" style="78" hidden="1" customWidth="1"/>
    <col min="17" max="17" width="11.42578125" style="78" customWidth="1"/>
    <col min="18" max="18" width="10.28515625" style="77"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399"/>
      <c r="C1" s="399"/>
      <c r="D1" s="399"/>
      <c r="E1" s="399"/>
      <c r="F1" s="399"/>
      <c r="G1" s="399"/>
      <c r="H1" s="399"/>
      <c r="I1" s="399"/>
      <c r="J1" s="399"/>
      <c r="K1" s="468"/>
      <c r="L1" s="399"/>
      <c r="M1" s="399"/>
      <c r="N1" s="399"/>
      <c r="O1" s="800"/>
      <c r="P1" s="800"/>
      <c r="Q1" s="800"/>
      <c r="R1" s="800"/>
      <c r="S1" s="800"/>
      <c r="T1" s="800"/>
      <c r="U1" s="800"/>
      <c r="V1" s="2"/>
      <c r="W1" s="2"/>
      <c r="X1" s="2"/>
      <c r="Y1" s="2"/>
    </row>
    <row r="2" spans="1:25" ht="18" customHeight="1" x14ac:dyDescent="0.25">
      <c r="B2" s="399"/>
      <c r="C2" s="467" t="s">
        <v>436</v>
      </c>
      <c r="D2" s="2648" t="s">
        <v>906</v>
      </c>
      <c r="E2" s="2649"/>
      <c r="F2" s="2650"/>
      <c r="G2" s="399"/>
      <c r="H2" s="2651" t="s">
        <v>5</v>
      </c>
      <c r="I2" s="2652"/>
      <c r="J2" s="2653"/>
      <c r="K2" s="399"/>
      <c r="L2" s="399"/>
      <c r="M2" s="399"/>
      <c r="N2" s="399"/>
      <c r="O2" s="800"/>
      <c r="P2" s="800" t="s">
        <v>6</v>
      </c>
      <c r="Q2" s="800"/>
      <c r="R2" s="800"/>
      <c r="S2" s="800"/>
      <c r="T2" s="800"/>
      <c r="U2" s="800"/>
      <c r="V2" s="2"/>
      <c r="W2" s="2"/>
      <c r="X2" s="2"/>
      <c r="Y2" s="2"/>
    </row>
    <row r="3" spans="1:25" ht="18" customHeight="1" x14ac:dyDescent="0.25">
      <c r="B3" s="399"/>
      <c r="C3" s="467" t="s">
        <v>437</v>
      </c>
      <c r="D3" s="2648" t="s">
        <v>907</v>
      </c>
      <c r="E3" s="2649"/>
      <c r="F3" s="2650"/>
      <c r="G3" s="399"/>
      <c r="H3" s="2654"/>
      <c r="I3" s="2655"/>
      <c r="J3" s="2656"/>
      <c r="K3" s="399"/>
      <c r="L3" s="399"/>
      <c r="M3" s="399"/>
      <c r="N3" s="399"/>
      <c r="O3" s="800"/>
      <c r="P3" s="800" t="s">
        <v>7</v>
      </c>
      <c r="Q3" s="800"/>
      <c r="R3" s="800"/>
      <c r="S3" s="800"/>
      <c r="T3" s="800"/>
      <c r="U3" s="800"/>
      <c r="V3" s="2"/>
      <c r="W3" s="2"/>
      <c r="X3" s="2"/>
      <c r="Y3" s="2"/>
    </row>
    <row r="4" spans="1:25" ht="18" customHeight="1" x14ac:dyDescent="0.3">
      <c r="B4" s="399"/>
      <c r="C4" s="399"/>
      <c r="D4" s="399"/>
      <c r="E4" s="399"/>
      <c r="F4" s="399"/>
      <c r="G4" s="399"/>
      <c r="H4" s="399"/>
      <c r="I4" s="399"/>
      <c r="J4" s="399"/>
      <c r="K4" s="399"/>
      <c r="L4" s="2661" t="s">
        <v>424</v>
      </c>
      <c r="M4" s="2662"/>
      <c r="N4" s="2662"/>
      <c r="O4" s="800"/>
      <c r="P4" s="800"/>
      <c r="Q4" s="800"/>
      <c r="R4" s="800"/>
      <c r="S4" s="800"/>
      <c r="T4" s="800"/>
      <c r="U4" s="800"/>
      <c r="V4" s="2"/>
      <c r="W4" s="2"/>
      <c r="X4" s="2"/>
      <c r="Y4" s="2"/>
    </row>
    <row r="5" spans="1:25" ht="18" customHeight="1" x14ac:dyDescent="0.3">
      <c r="A5" s="462"/>
      <c r="B5" s="82"/>
      <c r="C5" s="85" t="s">
        <v>8</v>
      </c>
      <c r="D5" s="83"/>
      <c r="E5" s="83"/>
      <c r="F5" s="399"/>
      <c r="G5" s="399"/>
      <c r="H5" s="197" t="s">
        <v>454</v>
      </c>
      <c r="I5" s="388"/>
      <c r="J5" s="389"/>
      <c r="L5" s="2663" t="str">
        <f>Apresentação!I2</f>
        <v>RC-RSU V.1.0 - 15/10/2020</v>
      </c>
      <c r="M5" s="2663"/>
      <c r="N5" s="2663"/>
      <c r="O5" s="800"/>
      <c r="P5" s="800"/>
      <c r="Q5" s="800"/>
      <c r="R5" s="800"/>
      <c r="S5" s="800"/>
      <c r="T5" s="800"/>
      <c r="U5" s="800"/>
      <c r="V5" s="2"/>
      <c r="W5" s="2"/>
      <c r="X5" s="2"/>
      <c r="Y5" s="2"/>
    </row>
    <row r="6" spans="1:25" ht="4.1500000000000004" customHeight="1" x14ac:dyDescent="0.25">
      <c r="B6" s="399"/>
      <c r="C6" s="399"/>
      <c r="D6" s="399"/>
      <c r="E6" s="399"/>
      <c r="F6" s="399"/>
      <c r="G6" s="399"/>
      <c r="H6" s="399"/>
      <c r="I6" s="399"/>
      <c r="J6" s="399"/>
      <c r="K6" s="399"/>
      <c r="L6" s="399"/>
      <c r="M6" s="399"/>
      <c r="N6" s="399"/>
      <c r="O6" s="800"/>
      <c r="P6" s="800"/>
      <c r="Q6" s="800"/>
      <c r="R6" s="800"/>
      <c r="S6" s="800"/>
      <c r="T6" s="800"/>
      <c r="U6" s="800"/>
      <c r="V6" s="2"/>
      <c r="W6" s="2"/>
      <c r="X6" s="2"/>
      <c r="Y6" s="2"/>
    </row>
    <row r="7" spans="1:25" ht="18" customHeight="1" x14ac:dyDescent="0.25">
      <c r="B7" s="399"/>
      <c r="C7" s="399"/>
      <c r="D7" s="465"/>
      <c r="E7" s="465"/>
      <c r="F7" s="465"/>
      <c r="G7" s="399"/>
      <c r="H7" s="491"/>
      <c r="I7" s="398" t="s">
        <v>671</v>
      </c>
      <c r="J7" s="399"/>
      <c r="K7" s="399"/>
      <c r="L7" s="399"/>
      <c r="M7" s="399"/>
      <c r="N7" s="399"/>
      <c r="O7" s="800"/>
      <c r="P7" s="800"/>
      <c r="Q7" s="800"/>
      <c r="R7" s="800"/>
      <c r="S7" s="800"/>
      <c r="T7" s="800"/>
      <c r="U7" s="800"/>
      <c r="V7" s="2"/>
      <c r="W7" s="2"/>
      <c r="X7" s="2"/>
      <c r="Y7" s="2"/>
    </row>
    <row r="8" spans="1:25" ht="18" customHeight="1" x14ac:dyDescent="0.25">
      <c r="B8" s="399"/>
      <c r="C8" s="110"/>
      <c r="D8" s="104" t="s">
        <v>9</v>
      </c>
      <c r="E8" s="469">
        <v>411597</v>
      </c>
      <c r="F8" s="465" t="s">
        <v>1003</v>
      </c>
      <c r="G8" s="465" t="s">
        <v>1004</v>
      </c>
      <c r="H8" s="492"/>
      <c r="I8" s="398" t="s">
        <v>672</v>
      </c>
      <c r="J8" s="399"/>
      <c r="K8" s="399"/>
      <c r="L8" s="399"/>
      <c r="M8" s="399"/>
      <c r="N8" s="399"/>
      <c r="O8" s="800"/>
      <c r="P8" s="800" t="s">
        <v>10</v>
      </c>
      <c r="Q8" s="800"/>
      <c r="R8" s="800"/>
      <c r="S8" s="800"/>
      <c r="T8" s="800"/>
      <c r="U8" s="800"/>
      <c r="V8" s="2"/>
      <c r="W8" s="2"/>
      <c r="X8" s="2"/>
      <c r="Y8" s="2"/>
    </row>
    <row r="9" spans="1:25" ht="18" customHeight="1" x14ac:dyDescent="0.25">
      <c r="B9" s="399"/>
      <c r="C9" s="401"/>
      <c r="D9" s="496" t="s">
        <v>724</v>
      </c>
      <c r="E9" s="470">
        <f>(E10+'R&amp;C-Painel de Controle'!D31)*1000/E8</f>
        <v>1.2826835908636798</v>
      </c>
      <c r="F9" s="536">
        <f>(E10)*1000/E8</f>
        <v>1.1369099336212798</v>
      </c>
      <c r="G9" s="536">
        <f>('R&amp;C-Painel de Controle'!D31)*1000/E8</f>
        <v>0.14577365724239971</v>
      </c>
      <c r="H9" s="493"/>
      <c r="I9" s="398" t="s">
        <v>677</v>
      </c>
      <c r="J9" s="399"/>
      <c r="K9" s="399"/>
      <c r="L9" s="399"/>
      <c r="M9" s="399"/>
      <c r="N9" s="399"/>
      <c r="O9" s="800"/>
      <c r="P9" s="800" t="s">
        <v>11</v>
      </c>
      <c r="Q9" s="800"/>
      <c r="R9" s="800"/>
      <c r="S9" s="800"/>
      <c r="T9" s="800"/>
      <c r="U9" s="800"/>
      <c r="V9" s="2"/>
      <c r="W9" s="2"/>
      <c r="X9" s="2"/>
      <c r="Y9" s="2"/>
    </row>
    <row r="10" spans="1:25" ht="16.149999999999999" customHeight="1" x14ac:dyDescent="0.25">
      <c r="B10" s="399"/>
      <c r="C10" s="401"/>
      <c r="D10" s="496" t="s">
        <v>12</v>
      </c>
      <c r="E10" s="469">
        <f>400*365/312</f>
        <v>467.94871794871796</v>
      </c>
      <c r="F10" s="399"/>
      <c r="G10" s="399"/>
      <c r="H10" s="122"/>
      <c r="I10" s="398" t="s">
        <v>678</v>
      </c>
      <c r="J10" s="399"/>
      <c r="K10" s="399"/>
      <c r="L10" s="399"/>
      <c r="M10" s="399"/>
      <c r="N10" s="399"/>
      <c r="O10" s="800"/>
      <c r="P10" s="800"/>
      <c r="Q10" s="800"/>
      <c r="R10" s="800"/>
      <c r="S10" s="800"/>
      <c r="T10" s="800"/>
      <c r="U10" s="800"/>
      <c r="V10" s="2"/>
      <c r="W10" s="2"/>
      <c r="X10" s="2"/>
      <c r="Y10" s="2"/>
    </row>
    <row r="11" spans="1:25" ht="3" customHeight="1" x14ac:dyDescent="0.25">
      <c r="B11" s="399"/>
      <c r="C11" s="497"/>
      <c r="D11" s="497"/>
      <c r="E11" s="466"/>
      <c r="F11" s="399"/>
      <c r="G11" s="399"/>
      <c r="H11" s="399"/>
      <c r="I11" s="399"/>
      <c r="J11" s="399"/>
      <c r="K11" s="399"/>
      <c r="L11" s="399"/>
      <c r="M11" s="399"/>
      <c r="N11" s="399"/>
      <c r="O11" s="800"/>
      <c r="P11" s="800"/>
      <c r="Q11" s="800"/>
      <c r="R11" s="800"/>
      <c r="S11" s="800"/>
      <c r="T11" s="800"/>
      <c r="U11" s="800"/>
      <c r="V11" s="2"/>
      <c r="W11" s="2"/>
      <c r="X11" s="2"/>
      <c r="Y11" s="2"/>
    </row>
    <row r="12" spans="1:25" ht="18" customHeight="1" x14ac:dyDescent="0.25">
      <c r="B12" s="399"/>
      <c r="C12" s="497"/>
      <c r="D12" s="498" t="s">
        <v>725</v>
      </c>
      <c r="E12" s="471" t="s">
        <v>11</v>
      </c>
      <c r="F12" s="399"/>
      <c r="G12" s="399"/>
      <c r="H12" s="399"/>
      <c r="I12" s="399"/>
      <c r="J12" s="399"/>
      <c r="K12" s="399"/>
      <c r="L12" s="399"/>
      <c r="M12" s="399"/>
      <c r="N12" s="399"/>
      <c r="O12" s="800"/>
      <c r="P12" s="800"/>
      <c r="Q12" s="800"/>
      <c r="R12" s="800"/>
      <c r="S12" s="800"/>
      <c r="T12" s="800"/>
      <c r="U12" s="800"/>
      <c r="V12" s="2"/>
      <c r="W12" s="2"/>
      <c r="X12" s="2"/>
      <c r="Y12" s="2"/>
    </row>
    <row r="13" spans="1:25" ht="3.4" customHeight="1" x14ac:dyDescent="0.25">
      <c r="B13" s="399"/>
      <c r="C13" s="497"/>
      <c r="D13" s="497"/>
      <c r="E13" s="466"/>
      <c r="F13" s="399"/>
      <c r="G13" s="399"/>
      <c r="H13" s="399"/>
      <c r="I13" s="399"/>
      <c r="J13" s="399"/>
      <c r="K13" s="399"/>
      <c r="L13" s="399"/>
      <c r="M13" s="399"/>
      <c r="N13" s="399"/>
      <c r="O13" s="800"/>
      <c r="P13" s="800"/>
      <c r="Q13" s="800"/>
      <c r="R13" s="800"/>
      <c r="S13" s="800"/>
      <c r="T13" s="800"/>
      <c r="U13" s="800"/>
      <c r="V13" s="2"/>
      <c r="W13" s="2"/>
      <c r="X13" s="2"/>
      <c r="Y13" s="2"/>
    </row>
    <row r="14" spans="1:25" ht="18" customHeight="1" x14ac:dyDescent="0.25">
      <c r="B14" s="399"/>
      <c r="C14" s="497"/>
      <c r="D14" s="498" t="s">
        <v>455</v>
      </c>
      <c r="E14" s="495">
        <f>IF(E12="per capita",E9*E8/1000,E10)</f>
        <v>467.94871794871796</v>
      </c>
      <c r="F14" s="399"/>
      <c r="G14" s="399"/>
      <c r="H14" s="399"/>
      <c r="I14" s="399"/>
      <c r="J14" s="399"/>
      <c r="K14" s="399"/>
      <c r="L14" s="399"/>
      <c r="M14" s="399"/>
      <c r="N14" s="399"/>
      <c r="O14" s="800"/>
      <c r="P14" s="800"/>
      <c r="Q14" s="800"/>
      <c r="R14" s="800"/>
      <c r="S14" s="800"/>
      <c r="T14" s="800"/>
      <c r="U14" s="800"/>
      <c r="V14" s="2"/>
      <c r="W14" s="2"/>
      <c r="X14" s="2"/>
      <c r="Y14" s="2"/>
    </row>
    <row r="15" spans="1:25" ht="18" customHeight="1" x14ac:dyDescent="0.25">
      <c r="B15" s="399"/>
      <c r="C15" s="399"/>
      <c r="D15" s="399"/>
      <c r="E15" s="399"/>
      <c r="F15" s="399"/>
      <c r="G15" s="399"/>
      <c r="H15" s="399"/>
      <c r="I15" s="399"/>
      <c r="J15" s="399"/>
      <c r="K15" s="399"/>
      <c r="L15" s="399"/>
      <c r="M15" s="399"/>
      <c r="N15" s="399"/>
      <c r="O15" s="800"/>
      <c r="P15" s="800"/>
      <c r="Q15" s="800"/>
      <c r="R15" s="800"/>
      <c r="S15" s="800"/>
      <c r="T15" s="800"/>
      <c r="U15" s="800"/>
      <c r="V15" s="2"/>
      <c r="W15" s="2"/>
      <c r="X15" s="2"/>
      <c r="Y15" s="2"/>
    </row>
    <row r="16" spans="1:25" ht="25.15" customHeight="1" x14ac:dyDescent="0.25">
      <c r="B16" s="399"/>
      <c r="C16" s="2671" t="s">
        <v>839</v>
      </c>
      <c r="D16" s="2672"/>
      <c r="E16" s="2672"/>
      <c r="F16" s="2672"/>
      <c r="G16" s="2672"/>
      <c r="H16" s="2672"/>
      <c r="I16" s="2672"/>
      <c r="J16" s="399"/>
      <c r="K16" s="399"/>
      <c r="L16" s="399"/>
      <c r="M16" s="399"/>
      <c r="N16" s="399"/>
      <c r="O16" s="800"/>
      <c r="P16" s="800"/>
      <c r="Q16" s="800"/>
      <c r="R16" s="800"/>
      <c r="S16" s="800"/>
      <c r="T16" s="800"/>
      <c r="U16" s="800"/>
      <c r="V16" s="2"/>
      <c r="W16" s="2"/>
      <c r="X16" s="2"/>
      <c r="Y16" s="2"/>
    </row>
    <row r="17" spans="1:25" ht="18" customHeight="1" x14ac:dyDescent="0.25">
      <c r="B17" s="399"/>
      <c r="C17" s="494" t="s">
        <v>13</v>
      </c>
      <c r="D17" s="398"/>
      <c r="E17" s="398"/>
      <c r="F17" s="398"/>
      <c r="G17" s="398"/>
      <c r="H17" s="398"/>
      <c r="I17" s="399"/>
      <c r="J17" s="399"/>
      <c r="K17" s="399"/>
      <c r="L17" s="399"/>
      <c r="M17" s="399"/>
      <c r="N17" s="399"/>
      <c r="O17" s="800"/>
      <c r="P17" s="800"/>
      <c r="Q17" s="800"/>
      <c r="R17" s="800"/>
      <c r="S17" s="800"/>
      <c r="T17" s="800"/>
      <c r="U17" s="800"/>
      <c r="V17" s="2"/>
      <c r="W17" s="2"/>
      <c r="X17" s="2"/>
      <c r="Y17" s="2"/>
    </row>
    <row r="18" spans="1:25" ht="18" customHeight="1" x14ac:dyDescent="0.25">
      <c r="A18" s="79"/>
      <c r="B18" s="465"/>
      <c r="C18" s="494" t="s">
        <v>456</v>
      </c>
      <c r="D18" s="398"/>
      <c r="E18" s="398"/>
      <c r="F18" s="398"/>
      <c r="G18" s="402"/>
      <c r="H18" s="402"/>
      <c r="I18" s="465"/>
      <c r="J18" s="465"/>
      <c r="K18" s="465"/>
      <c r="L18" s="481"/>
      <c r="M18" s="465"/>
      <c r="N18" s="399"/>
      <c r="O18" s="800"/>
      <c r="P18" s="800"/>
      <c r="Q18" s="800"/>
      <c r="R18" s="800"/>
      <c r="S18" s="800"/>
      <c r="T18" s="800"/>
      <c r="U18" s="800"/>
      <c r="V18" s="2"/>
      <c r="W18" s="6"/>
      <c r="X18" s="6"/>
      <c r="Y18" s="7"/>
    </row>
    <row r="19" spans="1:25" ht="6" customHeight="1" x14ac:dyDescent="0.25">
      <c r="A19" s="79"/>
      <c r="B19" s="465"/>
      <c r="C19" s="468"/>
      <c r="D19" s="399"/>
      <c r="E19" s="399"/>
      <c r="F19" s="399"/>
      <c r="G19" s="465"/>
      <c r="H19" s="465"/>
      <c r="I19" s="465"/>
      <c r="J19" s="465"/>
      <c r="K19" s="465"/>
      <c r="L19" s="481"/>
      <c r="M19" s="468"/>
      <c r="N19" s="399"/>
      <c r="O19" s="800"/>
      <c r="P19" s="800"/>
      <c r="Q19" s="800"/>
      <c r="R19" s="800"/>
      <c r="S19" s="800"/>
      <c r="T19" s="800"/>
      <c r="U19" s="800"/>
      <c r="V19" s="2"/>
      <c r="W19" s="6"/>
      <c r="X19" s="6"/>
      <c r="Y19" s="7"/>
    </row>
    <row r="20" spans="1:25" ht="18" customHeight="1" x14ac:dyDescent="0.25">
      <c r="A20" s="79"/>
      <c r="B20" s="465"/>
      <c r="C20" s="399"/>
      <c r="D20" s="465"/>
      <c r="E20" s="465"/>
      <c r="F20" s="484" t="s">
        <v>14</v>
      </c>
      <c r="G20" s="472" t="s">
        <v>6</v>
      </c>
      <c r="H20" s="540" t="str">
        <f>IF(AND(G20="Sim",E40=0),"     Atenção: Você deve inserir os","")</f>
        <v/>
      </c>
      <c r="I20" s="465"/>
      <c r="J20" s="465"/>
      <c r="K20" s="799" t="str">
        <f>IF($G$21="Sim","          confirma a utilização de gravimetria 'padrão Brasil'?","")</f>
        <v/>
      </c>
      <c r="L20" s="465"/>
      <c r="M20" s="465"/>
      <c r="N20" s="399"/>
      <c r="O20" s="800"/>
      <c r="P20" s="800"/>
      <c r="Q20" s="800"/>
      <c r="R20" s="800"/>
      <c r="S20" s="800"/>
      <c r="T20" s="800"/>
      <c r="U20" s="800"/>
      <c r="V20" s="2"/>
      <c r="W20" s="6"/>
      <c r="X20" s="6"/>
      <c r="Y20" s="7"/>
    </row>
    <row r="21" spans="1:25" ht="18" customHeight="1" x14ac:dyDescent="0.25">
      <c r="A21" s="79"/>
      <c r="B21" s="465"/>
      <c r="C21" s="399"/>
      <c r="D21" s="465"/>
      <c r="E21" s="465"/>
      <c r="F21" s="484" t="s">
        <v>15</v>
      </c>
      <c r="G21" s="473" t="str">
        <f>IF(G20="Não","Sim","Não")</f>
        <v>Não</v>
      </c>
      <c r="H21" s="540" t="str">
        <f>IF(AND(G20="Sim",E40=0),"  valores nas células D em verde!","")</f>
        <v/>
      </c>
      <c r="I21" s="465"/>
      <c r="J21" s="465"/>
      <c r="K21" s="800" t="str">
        <f>IF($G$21="Sim","          Se sim, continue alimentando os dados solicitados.","")</f>
        <v/>
      </c>
      <c r="L21" s="465"/>
      <c r="M21" s="465"/>
      <c r="N21" s="399"/>
      <c r="O21" s="800"/>
      <c r="P21" s="800"/>
      <c r="Q21" s="800"/>
      <c r="R21" s="800"/>
      <c r="S21" s="800"/>
      <c r="T21" s="800"/>
      <c r="U21" s="800"/>
      <c r="V21" s="2"/>
      <c r="W21" s="6"/>
      <c r="X21" s="6"/>
      <c r="Y21" s="7"/>
    </row>
    <row r="22" spans="1:25" ht="13.9" customHeight="1" x14ac:dyDescent="0.25">
      <c r="A22" s="79"/>
      <c r="B22" s="465"/>
      <c r="C22" s="399"/>
      <c r="D22" s="465"/>
      <c r="E22" s="465"/>
      <c r="F22" s="479"/>
      <c r="G22" s="81"/>
      <c r="H22" s="465"/>
      <c r="I22" s="465"/>
      <c r="J22" s="465"/>
      <c r="K22" s="800" t="str">
        <f>IF($G$21="Sim","          Se não, volte em G20 escolha 'Sim' para 'dados do usuário'.","")</f>
        <v/>
      </c>
      <c r="L22" s="465"/>
      <c r="M22" s="465"/>
      <c r="N22" s="399"/>
      <c r="O22" s="800"/>
      <c r="P22" s="800"/>
      <c r="Q22" s="800"/>
      <c r="R22" s="800"/>
      <c r="S22" s="800"/>
      <c r="T22" s="800"/>
      <c r="U22" s="800"/>
      <c r="V22" s="2"/>
      <c r="W22" s="6"/>
      <c r="X22" s="6"/>
      <c r="Y22" s="7"/>
    </row>
    <row r="23" spans="1:25" ht="21" customHeight="1" x14ac:dyDescent="0.25">
      <c r="A23" s="79"/>
      <c r="B23" s="465"/>
      <c r="C23" s="2657" t="s">
        <v>16</v>
      </c>
      <c r="D23" s="2660" t="s">
        <v>684</v>
      </c>
      <c r="E23" s="2658"/>
      <c r="F23" s="2658"/>
      <c r="G23" s="2666" t="s">
        <v>740</v>
      </c>
      <c r="H23" s="2666" t="s">
        <v>17</v>
      </c>
      <c r="I23" s="2658"/>
      <c r="J23" s="465"/>
      <c r="K23" s="465"/>
      <c r="L23" s="465"/>
      <c r="M23" s="465"/>
      <c r="N23" s="399"/>
      <c r="O23" s="800"/>
      <c r="P23" s="800"/>
      <c r="Q23" s="800"/>
      <c r="R23" s="800"/>
      <c r="S23" s="800"/>
      <c r="T23" s="800"/>
      <c r="U23" s="800"/>
      <c r="V23" s="2"/>
      <c r="W23" s="6"/>
      <c r="X23" s="6"/>
      <c r="Y23" s="7"/>
    </row>
    <row r="24" spans="1:25" ht="18.399999999999999" hidden="1" customHeight="1" x14ac:dyDescent="0.25">
      <c r="A24" s="79"/>
      <c r="B24" s="465"/>
      <c r="C24" s="2658"/>
      <c r="D24" s="2659" t="s">
        <v>18</v>
      </c>
      <c r="E24" s="2659" t="s">
        <v>19</v>
      </c>
      <c r="F24" s="2659" t="s">
        <v>20</v>
      </c>
      <c r="G24" s="2658"/>
      <c r="H24" s="2658"/>
      <c r="I24" s="2658"/>
      <c r="J24" s="465"/>
      <c r="K24" s="482"/>
      <c r="L24" s="465"/>
      <c r="M24" s="465"/>
      <c r="N24" s="399"/>
      <c r="O24" s="800"/>
      <c r="P24" s="800"/>
      <c r="Q24" s="800"/>
      <c r="R24" s="800"/>
      <c r="S24" s="800"/>
      <c r="T24" s="800"/>
      <c r="U24" s="800"/>
      <c r="V24" s="2"/>
      <c r="W24" s="6"/>
      <c r="X24" s="6"/>
      <c r="Y24" s="6"/>
    </row>
    <row r="25" spans="1:25" ht="30.4" customHeight="1" x14ac:dyDescent="0.25">
      <c r="B25" s="399"/>
      <c r="C25" s="2658"/>
      <c r="D25" s="2658"/>
      <c r="E25" s="2658"/>
      <c r="F25" s="2658"/>
      <c r="G25" s="444" t="s">
        <v>21</v>
      </c>
      <c r="H25" s="440" t="s">
        <v>22</v>
      </c>
      <c r="I25" s="440" t="s">
        <v>23</v>
      </c>
      <c r="J25" s="465"/>
      <c r="K25" s="482"/>
      <c r="L25" s="465"/>
      <c r="M25" s="399"/>
      <c r="N25" s="399"/>
      <c r="O25" s="800"/>
      <c r="P25" s="800"/>
      <c r="Q25" s="800"/>
      <c r="R25" s="800"/>
      <c r="S25" s="800"/>
      <c r="T25" s="800"/>
      <c r="U25" s="800"/>
      <c r="V25" s="2"/>
      <c r="W25" s="2"/>
      <c r="X25" s="2"/>
      <c r="Y25" s="2"/>
    </row>
    <row r="26" spans="1:25" ht="18" customHeight="1" x14ac:dyDescent="0.25">
      <c r="B26" s="399"/>
      <c r="C26" s="474" t="s">
        <v>24</v>
      </c>
      <c r="D26" s="798">
        <f>51.4-D27</f>
        <v>48.4</v>
      </c>
      <c r="E26" s="443">
        <f t="shared" ref="E26:E39" si="0">IF($G$21&lt;&gt;"Não",F26,D26)</f>
        <v>48.4</v>
      </c>
      <c r="F26" s="87">
        <v>48.4</v>
      </c>
      <c r="G26" s="90">
        <f t="shared" ref="G26:G39" si="1">$E$14*E26/100</f>
        <v>226.4871794871795</v>
      </c>
      <c r="H26" s="2667">
        <f>E26+E27</f>
        <v>51.4</v>
      </c>
      <c r="I26" s="2669" t="s">
        <v>25</v>
      </c>
      <c r="J26" s="399"/>
      <c r="K26" s="399"/>
      <c r="L26" s="399"/>
      <c r="M26" s="399"/>
      <c r="N26" s="399"/>
      <c r="O26" s="800"/>
      <c r="P26" s="800"/>
      <c r="Q26" s="800"/>
      <c r="R26" s="800"/>
      <c r="S26" s="800"/>
      <c r="T26" s="800"/>
      <c r="U26" s="800"/>
      <c r="V26" s="2"/>
      <c r="W26" s="2"/>
      <c r="X26" s="2"/>
      <c r="Y26" s="2"/>
    </row>
    <row r="27" spans="1:25" ht="18" customHeight="1" x14ac:dyDescent="0.25">
      <c r="B27" s="399"/>
      <c r="C27" s="474" t="s">
        <v>26</v>
      </c>
      <c r="D27" s="798">
        <v>3</v>
      </c>
      <c r="E27" s="443">
        <f t="shared" si="0"/>
        <v>3</v>
      </c>
      <c r="F27" s="87">
        <v>3</v>
      </c>
      <c r="G27" s="90">
        <f t="shared" si="1"/>
        <v>14.038461538461538</v>
      </c>
      <c r="H27" s="2668"/>
      <c r="I27" s="2670"/>
      <c r="J27" s="399"/>
      <c r="K27" s="399"/>
      <c r="L27" s="399"/>
      <c r="M27" s="399"/>
      <c r="N27" s="399"/>
      <c r="O27" s="800"/>
      <c r="P27" s="800"/>
      <c r="Q27" s="800"/>
      <c r="R27" s="800"/>
      <c r="S27" s="800"/>
      <c r="T27" s="800"/>
      <c r="U27" s="800"/>
      <c r="V27" s="2"/>
      <c r="W27" s="2"/>
      <c r="X27" s="2"/>
      <c r="Y27" s="2"/>
    </row>
    <row r="28" spans="1:25" ht="18" customHeight="1" x14ac:dyDescent="0.25">
      <c r="B28" s="399"/>
      <c r="C28" s="474" t="s">
        <v>27</v>
      </c>
      <c r="D28" s="798">
        <v>13.1</v>
      </c>
      <c r="E28" s="443">
        <f t="shared" si="0"/>
        <v>13.1</v>
      </c>
      <c r="F28" s="87">
        <v>13.1</v>
      </c>
      <c r="G28" s="90">
        <f t="shared" si="1"/>
        <v>61.301282051282051</v>
      </c>
      <c r="H28" s="2667">
        <f>SUM(E28:E33)</f>
        <v>31.900000000000002</v>
      </c>
      <c r="I28" s="2669" t="s">
        <v>28</v>
      </c>
      <c r="J28" s="399"/>
      <c r="K28" s="399"/>
      <c r="L28" s="479"/>
      <c r="M28" s="399"/>
      <c r="N28" s="399"/>
      <c r="O28" s="800"/>
      <c r="P28" s="800"/>
      <c r="Q28" s="800"/>
      <c r="R28" s="800"/>
      <c r="S28" s="800"/>
      <c r="T28" s="800"/>
      <c r="U28" s="800"/>
      <c r="V28" s="2"/>
      <c r="W28" s="2"/>
      <c r="X28" s="2"/>
      <c r="Y28" s="2"/>
    </row>
    <row r="29" spans="1:25" ht="18" customHeight="1" x14ac:dyDescent="0.25">
      <c r="B29" s="399"/>
      <c r="C29" s="474" t="s">
        <v>29</v>
      </c>
      <c r="D29" s="798">
        <v>8.9</v>
      </c>
      <c r="E29" s="443">
        <f t="shared" si="0"/>
        <v>8.9</v>
      </c>
      <c r="F29" s="87">
        <v>8.9</v>
      </c>
      <c r="G29" s="90">
        <f t="shared" si="1"/>
        <v>41.647435897435898</v>
      </c>
      <c r="H29" s="2668"/>
      <c r="I29" s="2670"/>
      <c r="J29" s="399"/>
      <c r="K29" s="399"/>
      <c r="L29" s="399"/>
      <c r="M29" s="399"/>
      <c r="N29" s="399"/>
      <c r="O29" s="800"/>
      <c r="P29" s="800"/>
      <c r="Q29" s="800"/>
      <c r="R29" s="800"/>
      <c r="S29" s="800"/>
      <c r="T29" s="800"/>
      <c r="U29" s="800"/>
      <c r="V29" s="2"/>
      <c r="W29" s="2"/>
      <c r="X29" s="2"/>
      <c r="Y29" s="2"/>
    </row>
    <row r="30" spans="1:25" ht="18" customHeight="1" x14ac:dyDescent="0.25">
      <c r="B30" s="399"/>
      <c r="C30" s="474" t="s">
        <v>30</v>
      </c>
      <c r="D30" s="798">
        <v>4.5999999999999996</v>
      </c>
      <c r="E30" s="443">
        <f t="shared" si="0"/>
        <v>4.5999999999999996</v>
      </c>
      <c r="F30" s="87">
        <v>4.5999999999999996</v>
      </c>
      <c r="G30" s="90">
        <f t="shared" si="1"/>
        <v>21.525641025641026</v>
      </c>
      <c r="H30" s="2668"/>
      <c r="I30" s="2670"/>
      <c r="J30" s="399"/>
      <c r="K30" s="399"/>
      <c r="L30" s="399"/>
      <c r="M30" s="399"/>
      <c r="N30" s="399"/>
      <c r="O30" s="800"/>
      <c r="P30" s="800"/>
      <c r="Q30" s="800"/>
      <c r="R30" s="800"/>
      <c r="S30" s="800"/>
      <c r="T30" s="800"/>
      <c r="U30" s="800"/>
      <c r="V30" s="2"/>
      <c r="W30" s="2"/>
      <c r="X30" s="2"/>
      <c r="Y30" s="2"/>
    </row>
    <row r="31" spans="1:25" ht="18" customHeight="1" x14ac:dyDescent="0.25">
      <c r="B31" s="399"/>
      <c r="C31" s="474" t="s">
        <v>31</v>
      </c>
      <c r="D31" s="798">
        <v>2.4</v>
      </c>
      <c r="E31" s="443">
        <f t="shared" si="0"/>
        <v>2.4</v>
      </c>
      <c r="F31" s="87">
        <v>2.4</v>
      </c>
      <c r="G31" s="90">
        <f t="shared" si="1"/>
        <v>11.230769230769232</v>
      </c>
      <c r="H31" s="2668"/>
      <c r="I31" s="2670"/>
      <c r="J31" s="399"/>
      <c r="K31" s="399"/>
      <c r="L31" s="399"/>
      <c r="M31" s="399"/>
      <c r="N31" s="399"/>
      <c r="O31" s="800"/>
      <c r="P31" s="800"/>
      <c r="Q31" s="800"/>
      <c r="R31" s="800"/>
      <c r="S31" s="800"/>
      <c r="T31" s="800"/>
      <c r="U31" s="800"/>
      <c r="V31" s="2"/>
      <c r="W31" s="2"/>
      <c r="X31" s="2"/>
      <c r="Y31" s="2"/>
    </row>
    <row r="32" spans="1:25" ht="18" customHeight="1" x14ac:dyDescent="0.25">
      <c r="B32" s="399"/>
      <c r="C32" s="474" t="s">
        <v>32</v>
      </c>
      <c r="D32" s="798">
        <v>2.2999999999999998</v>
      </c>
      <c r="E32" s="443">
        <f t="shared" si="0"/>
        <v>2.2999999999999998</v>
      </c>
      <c r="F32" s="87">
        <v>2.2999999999999998</v>
      </c>
      <c r="G32" s="90">
        <f t="shared" si="1"/>
        <v>10.762820512820513</v>
      </c>
      <c r="H32" s="2668"/>
      <c r="I32" s="2670"/>
      <c r="J32" s="399"/>
      <c r="K32" s="399"/>
      <c r="L32" s="399"/>
      <c r="M32" s="399"/>
      <c r="N32" s="399"/>
      <c r="O32" s="800"/>
      <c r="P32" s="800"/>
      <c r="Q32" s="800"/>
      <c r="R32" s="800"/>
      <c r="S32" s="800"/>
      <c r="T32" s="800"/>
      <c r="U32" s="800"/>
      <c r="V32" s="2"/>
      <c r="W32" s="2"/>
      <c r="X32" s="2"/>
      <c r="Y32" s="2"/>
    </row>
    <row r="33" spans="1:25" ht="18" customHeight="1" x14ac:dyDescent="0.25">
      <c r="B33" s="399"/>
      <c r="C33" s="474" t="s">
        <v>33</v>
      </c>
      <c r="D33" s="798">
        <v>0.6</v>
      </c>
      <c r="E33" s="443">
        <f t="shared" si="0"/>
        <v>0.6</v>
      </c>
      <c r="F33" s="87">
        <v>0.6</v>
      </c>
      <c r="G33" s="90">
        <f t="shared" si="1"/>
        <v>2.8076923076923079</v>
      </c>
      <c r="H33" s="2668"/>
      <c r="I33" s="2670"/>
      <c r="J33" s="399"/>
      <c r="K33" s="399"/>
      <c r="L33" s="399"/>
      <c r="M33" s="399"/>
      <c r="N33" s="399"/>
      <c r="O33" s="800"/>
      <c r="P33" s="800"/>
      <c r="Q33" s="800"/>
      <c r="R33" s="800"/>
      <c r="S33" s="800"/>
      <c r="T33" s="800"/>
      <c r="U33" s="800"/>
      <c r="V33" s="2"/>
      <c r="W33" s="2"/>
      <c r="X33" s="2"/>
      <c r="Y33" s="2"/>
    </row>
    <row r="34" spans="1:25" ht="18" customHeight="1" x14ac:dyDescent="0.25">
      <c r="B34" s="399"/>
      <c r="C34" s="474" t="s">
        <v>34</v>
      </c>
      <c r="D34" s="798">
        <v>4.45</v>
      </c>
      <c r="E34" s="443">
        <f t="shared" si="0"/>
        <v>4.45</v>
      </c>
      <c r="F34" s="87">
        <v>2.6</v>
      </c>
      <c r="G34" s="90">
        <f t="shared" si="1"/>
        <v>20.823717948717949</v>
      </c>
      <c r="H34" s="2667">
        <f>SUM(E34:E37)</f>
        <v>10.14</v>
      </c>
      <c r="I34" s="2674" t="s">
        <v>35</v>
      </c>
      <c r="J34" s="399"/>
      <c r="K34" s="399"/>
      <c r="L34" s="399"/>
      <c r="M34" s="399"/>
      <c r="N34" s="399"/>
      <c r="O34" s="800"/>
      <c r="P34" s="800"/>
      <c r="Q34" s="800"/>
      <c r="R34" s="800"/>
      <c r="S34" s="800"/>
      <c r="T34" s="800"/>
      <c r="U34" s="800"/>
      <c r="V34" s="2"/>
      <c r="W34" s="2"/>
      <c r="X34" s="2"/>
      <c r="Y34" s="2"/>
    </row>
    <row r="35" spans="1:25" ht="18" customHeight="1" x14ac:dyDescent="0.25">
      <c r="B35" s="399"/>
      <c r="C35" s="474" t="s">
        <v>36</v>
      </c>
      <c r="D35" s="798">
        <v>0.96</v>
      </c>
      <c r="E35" s="443">
        <f t="shared" si="0"/>
        <v>0.96</v>
      </c>
      <c r="F35" s="87">
        <v>0.7</v>
      </c>
      <c r="G35" s="90">
        <f t="shared" si="1"/>
        <v>4.4923076923076923</v>
      </c>
      <c r="H35" s="2668"/>
      <c r="I35" s="2670"/>
      <c r="J35" s="399"/>
      <c r="K35" s="399"/>
      <c r="L35" s="399"/>
      <c r="M35" s="483"/>
      <c r="N35" s="399"/>
      <c r="O35" s="800"/>
      <c r="P35" s="800"/>
      <c r="Q35" s="800"/>
      <c r="R35" s="800"/>
      <c r="S35" s="800"/>
      <c r="T35" s="800"/>
      <c r="U35" s="800"/>
      <c r="V35" s="2"/>
      <c r="W35" s="2"/>
      <c r="X35" s="2"/>
      <c r="Y35" s="2"/>
    </row>
    <row r="36" spans="1:25" ht="18" customHeight="1" x14ac:dyDescent="0.25">
      <c r="B36" s="399"/>
      <c r="C36" s="474" t="s">
        <v>37</v>
      </c>
      <c r="D36" s="798">
        <v>4</v>
      </c>
      <c r="E36" s="443">
        <f t="shared" si="0"/>
        <v>4</v>
      </c>
      <c r="F36" s="87">
        <v>4</v>
      </c>
      <c r="G36" s="90">
        <f t="shared" si="1"/>
        <v>18.717948717948719</v>
      </c>
      <c r="H36" s="2668"/>
      <c r="I36" s="2670"/>
      <c r="J36" s="399"/>
      <c r="K36" s="399"/>
      <c r="L36" s="399"/>
      <c r="M36" s="399"/>
      <c r="N36" s="399"/>
      <c r="O36" s="800"/>
      <c r="P36" s="800"/>
      <c r="Q36" s="800"/>
      <c r="R36" s="800"/>
      <c r="S36" s="800"/>
      <c r="T36" s="800"/>
      <c r="U36" s="800"/>
      <c r="V36" s="2"/>
      <c r="W36" s="2"/>
      <c r="X36" s="2"/>
      <c r="Y36" s="2"/>
    </row>
    <row r="37" spans="1:25" ht="18" customHeight="1" x14ac:dyDescent="0.25">
      <c r="B37" s="399"/>
      <c r="C37" s="474" t="s">
        <v>38</v>
      </c>
      <c r="D37" s="798">
        <v>0.73</v>
      </c>
      <c r="E37" s="443">
        <f t="shared" si="0"/>
        <v>0.73</v>
      </c>
      <c r="F37" s="87">
        <v>4.7</v>
      </c>
      <c r="G37" s="90">
        <f t="shared" si="1"/>
        <v>3.4160256410256409</v>
      </c>
      <c r="H37" s="2668"/>
      <c r="I37" s="2670"/>
      <c r="J37" s="399"/>
      <c r="K37" s="399"/>
      <c r="L37" s="399"/>
      <c r="M37" s="399"/>
      <c r="N37" s="399"/>
      <c r="O37" s="800"/>
      <c r="P37" s="800"/>
      <c r="Q37" s="800"/>
      <c r="R37" s="800"/>
      <c r="S37" s="800"/>
      <c r="T37" s="800"/>
      <c r="U37" s="800"/>
      <c r="V37" s="2"/>
      <c r="W37" s="2"/>
      <c r="X37" s="2"/>
      <c r="Y37" s="2"/>
    </row>
    <row r="38" spans="1:25" ht="18" customHeight="1" x14ac:dyDescent="0.25">
      <c r="B38" s="399"/>
      <c r="C38" s="474" t="s">
        <v>39</v>
      </c>
      <c r="D38" s="798">
        <v>0</v>
      </c>
      <c r="E38" s="443">
        <f t="shared" si="0"/>
        <v>0</v>
      </c>
      <c r="F38" s="87">
        <v>0</v>
      </c>
      <c r="G38" s="90">
        <f t="shared" si="1"/>
        <v>0</v>
      </c>
      <c r="H38" s="2667">
        <f>SUM(E38:E39)</f>
        <v>6.5600000000000023</v>
      </c>
      <c r="I38" s="2674" t="s">
        <v>40</v>
      </c>
      <c r="J38" s="399"/>
      <c r="K38" s="399"/>
      <c r="L38" s="399"/>
      <c r="M38" s="399"/>
      <c r="N38" s="399"/>
      <c r="O38" s="800"/>
      <c r="P38" s="800"/>
      <c r="Q38" s="800"/>
      <c r="R38" s="800"/>
      <c r="S38" s="800"/>
      <c r="T38" s="800"/>
      <c r="U38" s="800"/>
      <c r="V38" s="2"/>
      <c r="W38" s="2"/>
      <c r="X38" s="2"/>
      <c r="Y38" s="2"/>
    </row>
    <row r="39" spans="1:25" ht="18" customHeight="1" x14ac:dyDescent="0.25">
      <c r="B39" s="399"/>
      <c r="C39" s="474" t="s">
        <v>41</v>
      </c>
      <c r="D39" s="798">
        <f>100-(SUM(D26:D38))</f>
        <v>6.5600000000000023</v>
      </c>
      <c r="E39" s="443">
        <f t="shared" si="0"/>
        <v>6.5600000000000023</v>
      </c>
      <c r="F39" s="87">
        <v>4.7</v>
      </c>
      <c r="G39" s="90">
        <f t="shared" si="1"/>
        <v>30.697435897435909</v>
      </c>
      <c r="H39" s="2668"/>
      <c r="I39" s="2670"/>
      <c r="J39" s="399"/>
      <c r="K39" s="399"/>
      <c r="L39" s="399"/>
      <c r="M39" s="399"/>
      <c r="N39" s="399"/>
      <c r="O39" s="800"/>
      <c r="P39" s="800"/>
      <c r="Q39" s="800"/>
      <c r="R39" s="800"/>
      <c r="S39" s="800"/>
      <c r="T39" s="800"/>
      <c r="U39" s="800"/>
      <c r="V39" s="2"/>
      <c r="W39" s="2"/>
      <c r="X39" s="2"/>
      <c r="Y39" s="2"/>
    </row>
    <row r="40" spans="1:25" ht="17.649999999999999" customHeight="1" x14ac:dyDescent="0.25">
      <c r="B40" s="399"/>
      <c r="C40" s="475" t="s">
        <v>42</v>
      </c>
      <c r="D40" s="88">
        <f>SUM(D26:D39)</f>
        <v>100</v>
      </c>
      <c r="E40" s="88">
        <f>SUM(E26:E39)</f>
        <v>100</v>
      </c>
      <c r="F40" s="88">
        <f>SUM(F26:F39)</f>
        <v>100</v>
      </c>
      <c r="G40" s="89">
        <f>SUM(G26:G39)</f>
        <v>467.94871794871807</v>
      </c>
      <c r="H40" s="91">
        <f>SUM(H26:H39)</f>
        <v>100</v>
      </c>
      <c r="I40" s="84"/>
      <c r="J40" s="399"/>
      <c r="K40" s="399"/>
      <c r="L40" s="399"/>
      <c r="M40" s="399"/>
      <c r="N40" s="399"/>
      <c r="O40" s="800"/>
      <c r="P40" s="800"/>
      <c r="Q40" s="800"/>
      <c r="R40" s="800"/>
      <c r="S40" s="800"/>
      <c r="T40" s="800"/>
      <c r="U40" s="800"/>
      <c r="V40" s="2"/>
      <c r="W40" s="2"/>
      <c r="X40" s="2"/>
      <c r="Y40" s="2"/>
    </row>
    <row r="41" spans="1:25" ht="25.15" customHeight="1" x14ac:dyDescent="0.25">
      <c r="B41" s="399"/>
      <c r="C41" s="399"/>
      <c r="D41" s="797" t="str">
        <f>IF(AND(AND(G20="Sim",SUM(D26:D39)&lt;&gt;100)*(SUM(D26:D39)&lt;&gt;0))," Atenção: O total deve fechar 100%"," ")</f>
        <v xml:space="preserve"> </v>
      </c>
      <c r="E41" s="399"/>
      <c r="F41" s="399"/>
      <c r="G41" s="399"/>
      <c r="H41" s="399"/>
      <c r="I41" s="399"/>
      <c r="J41" s="399"/>
      <c r="K41" s="399"/>
      <c r="L41" s="468"/>
      <c r="M41" s="399"/>
      <c r="N41" s="399"/>
      <c r="O41" s="800"/>
      <c r="P41" s="800"/>
      <c r="Q41" s="800"/>
      <c r="R41" s="800"/>
      <c r="S41" s="800"/>
      <c r="T41" s="800"/>
      <c r="U41" s="800"/>
      <c r="V41" s="2"/>
      <c r="W41" s="2"/>
      <c r="X41" s="2"/>
      <c r="Y41" s="2"/>
    </row>
    <row r="42" spans="1:25" ht="24.4" customHeight="1" x14ac:dyDescent="0.25">
      <c r="A42" s="463"/>
      <c r="B42" s="463"/>
      <c r="C42" s="476" t="s">
        <v>43</v>
      </c>
      <c r="D42" s="477"/>
      <c r="E42" s="478"/>
      <c r="F42" s="399"/>
      <c r="G42" s="399"/>
      <c r="H42" s="399"/>
      <c r="I42" s="399"/>
      <c r="J42" s="399"/>
      <c r="K42" s="399"/>
      <c r="L42" s="468"/>
      <c r="M42" s="399"/>
      <c r="N42" s="399"/>
      <c r="O42" s="800"/>
      <c r="P42" s="800"/>
      <c r="Q42" s="800"/>
      <c r="R42" s="800"/>
      <c r="S42" s="800"/>
      <c r="T42" s="800"/>
      <c r="U42" s="800"/>
      <c r="V42" s="2"/>
      <c r="W42" s="2"/>
      <c r="X42" s="2"/>
      <c r="Y42" s="2"/>
    </row>
    <row r="43" spans="1:25" ht="18" customHeight="1" x14ac:dyDescent="0.25">
      <c r="B43" s="399"/>
      <c r="C43" s="485"/>
      <c r="D43" s="444" t="s">
        <v>44</v>
      </c>
      <c r="E43" s="444" t="s">
        <v>21</v>
      </c>
      <c r="F43" s="399"/>
      <c r="G43" s="399"/>
      <c r="H43" s="399"/>
      <c r="I43" s="399"/>
      <c r="J43" s="399"/>
      <c r="K43" s="399"/>
      <c r="L43" s="468"/>
      <c r="M43" s="399"/>
      <c r="N43" s="399"/>
      <c r="O43" s="800"/>
      <c r="P43" s="800"/>
      <c r="Q43" s="800"/>
      <c r="R43" s="800"/>
      <c r="S43" s="800"/>
      <c r="T43" s="800"/>
      <c r="U43" s="800"/>
      <c r="V43" s="2"/>
      <c r="W43" s="2"/>
      <c r="X43" s="2"/>
      <c r="Y43" s="2"/>
    </row>
    <row r="44" spans="1:25" ht="16.899999999999999" customHeight="1" x14ac:dyDescent="0.25">
      <c r="B44" s="399"/>
      <c r="C44" s="217" t="s">
        <v>45</v>
      </c>
      <c r="D44" s="93">
        <v>0</v>
      </c>
      <c r="E44" s="486">
        <f>E14*D44/100</f>
        <v>0</v>
      </c>
      <c r="F44" s="801" t="str">
        <f>IF(D44&gt;H28,"    Rever este valor que está maior que recicláveis disponíveis em H28.","")</f>
        <v/>
      </c>
      <c r="G44" s="399"/>
      <c r="H44" s="399"/>
      <c r="I44" s="480"/>
      <c r="J44" s="399"/>
      <c r="K44" s="399"/>
      <c r="L44" s="468"/>
      <c r="M44" s="399"/>
      <c r="N44" s="399"/>
      <c r="O44" s="800"/>
      <c r="P44" s="800"/>
      <c r="Q44" s="800"/>
      <c r="R44" s="800"/>
      <c r="S44" s="800"/>
      <c r="T44" s="800"/>
      <c r="U44" s="800"/>
      <c r="V44" s="2"/>
      <c r="W44" s="2"/>
      <c r="X44" s="2"/>
      <c r="Y44" s="2"/>
    </row>
    <row r="45" spans="1:25" ht="16.899999999999999" customHeight="1" x14ac:dyDescent="0.25">
      <c r="B45" s="399"/>
      <c r="C45" s="217" t="s">
        <v>46</v>
      </c>
      <c r="D45" s="93">
        <v>0</v>
      </c>
      <c r="E45" s="486">
        <f>E14*D45/100</f>
        <v>0</v>
      </c>
      <c r="F45" s="801" t="str">
        <f>IF(D45&gt;H26,"    Rever este valor que está maior que orgânicos disponíveis em H26.","")</f>
        <v/>
      </c>
      <c r="G45" s="399"/>
      <c r="H45" s="399"/>
      <c r="I45" s="480"/>
      <c r="J45" s="399"/>
      <c r="K45" s="399"/>
      <c r="L45" s="468"/>
      <c r="M45" s="399"/>
      <c r="N45" s="399"/>
      <c r="O45" s="800"/>
      <c r="P45" s="800"/>
      <c r="Q45" s="800"/>
      <c r="R45" s="800"/>
      <c r="S45" s="800"/>
      <c r="T45" s="800"/>
      <c r="U45" s="800"/>
      <c r="V45" s="2"/>
      <c r="W45" s="2"/>
      <c r="X45" s="2"/>
      <c r="Y45" s="2"/>
    </row>
    <row r="46" spans="1:25" ht="16.899999999999999" customHeight="1" x14ac:dyDescent="0.25">
      <c r="B46" s="399"/>
      <c r="C46" s="217" t="s">
        <v>47</v>
      </c>
      <c r="D46" s="443">
        <f>100-(D44+D45)</f>
        <v>100</v>
      </c>
      <c r="E46" s="486">
        <f>E14*D46/100</f>
        <v>467.94871794871796</v>
      </c>
      <c r="F46" s="399"/>
      <c r="G46" s="399"/>
      <c r="H46" s="399"/>
      <c r="I46" s="399"/>
      <c r="J46" s="399"/>
      <c r="K46" s="399"/>
      <c r="L46" s="468"/>
      <c r="M46" s="399"/>
      <c r="N46" s="399"/>
      <c r="O46" s="800"/>
      <c r="P46" s="800"/>
      <c r="Q46" s="800"/>
      <c r="R46" s="800"/>
      <c r="S46" s="800"/>
      <c r="T46" s="800"/>
      <c r="U46" s="800"/>
      <c r="V46" s="2"/>
      <c r="W46" s="2"/>
      <c r="X46" s="2"/>
      <c r="Y46" s="2"/>
    </row>
    <row r="47" spans="1:25" ht="16.899999999999999" customHeight="1" x14ac:dyDescent="0.25">
      <c r="B47" s="399"/>
      <c r="C47" s="217" t="s">
        <v>457</v>
      </c>
      <c r="D47" s="86">
        <f>SUM(D44:D46)</f>
        <v>100</v>
      </c>
      <c r="E47" s="486">
        <f>SUM(E44:E46)</f>
        <v>467.94871794871796</v>
      </c>
      <c r="F47" s="399"/>
      <c r="G47" s="399"/>
      <c r="H47" s="399"/>
      <c r="I47" s="399"/>
      <c r="J47" s="399"/>
      <c r="K47" s="399"/>
      <c r="L47" s="468"/>
      <c r="M47" s="399"/>
      <c r="N47" s="399"/>
      <c r="O47" s="800"/>
      <c r="P47" s="800"/>
      <c r="Q47" s="800"/>
      <c r="R47" s="800"/>
      <c r="S47" s="800"/>
      <c r="T47" s="800"/>
      <c r="U47" s="800"/>
      <c r="V47" s="2"/>
      <c r="W47" s="2"/>
      <c r="X47" s="2"/>
      <c r="Y47" s="2"/>
    </row>
    <row r="48" spans="1:25" ht="25.15" customHeight="1" x14ac:dyDescent="0.25">
      <c r="B48" s="399"/>
      <c r="C48" s="399"/>
      <c r="D48" s="466"/>
      <c r="E48" s="466"/>
      <c r="F48" s="399"/>
      <c r="G48" s="399"/>
      <c r="H48" s="399"/>
      <c r="I48" s="399"/>
      <c r="J48" s="399"/>
      <c r="K48" s="399"/>
      <c r="L48" s="468"/>
      <c r="M48" s="399"/>
      <c r="N48" s="399"/>
      <c r="O48" s="800"/>
      <c r="P48" s="800"/>
      <c r="Q48" s="800"/>
      <c r="R48" s="800"/>
      <c r="S48" s="800"/>
      <c r="T48" s="800"/>
      <c r="U48" s="800"/>
      <c r="V48" s="2"/>
      <c r="W48" s="2"/>
      <c r="X48" s="2"/>
      <c r="Y48" s="2"/>
    </row>
    <row r="49" spans="1:25" ht="25.15" customHeight="1" x14ac:dyDescent="0.25">
      <c r="A49" s="464"/>
      <c r="B49" s="464"/>
      <c r="C49" s="476" t="s">
        <v>458</v>
      </c>
      <c r="D49" s="487"/>
      <c r="E49" s="487"/>
      <c r="F49" s="487"/>
      <c r="G49" s="487"/>
      <c r="H49" s="487"/>
      <c r="I49" s="487"/>
      <c r="J49" s="487"/>
      <c r="K49" s="487"/>
      <c r="L49" s="487"/>
      <c r="M49" s="487"/>
      <c r="N49" s="488"/>
      <c r="O49" s="800"/>
      <c r="P49" s="800"/>
      <c r="Q49" s="800"/>
      <c r="R49" s="800"/>
      <c r="S49" s="800"/>
      <c r="T49" s="800"/>
      <c r="U49" s="800"/>
      <c r="V49" s="2"/>
      <c r="W49" s="2"/>
      <c r="X49" s="2"/>
      <c r="Y49" s="2"/>
    </row>
    <row r="50" spans="1:25" ht="6" customHeight="1" x14ac:dyDescent="0.25">
      <c r="A50" s="399"/>
      <c r="B50" s="399"/>
      <c r="C50" s="489"/>
      <c r="D50" s="390"/>
      <c r="E50" s="390"/>
      <c r="F50" s="390"/>
      <c r="G50" s="390"/>
      <c r="H50" s="391"/>
      <c r="I50" s="390"/>
      <c r="J50" s="390"/>
      <c r="K50" s="390"/>
      <c r="L50" s="390"/>
      <c r="M50" s="392"/>
      <c r="N50" s="490"/>
      <c r="O50" s="800"/>
      <c r="P50" s="800"/>
      <c r="Q50" s="800"/>
      <c r="R50" s="800"/>
      <c r="S50" s="800"/>
      <c r="T50" s="800"/>
      <c r="U50" s="800"/>
      <c r="V50" s="2"/>
      <c r="W50" s="2"/>
      <c r="X50" s="2"/>
      <c r="Y50" s="2"/>
    </row>
    <row r="51" spans="1:25" ht="22.5" customHeight="1" x14ac:dyDescent="0.25">
      <c r="B51" s="399"/>
      <c r="C51" s="2678" t="s">
        <v>48</v>
      </c>
      <c r="D51" s="2676" t="s">
        <v>459</v>
      </c>
      <c r="E51" s="2677"/>
      <c r="F51" s="2677"/>
      <c r="G51" s="2677"/>
      <c r="H51" s="2677"/>
      <c r="I51" s="2677"/>
      <c r="J51" s="2677"/>
      <c r="K51" s="2677"/>
      <c r="L51" s="2677"/>
      <c r="M51" s="2677"/>
      <c r="N51" s="2677"/>
      <c r="O51" s="800"/>
      <c r="P51" s="800"/>
      <c r="Q51" s="800"/>
      <c r="R51" s="800"/>
      <c r="S51" s="800"/>
      <c r="T51" s="800"/>
      <c r="U51" s="800"/>
      <c r="V51" s="2"/>
      <c r="W51" s="2"/>
      <c r="X51" s="2"/>
      <c r="Y51" s="2"/>
    </row>
    <row r="52" spans="1:25" ht="18" customHeight="1" x14ac:dyDescent="0.25">
      <c r="B52" s="399"/>
      <c r="C52" s="2665"/>
      <c r="D52" s="2664" t="s">
        <v>25</v>
      </c>
      <c r="E52" s="2665"/>
      <c r="F52" s="2679" t="s">
        <v>49</v>
      </c>
      <c r="G52" s="2664" t="s">
        <v>426</v>
      </c>
      <c r="H52" s="2665"/>
      <c r="I52" s="2664" t="s">
        <v>427</v>
      </c>
      <c r="J52" s="2664" t="s">
        <v>51</v>
      </c>
      <c r="K52" s="2665"/>
      <c r="L52" s="2664" t="s">
        <v>428</v>
      </c>
      <c r="M52" s="2675"/>
      <c r="N52" s="2673" t="s">
        <v>52</v>
      </c>
      <c r="O52" s="800"/>
      <c r="P52" s="800"/>
      <c r="Q52" s="800"/>
      <c r="R52" s="800"/>
      <c r="S52" s="800"/>
      <c r="T52" s="800"/>
      <c r="U52" s="800"/>
      <c r="V52" s="2"/>
      <c r="W52" s="2"/>
      <c r="X52" s="2"/>
      <c r="Y52" s="2"/>
    </row>
    <row r="53" spans="1:25" ht="31.15" customHeight="1" x14ac:dyDescent="0.25">
      <c r="B53" s="399"/>
      <c r="C53" s="2665"/>
      <c r="D53" s="441" t="s">
        <v>53</v>
      </c>
      <c r="E53" s="441" t="s">
        <v>54</v>
      </c>
      <c r="F53" s="2665"/>
      <c r="G53" s="441" t="s">
        <v>55</v>
      </c>
      <c r="H53" s="441" t="s">
        <v>56</v>
      </c>
      <c r="I53" s="2665"/>
      <c r="J53" s="441" t="s">
        <v>57</v>
      </c>
      <c r="K53" s="441" t="s">
        <v>461</v>
      </c>
      <c r="L53" s="441" t="s">
        <v>429</v>
      </c>
      <c r="M53" s="442" t="s">
        <v>460</v>
      </c>
      <c r="N53" s="2665"/>
      <c r="O53" s="800"/>
      <c r="P53" s="800"/>
      <c r="Q53" s="800"/>
      <c r="R53" s="800"/>
      <c r="S53" s="800"/>
      <c r="T53" s="800"/>
      <c r="U53" s="800"/>
      <c r="V53" s="2"/>
      <c r="W53" s="2"/>
      <c r="X53" s="2"/>
      <c r="Y53" s="2"/>
    </row>
    <row r="54" spans="1:25" ht="18" customHeight="1" x14ac:dyDescent="0.25">
      <c r="B54" s="399"/>
      <c r="C54" s="217" t="s">
        <v>200</v>
      </c>
      <c r="D54" s="94"/>
      <c r="E54" s="94"/>
      <c r="F54" s="95">
        <f>IF($H$28&gt;0,E28/$H$28*$E$44,0)</f>
        <v>0</v>
      </c>
      <c r="G54" s="95">
        <f>IF($H$28&gt;0,E29/$H$28*$E$44,0)</f>
        <v>0</v>
      </c>
      <c r="H54" s="95">
        <f>IF($H$28&gt;0,E30/$H$28*$E$44,0)</f>
        <v>0</v>
      </c>
      <c r="I54" s="95">
        <f>IF($H$28&gt;0,E31/$H$28*$E$44,0)</f>
        <v>0</v>
      </c>
      <c r="J54" s="95">
        <f>IF($H$28&gt;0,E32/$H$28*$E$44,0)</f>
        <v>0</v>
      </c>
      <c r="K54" s="95">
        <f>IF($H$28&gt;0,E33/$H$28*$E$44,0)</f>
        <v>0</v>
      </c>
      <c r="L54" s="94"/>
      <c r="M54" s="94"/>
      <c r="N54" s="95">
        <f>SUM(F54:K54)</f>
        <v>0</v>
      </c>
      <c r="O54" s="800"/>
      <c r="P54" s="800"/>
      <c r="Q54" s="800"/>
      <c r="R54" s="800"/>
      <c r="S54" s="800"/>
      <c r="T54" s="800"/>
      <c r="U54" s="800"/>
      <c r="V54" s="2"/>
      <c r="W54" s="2"/>
      <c r="X54" s="2"/>
      <c r="Y54" s="2"/>
    </row>
    <row r="55" spans="1:25" ht="18" customHeight="1" x14ac:dyDescent="0.25">
      <c r="B55" s="399"/>
      <c r="C55" s="217" t="s">
        <v>58</v>
      </c>
      <c r="D55" s="95">
        <f>IF(E26&gt;0,E45*E26/(E26+E27),0)</f>
        <v>0</v>
      </c>
      <c r="E55" s="95">
        <f>IF(E27&gt;0,E45*E27/(E26+E27),0)</f>
        <v>0</v>
      </c>
      <c r="F55" s="94"/>
      <c r="G55" s="94"/>
      <c r="H55" s="94"/>
      <c r="I55" s="94"/>
      <c r="J55" s="94"/>
      <c r="K55" s="94"/>
      <c r="L55" s="94"/>
      <c r="M55" s="84"/>
      <c r="N55" s="95">
        <f>SUM(D55:E55)</f>
        <v>0</v>
      </c>
      <c r="O55" s="800"/>
      <c r="P55" s="800"/>
      <c r="Q55" s="800"/>
      <c r="R55" s="800"/>
      <c r="S55" s="800"/>
      <c r="T55" s="800"/>
      <c r="U55" s="800"/>
      <c r="V55" s="2"/>
      <c r="W55" s="2"/>
      <c r="X55" s="2"/>
      <c r="Y55" s="2"/>
    </row>
    <row r="56" spans="1:25" ht="18" customHeight="1" x14ac:dyDescent="0.25">
      <c r="B56" s="399"/>
      <c r="C56" s="217" t="s">
        <v>425</v>
      </c>
      <c r="D56" s="95">
        <f>G26-D55</f>
        <v>226.4871794871795</v>
      </c>
      <c r="E56" s="95">
        <f>G27-E55</f>
        <v>14.038461538461538</v>
      </c>
      <c r="F56" s="95">
        <f>G28-F54</f>
        <v>61.301282051282051</v>
      </c>
      <c r="G56" s="95">
        <f>G29-G54</f>
        <v>41.647435897435898</v>
      </c>
      <c r="H56" s="95">
        <f>G30-H54</f>
        <v>21.525641025641026</v>
      </c>
      <c r="I56" s="95">
        <f>G31-I54</f>
        <v>11.230769230769232</v>
      </c>
      <c r="J56" s="95">
        <f>G32-J54</f>
        <v>10.762820512820513</v>
      </c>
      <c r="K56" s="95">
        <f>G33-K54</f>
        <v>2.8076923076923079</v>
      </c>
      <c r="L56" s="95">
        <f>SUM(G34:G37)</f>
        <v>47.45</v>
      </c>
      <c r="M56" s="95">
        <f>SUM(G38:G39)</f>
        <v>30.697435897435909</v>
      </c>
      <c r="N56" s="95">
        <f>SUM(D56:M56)</f>
        <v>467.94871794871801</v>
      </c>
      <c r="O56" s="800"/>
      <c r="P56" s="800"/>
      <c r="Q56" s="800"/>
      <c r="R56" s="800"/>
      <c r="S56" s="800"/>
      <c r="T56" s="800"/>
      <c r="U56" s="800"/>
      <c r="V56" s="2"/>
      <c r="W56" s="2"/>
      <c r="X56" s="2"/>
      <c r="Y56" s="2"/>
    </row>
    <row r="57" spans="1:25" ht="18" customHeight="1" x14ac:dyDescent="0.25">
      <c r="B57" s="399"/>
      <c r="C57" s="217" t="s">
        <v>52</v>
      </c>
      <c r="D57" s="95">
        <f>SUM(D55:D56)</f>
        <v>226.4871794871795</v>
      </c>
      <c r="E57" s="95">
        <f>SUM(E55:E56)</f>
        <v>14.038461538461538</v>
      </c>
      <c r="F57" s="95">
        <f t="shared" ref="F57:L57" si="2">SUM(F54:F56)</f>
        <v>61.301282051282051</v>
      </c>
      <c r="G57" s="95">
        <f t="shared" si="2"/>
        <v>41.647435897435898</v>
      </c>
      <c r="H57" s="95">
        <f t="shared" si="2"/>
        <v>21.525641025641026</v>
      </c>
      <c r="I57" s="95">
        <f t="shared" si="2"/>
        <v>11.230769230769232</v>
      </c>
      <c r="J57" s="95">
        <f t="shared" si="2"/>
        <v>10.762820512820513</v>
      </c>
      <c r="K57" s="95">
        <f t="shared" si="2"/>
        <v>2.8076923076923079</v>
      </c>
      <c r="L57" s="95">
        <f t="shared" si="2"/>
        <v>47.45</v>
      </c>
      <c r="M57" s="95">
        <f>M56</f>
        <v>30.697435897435909</v>
      </c>
      <c r="N57" s="95">
        <f>SUM(N54:N56)</f>
        <v>467.94871794871801</v>
      </c>
      <c r="O57" s="800"/>
      <c r="P57" s="800"/>
      <c r="Q57" s="800"/>
      <c r="R57" s="800"/>
      <c r="S57" s="800"/>
      <c r="T57" s="800"/>
      <c r="U57" s="800"/>
      <c r="V57" s="2"/>
      <c r="W57" s="2"/>
      <c r="X57" s="2"/>
      <c r="Y57" s="2"/>
    </row>
    <row r="58" spans="1:25" ht="12.75" customHeight="1" x14ac:dyDescent="0.25">
      <c r="A58" s="800"/>
      <c r="B58" s="800"/>
      <c r="C58" s="800"/>
      <c r="D58" s="800"/>
      <c r="E58" s="800"/>
      <c r="F58" s="800"/>
      <c r="G58" s="800"/>
      <c r="H58" s="800"/>
      <c r="I58" s="800"/>
      <c r="J58" s="800"/>
      <c r="K58" s="800"/>
      <c r="L58" s="800"/>
      <c r="M58" s="800"/>
      <c r="N58" s="800"/>
      <c r="O58" s="800"/>
      <c r="P58" s="800"/>
      <c r="Q58" s="800"/>
      <c r="R58" s="800"/>
      <c r="S58" s="800"/>
      <c r="T58" s="800"/>
      <c r="U58" s="800"/>
      <c r="V58" s="2"/>
      <c r="W58" s="2"/>
      <c r="X58" s="2"/>
      <c r="Y58" s="2"/>
    </row>
    <row r="59" spans="1:25" ht="12.75" customHeight="1" x14ac:dyDescent="0.25">
      <c r="A59" s="800"/>
      <c r="B59" s="800"/>
      <c r="C59" s="800"/>
      <c r="D59" s="800"/>
      <c r="E59" s="800"/>
      <c r="F59" s="800"/>
      <c r="G59" s="800"/>
      <c r="H59" s="800"/>
      <c r="I59" s="800"/>
      <c r="J59" s="800"/>
      <c r="K59" s="800"/>
      <c r="L59" s="800"/>
      <c r="M59" s="800"/>
      <c r="N59" s="800"/>
      <c r="O59" s="800"/>
      <c r="P59" s="800"/>
      <c r="Q59" s="800"/>
      <c r="R59" s="800"/>
      <c r="S59" s="800"/>
      <c r="T59" s="800"/>
      <c r="U59" s="800"/>
      <c r="V59" s="2"/>
      <c r="W59" s="2"/>
      <c r="X59" s="2"/>
      <c r="Y59" s="2"/>
    </row>
    <row r="60" spans="1:25" ht="12.75" customHeight="1" x14ac:dyDescent="0.25">
      <c r="A60" s="800"/>
      <c r="B60" s="800"/>
      <c r="C60" s="800"/>
      <c r="D60" s="800"/>
      <c r="E60" s="800"/>
      <c r="F60" s="800"/>
      <c r="G60" s="800"/>
      <c r="H60" s="800"/>
      <c r="I60" s="800"/>
      <c r="J60" s="800"/>
      <c r="K60" s="800"/>
      <c r="L60" s="800"/>
      <c r="M60" s="800"/>
      <c r="N60" s="800"/>
      <c r="O60" s="800"/>
      <c r="P60" s="800"/>
      <c r="Q60" s="800"/>
      <c r="R60" s="800"/>
      <c r="S60" s="800"/>
      <c r="T60" s="800"/>
      <c r="U60" s="800"/>
      <c r="V60" s="2"/>
      <c r="W60" s="2"/>
      <c r="X60" s="2"/>
      <c r="Y60" s="2"/>
    </row>
    <row r="61" spans="1:25" ht="12.75" customHeight="1" x14ac:dyDescent="0.25">
      <c r="A61" s="800"/>
      <c r="B61" s="800"/>
      <c r="C61" s="800"/>
      <c r="D61" s="800"/>
      <c r="E61" s="800"/>
      <c r="F61" s="800"/>
      <c r="G61" s="800"/>
      <c r="H61" s="800"/>
      <c r="I61" s="800"/>
      <c r="J61" s="800"/>
      <c r="K61" s="800"/>
      <c r="L61" s="800"/>
      <c r="M61" s="800"/>
      <c r="N61" s="800"/>
      <c r="O61" s="800"/>
      <c r="P61" s="800"/>
      <c r="Q61" s="800"/>
      <c r="R61" s="800"/>
      <c r="S61" s="800"/>
      <c r="T61" s="800"/>
      <c r="U61" s="800"/>
      <c r="V61" s="2"/>
      <c r="W61" s="2"/>
      <c r="X61" s="2"/>
      <c r="Y61" s="2"/>
    </row>
    <row r="62" spans="1:25" ht="12.75" customHeight="1" x14ac:dyDescent="0.25">
      <c r="A62" s="800"/>
      <c r="B62" s="800"/>
      <c r="C62" s="800"/>
      <c r="D62" s="800"/>
      <c r="E62" s="800"/>
      <c r="F62" s="800"/>
      <c r="G62" s="800"/>
      <c r="H62" s="800"/>
      <c r="I62" s="800"/>
      <c r="J62" s="800"/>
      <c r="K62" s="800"/>
      <c r="L62" s="800"/>
      <c r="M62" s="800"/>
      <c r="N62" s="800"/>
      <c r="O62" s="800"/>
      <c r="P62" s="800"/>
      <c r="Q62" s="800"/>
      <c r="R62" s="800"/>
      <c r="S62" s="800"/>
      <c r="T62" s="800"/>
      <c r="U62" s="800"/>
      <c r="V62" s="2"/>
      <c r="W62" s="2"/>
      <c r="X62" s="2"/>
      <c r="Y62" s="2"/>
    </row>
    <row r="63" spans="1:25" ht="12.75" customHeight="1" x14ac:dyDescent="0.25">
      <c r="A63" s="800"/>
      <c r="B63" s="800"/>
      <c r="C63" s="800"/>
      <c r="D63" s="800"/>
      <c r="E63" s="800"/>
      <c r="F63" s="800"/>
      <c r="G63" s="800"/>
      <c r="H63" s="800"/>
      <c r="I63" s="800"/>
      <c r="J63" s="800"/>
      <c r="K63" s="800"/>
      <c r="L63" s="800"/>
      <c r="M63" s="800"/>
      <c r="N63" s="800"/>
      <c r="O63" s="800"/>
      <c r="P63" s="800"/>
      <c r="Q63" s="800"/>
      <c r="R63" s="800"/>
      <c r="S63" s="800"/>
      <c r="T63" s="800"/>
      <c r="U63" s="800"/>
      <c r="V63" s="2"/>
      <c r="W63" s="2"/>
      <c r="X63" s="2"/>
      <c r="Y63" s="2"/>
    </row>
    <row r="64" spans="1:25" ht="12.75" customHeight="1" x14ac:dyDescent="0.25">
      <c r="A64" s="800"/>
      <c r="B64" s="800"/>
      <c r="C64" s="800"/>
      <c r="D64" s="800"/>
      <c r="E64" s="800"/>
      <c r="F64" s="800"/>
      <c r="G64" s="800"/>
      <c r="H64" s="800"/>
      <c r="I64" s="800"/>
      <c r="J64" s="800"/>
      <c r="K64" s="800"/>
      <c r="L64" s="800"/>
      <c r="M64" s="800"/>
      <c r="N64" s="800"/>
      <c r="O64" s="800"/>
      <c r="P64" s="800"/>
      <c r="Q64" s="800"/>
      <c r="R64" s="800"/>
      <c r="S64" s="800"/>
      <c r="T64" s="800"/>
      <c r="U64" s="800"/>
      <c r="V64" s="2"/>
      <c r="W64" s="2"/>
      <c r="X64" s="2"/>
      <c r="Y64" s="2"/>
    </row>
    <row r="65" spans="1:25" ht="12.75" customHeight="1" x14ac:dyDescent="0.25">
      <c r="A65" s="800"/>
      <c r="B65" s="800"/>
      <c r="C65" s="800"/>
      <c r="D65" s="800"/>
      <c r="E65" s="800"/>
      <c r="F65" s="800"/>
      <c r="G65" s="800"/>
      <c r="H65" s="800"/>
      <c r="I65" s="800"/>
      <c r="J65" s="800"/>
      <c r="K65" s="800"/>
      <c r="L65" s="800"/>
      <c r="M65" s="800"/>
      <c r="N65" s="800"/>
      <c r="O65" s="800"/>
      <c r="P65" s="800"/>
      <c r="Q65" s="800"/>
      <c r="R65" s="800"/>
      <c r="S65" s="800"/>
      <c r="T65" s="800"/>
      <c r="U65" s="800"/>
      <c r="V65" s="2"/>
      <c r="W65" s="2"/>
      <c r="X65" s="2"/>
      <c r="Y65" s="2"/>
    </row>
    <row r="66" spans="1:25" ht="12.75" customHeight="1" x14ac:dyDescent="0.25">
      <c r="A66" s="800"/>
      <c r="B66" s="800"/>
      <c r="C66" s="800"/>
      <c r="D66" s="800"/>
      <c r="E66" s="800"/>
      <c r="F66" s="800"/>
      <c r="G66" s="800"/>
      <c r="H66" s="800"/>
      <c r="I66" s="800"/>
      <c r="J66" s="800"/>
      <c r="K66" s="800"/>
      <c r="L66" s="800"/>
      <c r="M66" s="800"/>
      <c r="N66" s="800"/>
      <c r="O66" s="800"/>
      <c r="P66" s="800"/>
      <c r="Q66" s="800"/>
      <c r="R66" s="800"/>
      <c r="S66" s="800"/>
      <c r="T66" s="800"/>
      <c r="U66" s="800"/>
      <c r="V66" s="2"/>
      <c r="W66" s="2"/>
      <c r="X66" s="2"/>
      <c r="Y66" s="2"/>
    </row>
    <row r="67" spans="1:25" ht="14.25" customHeight="1" x14ac:dyDescent="0.25">
      <c r="A67" s="800"/>
      <c r="B67" s="800"/>
      <c r="C67" s="800"/>
      <c r="D67" s="800"/>
      <c r="E67" s="800"/>
      <c r="F67" s="800"/>
      <c r="G67" s="800"/>
      <c r="H67" s="800"/>
      <c r="I67" s="800"/>
      <c r="J67" s="800"/>
      <c r="K67" s="800"/>
      <c r="L67" s="800"/>
      <c r="M67" s="800"/>
      <c r="N67" s="800"/>
      <c r="O67" s="800"/>
      <c r="P67" s="800"/>
      <c r="Q67" s="800"/>
      <c r="R67" s="800"/>
      <c r="S67" s="800"/>
      <c r="T67" s="800"/>
      <c r="U67" s="800"/>
      <c r="V67" s="2"/>
      <c r="W67" s="2"/>
      <c r="X67" s="2"/>
      <c r="Y67" s="2"/>
    </row>
    <row r="68" spans="1:25" ht="12.75" customHeight="1" x14ac:dyDescent="0.25">
      <c r="A68" s="800"/>
      <c r="B68" s="800"/>
      <c r="C68" s="800"/>
      <c r="D68" s="800"/>
      <c r="E68" s="800"/>
      <c r="F68" s="800"/>
      <c r="G68" s="800"/>
      <c r="H68" s="800"/>
      <c r="I68" s="800"/>
      <c r="J68" s="800"/>
      <c r="K68" s="800"/>
      <c r="L68" s="800"/>
      <c r="M68" s="800"/>
      <c r="N68" s="800"/>
      <c r="O68" s="800"/>
      <c r="P68" s="800"/>
      <c r="Q68" s="800"/>
      <c r="R68" s="800"/>
      <c r="S68" s="800"/>
      <c r="T68" s="800"/>
      <c r="U68" s="800"/>
      <c r="V68" s="2"/>
      <c r="W68" s="2"/>
      <c r="X68" s="2"/>
      <c r="Y68" s="2"/>
    </row>
    <row r="69" spans="1:25" ht="12.75" customHeight="1" x14ac:dyDescent="0.25">
      <c r="A69" s="800"/>
      <c r="B69" s="800"/>
      <c r="C69" s="800"/>
      <c r="D69" s="800"/>
      <c r="E69" s="800"/>
      <c r="F69" s="800"/>
      <c r="G69" s="800"/>
      <c r="H69" s="800"/>
      <c r="I69" s="800"/>
      <c r="J69" s="800"/>
      <c r="K69" s="800"/>
      <c r="L69" s="800"/>
      <c r="M69" s="800"/>
      <c r="N69" s="800"/>
      <c r="O69" s="800"/>
      <c r="P69" s="800"/>
      <c r="Q69" s="800"/>
      <c r="R69" s="800"/>
      <c r="S69" s="800"/>
      <c r="T69" s="800"/>
      <c r="U69" s="800"/>
      <c r="V69" s="2"/>
      <c r="W69" s="2"/>
      <c r="X69" s="2"/>
      <c r="Y69" s="2"/>
    </row>
    <row r="70" spans="1:25" ht="12.75" customHeight="1" x14ac:dyDescent="0.25">
      <c r="O70" s="80"/>
      <c r="P70" s="79"/>
      <c r="Q70" s="79"/>
      <c r="S70" s="2"/>
      <c r="T70" s="2"/>
      <c r="U70" s="2"/>
      <c r="V70" s="2"/>
      <c r="W70" s="2"/>
      <c r="X70" s="2"/>
      <c r="Y70" s="2"/>
    </row>
    <row r="71" spans="1:25" ht="12.75" customHeight="1" x14ac:dyDescent="0.25">
      <c r="S71" s="2"/>
      <c r="T71" s="2"/>
      <c r="U71" s="2"/>
      <c r="V71" s="2"/>
      <c r="W71" s="2"/>
      <c r="X71" s="2"/>
      <c r="Y71" s="2"/>
    </row>
    <row r="72" spans="1:25" ht="12.75" customHeight="1" x14ac:dyDescent="0.25">
      <c r="S72" s="2"/>
      <c r="T72" s="2"/>
      <c r="U72" s="2"/>
      <c r="V72" s="2"/>
      <c r="W72" s="2"/>
      <c r="X72" s="2"/>
      <c r="Y72" s="2"/>
    </row>
    <row r="73" spans="1:25" ht="12.75" customHeight="1" x14ac:dyDescent="0.25">
      <c r="S73" s="2"/>
      <c r="T73" s="2"/>
      <c r="U73" s="2"/>
      <c r="V73" s="2"/>
      <c r="W73" s="2"/>
      <c r="X73" s="2"/>
      <c r="Y73" s="2"/>
    </row>
    <row r="74" spans="1:25" ht="12.75" customHeight="1" x14ac:dyDescent="0.25">
      <c r="S74" s="2"/>
      <c r="T74" s="2"/>
      <c r="U74" s="2"/>
      <c r="V74" s="2"/>
      <c r="W74" s="2"/>
      <c r="X74" s="2"/>
      <c r="Y74" s="2"/>
    </row>
    <row r="75" spans="1:25" ht="12.75" customHeight="1" x14ac:dyDescent="0.25">
      <c r="S75" s="2"/>
      <c r="T75" s="2"/>
      <c r="U75" s="2"/>
      <c r="V75" s="2"/>
      <c r="W75" s="2"/>
      <c r="X75" s="2"/>
      <c r="Y75" s="2"/>
    </row>
    <row r="76" spans="1:25" ht="12.75" customHeight="1" x14ac:dyDescent="0.25">
      <c r="S76" s="2"/>
      <c r="T76" s="2"/>
      <c r="U76" s="2"/>
      <c r="V76" s="2"/>
      <c r="W76" s="2"/>
      <c r="X76" s="2"/>
      <c r="Y76" s="2"/>
    </row>
    <row r="77" spans="1:25" ht="12.75" customHeight="1" x14ac:dyDescent="0.25">
      <c r="S77" s="2"/>
      <c r="T77" s="2"/>
      <c r="U77" s="2"/>
      <c r="V77" s="2"/>
      <c r="W77" s="2"/>
      <c r="X77" s="2"/>
      <c r="Y77" s="2"/>
    </row>
    <row r="78" spans="1:25" ht="12.75" customHeight="1" x14ac:dyDescent="0.25">
      <c r="S78" s="2"/>
      <c r="T78" s="2"/>
      <c r="U78" s="2"/>
      <c r="V78" s="2"/>
      <c r="W78" s="2"/>
      <c r="X78" s="2"/>
      <c r="Y78" s="2"/>
    </row>
    <row r="79" spans="1:25" ht="12.75" customHeight="1" x14ac:dyDescent="0.25">
      <c r="S79" s="2"/>
      <c r="T79" s="2"/>
      <c r="U79" s="2"/>
      <c r="V79" s="2"/>
      <c r="W79" s="2"/>
      <c r="X79" s="2"/>
      <c r="Y79" s="2"/>
    </row>
    <row r="80" spans="1:25" ht="12.75" customHeight="1" x14ac:dyDescent="0.25">
      <c r="S80" s="2"/>
      <c r="T80" s="2"/>
      <c r="U80" s="2"/>
      <c r="V80" s="2"/>
      <c r="W80" s="2"/>
      <c r="X80" s="2"/>
      <c r="Y80" s="2"/>
    </row>
    <row r="81" spans="19:25" ht="12.75" customHeight="1" x14ac:dyDescent="0.25">
      <c r="S81" s="2"/>
      <c r="T81" s="2"/>
      <c r="U81" s="2"/>
      <c r="V81" s="2"/>
      <c r="W81" s="2"/>
      <c r="X81" s="2"/>
      <c r="Y81" s="2"/>
    </row>
    <row r="82" spans="19:25" ht="12.75" customHeight="1" x14ac:dyDescent="0.25">
      <c r="S82" s="2"/>
      <c r="T82" s="2"/>
      <c r="U82" s="2"/>
      <c r="V82" s="2"/>
      <c r="W82" s="2"/>
      <c r="X82" s="2"/>
      <c r="Y82" s="2"/>
    </row>
    <row r="83" spans="19:25" ht="12.75" customHeight="1" x14ac:dyDescent="0.25">
      <c r="S83" s="2"/>
      <c r="T83" s="2"/>
      <c r="U83" s="2"/>
      <c r="V83" s="2"/>
      <c r="W83" s="2"/>
      <c r="X83" s="2"/>
      <c r="Y83" s="2"/>
    </row>
    <row r="84" spans="19:25" ht="13.5" customHeight="1" x14ac:dyDescent="0.25">
      <c r="S84" s="2"/>
      <c r="T84" s="2"/>
      <c r="U84" s="2"/>
      <c r="V84" s="2"/>
      <c r="W84" s="2"/>
      <c r="X84" s="2"/>
      <c r="Y84" s="2"/>
    </row>
    <row r="85" spans="19:25" ht="12.75" customHeight="1" x14ac:dyDescent="0.25">
      <c r="S85" s="2"/>
      <c r="T85" s="2"/>
      <c r="U85" s="2"/>
      <c r="V85" s="2"/>
      <c r="W85" s="2"/>
      <c r="X85" s="2"/>
      <c r="Y85" s="2"/>
    </row>
    <row r="86" spans="19:25" ht="12.75" customHeight="1" x14ac:dyDescent="0.25">
      <c r="S86" s="2"/>
      <c r="T86" s="2"/>
      <c r="U86" s="2"/>
      <c r="V86" s="2"/>
      <c r="W86" s="2"/>
      <c r="X86" s="2"/>
      <c r="Y86" s="2"/>
    </row>
    <row r="87" spans="19:25" ht="12.75" customHeight="1" x14ac:dyDescent="0.25">
      <c r="S87" s="2"/>
      <c r="T87" s="2"/>
      <c r="U87" s="2"/>
      <c r="V87" s="2"/>
      <c r="W87" s="2"/>
      <c r="X87" s="2"/>
      <c r="Y87" s="2"/>
    </row>
    <row r="88" spans="19:25" ht="12.75" customHeight="1" x14ac:dyDescent="0.25">
      <c r="S88" s="2"/>
      <c r="T88" s="2"/>
      <c r="U88" s="2"/>
      <c r="V88" s="2"/>
      <c r="W88" s="2"/>
      <c r="X88" s="2"/>
      <c r="Y88" s="2"/>
    </row>
    <row r="89" spans="19:25" ht="12.75" customHeight="1" x14ac:dyDescent="0.25">
      <c r="S89" s="2"/>
      <c r="T89" s="2"/>
      <c r="U89" s="2"/>
      <c r="V89" s="2"/>
      <c r="W89" s="2"/>
      <c r="X89" s="2"/>
      <c r="Y89" s="2"/>
    </row>
    <row r="90" spans="19:25" ht="12.75" customHeight="1" x14ac:dyDescent="0.25">
      <c r="S90" s="2"/>
      <c r="T90" s="2"/>
      <c r="U90" s="2"/>
      <c r="V90" s="2"/>
      <c r="W90" s="2"/>
      <c r="X90" s="2"/>
      <c r="Y90" s="2"/>
    </row>
    <row r="91" spans="19:25" ht="12.75" customHeight="1" x14ac:dyDescent="0.25">
      <c r="S91" s="2"/>
      <c r="T91" s="2"/>
      <c r="U91" s="2"/>
      <c r="V91" s="2"/>
      <c r="W91" s="2"/>
      <c r="X91" s="2"/>
      <c r="Y91" s="2"/>
    </row>
    <row r="92" spans="19:25" ht="12.75" customHeight="1" x14ac:dyDescent="0.25">
      <c r="S92" s="2"/>
      <c r="T92" s="2"/>
      <c r="U92" s="2"/>
      <c r="V92" s="2"/>
      <c r="W92" s="2"/>
      <c r="X92" s="2"/>
      <c r="Y92" s="2"/>
    </row>
    <row r="93" spans="19:25" ht="12.75" customHeight="1" x14ac:dyDescent="0.25">
      <c r="S93" s="2"/>
      <c r="T93" s="2"/>
      <c r="U93" s="2"/>
      <c r="V93" s="2"/>
      <c r="W93" s="2"/>
      <c r="X93" s="2"/>
      <c r="Y93" s="2"/>
    </row>
    <row r="94" spans="19:25" ht="13.5" customHeight="1" x14ac:dyDescent="0.25">
      <c r="S94" s="2"/>
      <c r="T94" s="2"/>
      <c r="U94" s="2"/>
      <c r="V94" s="2"/>
      <c r="W94" s="2"/>
      <c r="X94" s="2"/>
      <c r="Y94" s="2"/>
    </row>
    <row r="95" spans="19:25" ht="12.75" customHeight="1" x14ac:dyDescent="0.25">
      <c r="S95" s="2"/>
      <c r="T95" s="2"/>
      <c r="U95" s="2"/>
      <c r="V95" s="2"/>
      <c r="W95" s="2"/>
      <c r="X95" s="2"/>
      <c r="Y95" s="2"/>
    </row>
    <row r="96" spans="19:25" ht="12.75" customHeight="1" x14ac:dyDescent="0.25">
      <c r="S96" s="2"/>
      <c r="T96" s="2"/>
      <c r="U96" s="2"/>
      <c r="V96" s="2"/>
      <c r="W96" s="2"/>
      <c r="X96" s="2"/>
      <c r="Y96" s="2"/>
    </row>
    <row r="97" spans="19:25" ht="13.5" customHeight="1" x14ac:dyDescent="0.25">
      <c r="S97" s="2"/>
      <c r="T97" s="2"/>
      <c r="U97" s="2"/>
      <c r="V97" s="2"/>
      <c r="W97" s="2"/>
      <c r="X97" s="2"/>
      <c r="Y97" s="2"/>
    </row>
    <row r="98" spans="19:25" ht="12.75" customHeight="1" x14ac:dyDescent="0.25">
      <c r="S98" s="2"/>
      <c r="T98" s="2"/>
      <c r="U98" s="2"/>
      <c r="V98" s="2"/>
      <c r="W98" s="2"/>
      <c r="X98" s="2"/>
      <c r="Y98" s="2"/>
    </row>
    <row r="99" spans="19:25" ht="12.75" customHeight="1" x14ac:dyDescent="0.25">
      <c r="S99" s="2"/>
      <c r="T99" s="2"/>
      <c r="U99" s="2"/>
      <c r="V99" s="2"/>
      <c r="W99" s="2"/>
      <c r="X99" s="2"/>
      <c r="Y99" s="2"/>
    </row>
    <row r="100" spans="19:25" ht="12.75" customHeight="1" x14ac:dyDescent="0.25">
      <c r="S100" s="2"/>
      <c r="T100" s="2"/>
      <c r="U100" s="2"/>
      <c r="V100" s="2"/>
      <c r="W100" s="2"/>
      <c r="X100" s="2"/>
      <c r="Y100" s="2"/>
    </row>
    <row r="101" spans="19:25" ht="12.75" customHeight="1" x14ac:dyDescent="0.25">
      <c r="S101" s="2"/>
      <c r="T101" s="2"/>
      <c r="U101" s="2"/>
      <c r="V101" s="2"/>
      <c r="W101" s="2"/>
      <c r="X101" s="2"/>
      <c r="Y101" s="2"/>
    </row>
    <row r="102" spans="19:25" ht="12.75" customHeight="1" x14ac:dyDescent="0.25">
      <c r="S102" s="2"/>
      <c r="T102" s="2"/>
      <c r="U102" s="2"/>
      <c r="V102" s="2"/>
      <c r="W102" s="2"/>
      <c r="X102" s="2"/>
      <c r="Y102" s="2"/>
    </row>
    <row r="103" spans="19:25" ht="12.75" customHeight="1" x14ac:dyDescent="0.25">
      <c r="S103" s="2"/>
      <c r="T103" s="2"/>
      <c r="U103" s="2"/>
      <c r="V103" s="2"/>
      <c r="W103" s="2"/>
      <c r="X103" s="2"/>
      <c r="Y103" s="2"/>
    </row>
    <row r="104" spans="19:25" ht="12.75" customHeight="1" x14ac:dyDescent="0.25">
      <c r="S104" s="2"/>
      <c r="T104" s="2"/>
      <c r="U104" s="2"/>
      <c r="V104" s="2"/>
      <c r="W104" s="2"/>
      <c r="X104" s="2"/>
      <c r="Y104" s="2"/>
    </row>
    <row r="105" spans="19:25" ht="13.5" customHeight="1" x14ac:dyDescent="0.25">
      <c r="S105" s="2"/>
      <c r="T105" s="2"/>
      <c r="U105" s="2"/>
      <c r="V105" s="2"/>
      <c r="W105" s="2"/>
      <c r="X105" s="2"/>
      <c r="Y105" s="2"/>
    </row>
    <row r="106" spans="19:25" ht="12.75" customHeight="1" x14ac:dyDescent="0.25">
      <c r="S106" s="2"/>
      <c r="T106" s="2"/>
      <c r="U106" s="2"/>
      <c r="V106" s="2"/>
      <c r="W106" s="2"/>
      <c r="X106" s="2"/>
      <c r="Y106" s="2"/>
    </row>
    <row r="107" spans="19:25" ht="12.75" customHeight="1" x14ac:dyDescent="0.25">
      <c r="S107" s="2"/>
      <c r="T107" s="2"/>
      <c r="U107" s="2"/>
      <c r="V107" s="2"/>
      <c r="W107" s="2"/>
      <c r="X107" s="2"/>
      <c r="Y107" s="2"/>
    </row>
    <row r="108" spans="19:25" ht="12.75" customHeight="1" x14ac:dyDescent="0.25">
      <c r="S108" s="2"/>
      <c r="T108" s="2"/>
      <c r="U108" s="2"/>
      <c r="V108" s="2"/>
      <c r="W108" s="2"/>
      <c r="X108" s="2"/>
      <c r="Y108" s="2"/>
    </row>
    <row r="109" spans="19:25" ht="12.75" customHeight="1" x14ac:dyDescent="0.25">
      <c r="S109" s="2"/>
      <c r="T109" s="2"/>
      <c r="U109" s="2"/>
      <c r="V109" s="2"/>
      <c r="W109" s="2"/>
      <c r="X109" s="2"/>
      <c r="Y109" s="2"/>
    </row>
    <row r="110" spans="19:25" ht="12.75" customHeight="1" x14ac:dyDescent="0.25">
      <c r="S110" s="2"/>
      <c r="T110" s="2"/>
      <c r="U110" s="2"/>
      <c r="V110" s="2"/>
      <c r="W110" s="2"/>
      <c r="X110" s="2"/>
      <c r="Y110" s="2"/>
    </row>
    <row r="111" spans="19:25" ht="12.75" customHeight="1" x14ac:dyDescent="0.25">
      <c r="S111" s="2"/>
      <c r="T111" s="2"/>
      <c r="U111" s="2"/>
      <c r="V111" s="2"/>
      <c r="W111" s="2"/>
      <c r="X111" s="2"/>
      <c r="Y111" s="2"/>
    </row>
    <row r="112" spans="19:25" ht="12.75" customHeight="1" x14ac:dyDescent="0.25">
      <c r="S112" s="2"/>
      <c r="T112" s="2"/>
      <c r="U112" s="2"/>
      <c r="V112" s="2"/>
      <c r="W112" s="2"/>
      <c r="X112" s="2"/>
      <c r="Y112" s="2"/>
    </row>
    <row r="113" spans="19:25" ht="12.75" customHeight="1" x14ac:dyDescent="0.25">
      <c r="S113" s="2"/>
      <c r="T113" s="2"/>
      <c r="U113" s="2"/>
      <c r="V113" s="2"/>
      <c r="W113" s="2"/>
      <c r="X113" s="2"/>
      <c r="Y113" s="2"/>
    </row>
    <row r="114" spans="19:25" ht="12.75" customHeight="1" x14ac:dyDescent="0.25">
      <c r="S114" s="2"/>
      <c r="T114" s="2"/>
      <c r="U114" s="2"/>
      <c r="V114" s="2"/>
      <c r="W114" s="2"/>
      <c r="X114" s="2"/>
      <c r="Y114" s="2"/>
    </row>
    <row r="115" spans="19:25" ht="12.75" customHeight="1" x14ac:dyDescent="0.25">
      <c r="S115" s="2"/>
      <c r="T115" s="2"/>
      <c r="U115" s="2"/>
      <c r="V115" s="2"/>
      <c r="W115" s="2"/>
      <c r="X115" s="2"/>
      <c r="Y115" s="2"/>
    </row>
    <row r="116" spans="19:25" ht="12.75" customHeight="1" x14ac:dyDescent="0.25">
      <c r="S116" s="2"/>
      <c r="T116" s="2"/>
      <c r="U116" s="2"/>
      <c r="V116" s="2"/>
      <c r="W116" s="2"/>
      <c r="X116" s="2"/>
      <c r="Y116" s="2"/>
    </row>
    <row r="117" spans="19:25" ht="12.75" customHeight="1" x14ac:dyDescent="0.25">
      <c r="S117" s="2"/>
      <c r="T117" s="2"/>
      <c r="U117" s="2"/>
      <c r="V117" s="2"/>
      <c r="W117" s="2"/>
      <c r="X117" s="2"/>
      <c r="Y117" s="2"/>
    </row>
    <row r="118" spans="19:25" ht="12.75" customHeight="1" x14ac:dyDescent="0.25">
      <c r="S118" s="2"/>
      <c r="T118" s="2"/>
      <c r="U118" s="2"/>
      <c r="V118" s="2"/>
      <c r="W118" s="2"/>
      <c r="X118" s="2"/>
      <c r="Y118" s="2"/>
    </row>
    <row r="119" spans="19:25" ht="12.75" customHeight="1" x14ac:dyDescent="0.25">
      <c r="S119" s="2"/>
      <c r="T119" s="2"/>
      <c r="U119" s="2"/>
      <c r="V119" s="2"/>
      <c r="W119" s="2"/>
      <c r="X119" s="2"/>
      <c r="Y119" s="2"/>
    </row>
    <row r="120" spans="19:25" ht="12.75" customHeight="1" x14ac:dyDescent="0.25">
      <c r="S120" s="2"/>
      <c r="T120" s="2"/>
      <c r="U120" s="2"/>
      <c r="V120" s="2"/>
      <c r="W120" s="2"/>
      <c r="X120" s="2"/>
      <c r="Y120" s="2"/>
    </row>
    <row r="121" spans="19:25" ht="12.75" customHeight="1" x14ac:dyDescent="0.25">
      <c r="S121" s="2"/>
      <c r="T121" s="2"/>
      <c r="U121" s="2"/>
      <c r="V121" s="2"/>
      <c r="W121" s="2"/>
      <c r="X121" s="2"/>
      <c r="Y121" s="2"/>
    </row>
    <row r="122" spans="19:25" ht="12.75" customHeight="1" x14ac:dyDescent="0.25">
      <c r="S122" s="2"/>
      <c r="T122" s="2"/>
      <c r="U122" s="2"/>
      <c r="V122" s="2"/>
      <c r="W122" s="2"/>
      <c r="X122" s="2"/>
      <c r="Y122" s="2"/>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colorId="23" zoomScale="80" zoomScaleNormal="80" workbookViewId="0">
      <selection activeCell="J26" sqref="J26:J27"/>
    </sheetView>
  </sheetViews>
  <sheetFormatPr defaultColWidth="14.42578125" defaultRowHeight="15" customHeight="1" x14ac:dyDescent="0.25"/>
  <cols>
    <col min="1" max="1" width="0.7109375" customWidth="1"/>
    <col min="2" max="2" width="2.85546875" style="77" customWidth="1"/>
    <col min="3" max="3" width="26.85546875" style="77" customWidth="1"/>
    <col min="4" max="4" width="15.42578125" style="77" customWidth="1"/>
    <col min="5" max="5" width="14.42578125" style="77" customWidth="1"/>
    <col min="6" max="8" width="13.42578125" style="77" customWidth="1"/>
    <col min="9" max="9" width="15.7109375" style="77" customWidth="1"/>
    <col min="10" max="10" width="14.42578125" style="77" customWidth="1"/>
    <col min="11" max="11" width="20.7109375" style="77" customWidth="1"/>
    <col min="12" max="12" width="14.42578125" style="77" customWidth="1"/>
    <col min="13" max="13" width="15.42578125" style="77" customWidth="1"/>
    <col min="14" max="14" width="16.7109375" style="77" customWidth="1"/>
    <col min="15" max="15" width="15.42578125" style="77" customWidth="1"/>
    <col min="16" max="16" width="3.42578125" style="77"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04"/>
      <c r="B1" s="399"/>
      <c r="C1" s="399"/>
      <c r="D1" s="399"/>
      <c r="E1" s="399"/>
      <c r="F1" s="399"/>
      <c r="G1" s="399"/>
      <c r="H1" s="399"/>
      <c r="I1" s="399"/>
      <c r="J1" s="516" t="s">
        <v>454</v>
      </c>
      <c r="K1" s="517"/>
      <c r="L1" s="399"/>
      <c r="M1" s="479"/>
      <c r="N1" s="479"/>
      <c r="O1" s="479"/>
      <c r="P1" s="465"/>
      <c r="Q1" s="479"/>
      <c r="R1" s="479"/>
      <c r="S1" s="479"/>
      <c r="T1" s="479"/>
      <c r="U1" s="479"/>
      <c r="V1" s="479"/>
      <c r="W1" s="479"/>
      <c r="X1" s="479"/>
      <c r="Y1" s="479"/>
      <c r="Z1" s="479"/>
      <c r="AA1" s="2"/>
      <c r="AB1" s="2"/>
      <c r="AC1" s="2"/>
      <c r="AD1" s="2"/>
      <c r="AE1" s="2"/>
      <c r="AF1" s="2"/>
      <c r="AG1" s="2"/>
      <c r="AH1" s="2"/>
      <c r="AI1" s="2"/>
    </row>
    <row r="2" spans="1:35" ht="18" customHeight="1" x14ac:dyDescent="0.25">
      <c r="A2" s="504"/>
      <c r="B2" s="399"/>
      <c r="C2" s="467" t="s">
        <v>436</v>
      </c>
      <c r="D2" s="2680" t="str">
        <f>IF('R-Entrada'!D2&lt;&gt;0,'R-Entrada'!D2,"")</f>
        <v>CIRSOP - Consórcio RSU Oeste Paulista</v>
      </c>
      <c r="E2" s="2681"/>
      <c r="F2" s="468"/>
      <c r="G2" s="468"/>
      <c r="H2" s="468"/>
      <c r="I2" s="399"/>
      <c r="J2" s="184"/>
      <c r="K2" s="518" t="s">
        <v>671</v>
      </c>
      <c r="L2" s="399"/>
      <c r="M2" s="399"/>
      <c r="N2" s="399"/>
      <c r="O2" s="399"/>
      <c r="P2" s="399"/>
      <c r="Q2" s="479"/>
      <c r="R2" s="479"/>
      <c r="S2" s="479"/>
      <c r="T2" s="479"/>
      <c r="U2" s="479"/>
      <c r="V2" s="479"/>
      <c r="W2" s="479"/>
      <c r="X2" s="479"/>
      <c r="Y2" s="479"/>
      <c r="Z2" s="479"/>
      <c r="AA2" s="2"/>
      <c r="AB2" s="2"/>
      <c r="AC2" s="2"/>
      <c r="AD2" s="2"/>
      <c r="AE2" s="2"/>
      <c r="AF2" s="2"/>
      <c r="AG2" s="2"/>
      <c r="AH2" s="2"/>
      <c r="AI2" s="2"/>
    </row>
    <row r="3" spans="1:35" ht="18" customHeight="1" x14ac:dyDescent="0.25">
      <c r="A3" s="504"/>
      <c r="B3" s="399"/>
      <c r="C3" s="467" t="s">
        <v>437</v>
      </c>
      <c r="D3" s="2680" t="str">
        <f>IF('R-Entrada'!D3&lt;&gt;0,'R-Entrada'!D3,"")</f>
        <v>Biodigestão c/ Prod. E. Elétrica</v>
      </c>
      <c r="E3" s="2681"/>
      <c r="F3" s="468"/>
      <c r="G3" s="468"/>
      <c r="H3" s="468"/>
      <c r="I3" s="399"/>
      <c r="J3" s="628"/>
      <c r="K3" s="518" t="s">
        <v>672</v>
      </c>
      <c r="L3" s="399"/>
      <c r="M3" s="399"/>
      <c r="N3" s="399"/>
      <c r="O3" s="399"/>
      <c r="P3" s="399"/>
      <c r="Q3" s="479"/>
      <c r="R3" s="479"/>
      <c r="S3" s="479"/>
      <c r="T3" s="479"/>
      <c r="U3" s="479"/>
      <c r="V3" s="479"/>
      <c r="W3" s="479"/>
      <c r="X3" s="479"/>
      <c r="Y3" s="479"/>
      <c r="Z3" s="479"/>
      <c r="AA3" s="2"/>
      <c r="AB3" s="2"/>
      <c r="AC3" s="2"/>
      <c r="AD3" s="2"/>
      <c r="AE3" s="2"/>
      <c r="AF3" s="2"/>
      <c r="AG3" s="2"/>
      <c r="AH3" s="2"/>
      <c r="AI3" s="2"/>
    </row>
    <row r="4" spans="1:35" ht="18" customHeight="1" x14ac:dyDescent="0.25">
      <c r="A4" s="504"/>
      <c r="B4" s="399"/>
      <c r="C4" s="399"/>
      <c r="D4" s="399"/>
      <c r="E4" s="399"/>
      <c r="F4" s="399"/>
      <c r="G4" s="399"/>
      <c r="H4" s="399"/>
      <c r="I4" s="399"/>
      <c r="J4" s="493"/>
      <c r="K4" s="518" t="s">
        <v>673</v>
      </c>
      <c r="L4" s="399"/>
      <c r="M4" s="399"/>
      <c r="N4" s="399"/>
      <c r="O4" s="399"/>
      <c r="P4" s="399"/>
      <c r="Q4" s="479"/>
      <c r="R4" s="479"/>
      <c r="S4" s="479"/>
      <c r="T4" s="479"/>
      <c r="U4" s="479"/>
      <c r="V4" s="479"/>
      <c r="W4" s="479"/>
      <c r="X4" s="479"/>
      <c r="Y4" s="479"/>
      <c r="Z4" s="479"/>
      <c r="AA4" s="2"/>
      <c r="AB4" s="2"/>
      <c r="AC4" s="2"/>
      <c r="AD4" s="2"/>
      <c r="AE4" s="2"/>
      <c r="AF4" s="2"/>
      <c r="AG4" s="2"/>
      <c r="AH4" s="2"/>
      <c r="AI4" s="2"/>
    </row>
    <row r="5" spans="1:35" ht="18" customHeight="1" x14ac:dyDescent="0.25">
      <c r="A5" s="504"/>
      <c r="B5" s="399"/>
      <c r="C5" s="399"/>
      <c r="D5" s="399"/>
      <c r="E5" s="399"/>
      <c r="F5" s="2651" t="s">
        <v>685</v>
      </c>
      <c r="G5" s="2697"/>
      <c r="H5" s="2698"/>
      <c r="I5" s="399"/>
      <c r="J5" s="122"/>
      <c r="K5" s="518" t="s">
        <v>674</v>
      </c>
      <c r="L5" s="399"/>
      <c r="M5" s="399"/>
      <c r="N5" s="2661" t="s">
        <v>424</v>
      </c>
      <c r="O5" s="2706"/>
      <c r="P5" s="2706"/>
      <c r="Q5" s="479"/>
      <c r="R5" s="479"/>
      <c r="S5" s="479"/>
      <c r="T5" s="479"/>
      <c r="U5" s="479"/>
      <c r="V5" s="479"/>
      <c r="W5" s="479"/>
      <c r="X5" s="479"/>
      <c r="Y5" s="479"/>
      <c r="Z5" s="479"/>
      <c r="AA5" s="2"/>
      <c r="AB5" s="2"/>
      <c r="AC5" s="2"/>
      <c r="AD5" s="2"/>
      <c r="AE5" s="2"/>
      <c r="AF5" s="2"/>
      <c r="AG5" s="2"/>
      <c r="AH5" s="2"/>
      <c r="AI5" s="2"/>
    </row>
    <row r="6" spans="1:35" ht="18" customHeight="1" x14ac:dyDescent="0.25">
      <c r="A6" s="504"/>
      <c r="B6" s="399"/>
      <c r="C6" s="468"/>
      <c r="D6" s="468"/>
      <c r="E6" s="468"/>
      <c r="F6" s="2699"/>
      <c r="G6" s="2700"/>
      <c r="H6" s="2701"/>
      <c r="I6" s="468"/>
      <c r="J6" s="629"/>
      <c r="K6" s="518" t="s">
        <v>675</v>
      </c>
      <c r="L6" s="399"/>
      <c r="M6" s="399"/>
      <c r="N6" s="2663" t="str">
        <f>Apresentação!I2</f>
        <v>RC-RSU V.1.0 - 15/10/2020</v>
      </c>
      <c r="O6" s="2663"/>
      <c r="P6" s="2663"/>
      <c r="Q6" s="479"/>
      <c r="R6" s="479"/>
      <c r="S6" s="479"/>
      <c r="T6" s="479"/>
      <c r="U6" s="479"/>
      <c r="V6" s="479"/>
      <c r="W6" s="479"/>
      <c r="X6" s="479"/>
      <c r="Y6" s="479"/>
      <c r="Z6" s="479"/>
      <c r="AA6" s="2"/>
      <c r="AB6" s="2"/>
      <c r="AC6" s="2"/>
      <c r="AD6" s="2"/>
      <c r="AE6" s="2"/>
      <c r="AF6" s="2"/>
      <c r="AG6" s="2"/>
      <c r="AH6" s="2"/>
      <c r="AI6" s="2"/>
    </row>
    <row r="7" spans="1:35" ht="18" customHeight="1" x14ac:dyDescent="0.25">
      <c r="A7" s="504"/>
      <c r="B7" s="399"/>
      <c r="C7" s="399"/>
      <c r="D7" s="468"/>
      <c r="E7" s="399"/>
      <c r="F7" s="399"/>
      <c r="G7" s="399"/>
      <c r="H7" s="399"/>
      <c r="I7" s="399"/>
      <c r="J7" s="788"/>
      <c r="K7" s="518" t="s">
        <v>676</v>
      </c>
      <c r="L7" s="399"/>
      <c r="M7" s="399"/>
      <c r="N7" s="399"/>
      <c r="O7" s="399"/>
      <c r="P7" s="399"/>
      <c r="Q7" s="479"/>
      <c r="R7" s="479"/>
      <c r="S7" s="479"/>
      <c r="T7" s="479"/>
      <c r="U7" s="479"/>
      <c r="V7" s="479"/>
      <c r="W7" s="479"/>
      <c r="X7" s="479"/>
      <c r="Y7" s="479"/>
      <c r="Z7" s="479"/>
      <c r="AA7" s="2"/>
      <c r="AB7" s="2"/>
      <c r="AC7" s="2"/>
      <c r="AD7" s="2"/>
      <c r="AE7" s="2"/>
      <c r="AF7" s="2"/>
      <c r="AG7" s="2"/>
      <c r="AH7" s="2"/>
      <c r="AI7" s="2"/>
    </row>
    <row r="8" spans="1:35" ht="18" customHeight="1" x14ac:dyDescent="0.25">
      <c r="A8" s="505"/>
      <c r="B8" s="2707" t="s">
        <v>462</v>
      </c>
      <c r="C8" s="2707"/>
      <c r="D8" s="2707"/>
      <c r="E8" s="2707"/>
      <c r="F8" s="2707"/>
      <c r="G8" s="399"/>
      <c r="H8" s="399"/>
      <c r="I8" s="399"/>
      <c r="J8" s="399"/>
      <c r="L8" s="399"/>
      <c r="M8" s="399"/>
      <c r="N8" s="399"/>
      <c r="O8" s="399"/>
      <c r="P8" s="399"/>
      <c r="Q8" s="479"/>
      <c r="R8" s="479"/>
      <c r="S8" s="479"/>
      <c r="T8" s="479"/>
      <c r="U8" s="479"/>
      <c r="V8" s="479"/>
      <c r="W8" s="479"/>
      <c r="X8" s="479"/>
      <c r="Y8" s="479"/>
      <c r="Z8" s="479"/>
      <c r="AA8" s="2"/>
      <c r="AB8" s="2"/>
      <c r="AC8" s="2"/>
      <c r="AD8" s="2"/>
      <c r="AE8" s="2"/>
      <c r="AF8" s="2"/>
      <c r="AG8" s="2"/>
      <c r="AH8" s="2"/>
      <c r="AI8" s="2"/>
    </row>
    <row r="9" spans="1:35" ht="18" customHeight="1" x14ac:dyDescent="0.25">
      <c r="A9" s="504"/>
      <c r="B9" s="399"/>
      <c r="C9" s="399"/>
      <c r="D9" s="399"/>
      <c r="E9" s="399"/>
      <c r="F9" s="399"/>
      <c r="G9" s="399"/>
      <c r="H9" s="399"/>
      <c r="I9" s="399"/>
      <c r="J9" s="399"/>
      <c r="K9" s="399"/>
      <c r="L9" s="399"/>
      <c r="M9" s="399"/>
      <c r="N9" s="399"/>
      <c r="O9" s="466"/>
      <c r="P9" s="399"/>
      <c r="Q9" s="479"/>
      <c r="R9" s="479"/>
      <c r="S9" s="479"/>
      <c r="T9" s="479"/>
      <c r="U9" s="479"/>
      <c r="V9" s="479"/>
      <c r="W9" s="479"/>
      <c r="X9" s="479"/>
      <c r="Y9" s="479"/>
      <c r="Z9" s="479"/>
      <c r="AA9" s="2"/>
      <c r="AB9" s="2"/>
      <c r="AC9" s="2"/>
      <c r="AD9" s="2"/>
      <c r="AE9" s="2"/>
      <c r="AF9" s="2"/>
      <c r="AG9" s="2"/>
      <c r="AH9" s="2"/>
      <c r="AI9" s="2"/>
    </row>
    <row r="10" spans="1:35" ht="25.9" customHeight="1" x14ac:dyDescent="0.25">
      <c r="A10" s="504"/>
      <c r="B10" s="399"/>
      <c r="C10" s="2666" t="s">
        <v>48</v>
      </c>
      <c r="D10" s="2660" t="s">
        <v>459</v>
      </c>
      <c r="E10" s="2658"/>
      <c r="F10" s="2658"/>
      <c r="G10" s="2658"/>
      <c r="H10" s="2658"/>
      <c r="I10" s="2658"/>
      <c r="J10" s="2658"/>
      <c r="K10" s="2658"/>
      <c r="L10" s="2658"/>
      <c r="M10" s="2658"/>
      <c r="N10" s="2658"/>
      <c r="O10" s="399"/>
      <c r="P10" s="399"/>
      <c r="Q10" s="479"/>
      <c r="R10" s="479"/>
      <c r="S10" s="479"/>
      <c r="T10" s="479"/>
      <c r="U10" s="479"/>
      <c r="V10" s="479"/>
      <c r="W10" s="479"/>
      <c r="X10" s="479"/>
      <c r="Y10" s="479"/>
      <c r="Z10" s="479"/>
      <c r="AA10" s="2"/>
      <c r="AB10" s="2"/>
      <c r="AC10" s="2"/>
      <c r="AD10" s="2"/>
      <c r="AE10" s="2"/>
      <c r="AF10" s="2"/>
      <c r="AG10" s="2"/>
      <c r="AH10" s="2"/>
      <c r="AI10" s="2"/>
    </row>
    <row r="11" spans="1:35" ht="22.5" customHeight="1" x14ac:dyDescent="0.25">
      <c r="A11" s="504"/>
      <c r="B11" s="399"/>
      <c r="C11" s="2658"/>
      <c r="D11" s="2660" t="s">
        <v>25</v>
      </c>
      <c r="E11" s="2658"/>
      <c r="F11" s="2666" t="s">
        <v>49</v>
      </c>
      <c r="G11" s="2660" t="s">
        <v>426</v>
      </c>
      <c r="H11" s="2658"/>
      <c r="I11" s="2660" t="s">
        <v>427</v>
      </c>
      <c r="J11" s="2660" t="s">
        <v>51</v>
      </c>
      <c r="K11" s="2658"/>
      <c r="L11" s="2660" t="s">
        <v>428</v>
      </c>
      <c r="M11" s="2658"/>
      <c r="N11" s="2696" t="s">
        <v>52</v>
      </c>
      <c r="O11" s="399"/>
      <c r="P11" s="399"/>
      <c r="Q11" s="479"/>
      <c r="R11" s="479"/>
      <c r="S11" s="479"/>
      <c r="T11" s="479"/>
      <c r="U11" s="479"/>
      <c r="V11" s="479"/>
      <c r="W11" s="479"/>
      <c r="X11" s="479"/>
      <c r="Y11" s="479"/>
      <c r="Z11" s="479"/>
      <c r="AA11" s="2"/>
      <c r="AB11" s="2"/>
      <c r="AC11" s="2"/>
      <c r="AD11" s="2"/>
      <c r="AE11" s="2"/>
      <c r="AF11" s="2"/>
      <c r="AG11" s="2"/>
      <c r="AH11" s="2"/>
      <c r="AI11" s="2"/>
    </row>
    <row r="12" spans="1:35" ht="31.15" customHeight="1" x14ac:dyDescent="0.25">
      <c r="A12" s="504"/>
      <c r="B12" s="399"/>
      <c r="C12" s="2658"/>
      <c r="D12" s="444" t="s">
        <v>53</v>
      </c>
      <c r="E12" s="444" t="s">
        <v>54</v>
      </c>
      <c r="F12" s="2658"/>
      <c r="G12" s="444" t="s">
        <v>55</v>
      </c>
      <c r="H12" s="444" t="s">
        <v>56</v>
      </c>
      <c r="I12" s="2658"/>
      <c r="J12" s="444" t="s">
        <v>57</v>
      </c>
      <c r="K12" s="444" t="s">
        <v>461</v>
      </c>
      <c r="L12" s="444" t="s">
        <v>429</v>
      </c>
      <c r="M12" s="440" t="s">
        <v>460</v>
      </c>
      <c r="N12" s="2658"/>
      <c r="O12" s="399"/>
      <c r="P12" s="399"/>
      <c r="Q12" s="479"/>
      <c r="R12" s="479" t="s">
        <v>6</v>
      </c>
      <c r="S12" s="479" t="s">
        <v>59</v>
      </c>
      <c r="T12" s="479" t="s">
        <v>60</v>
      </c>
      <c r="U12" s="479"/>
      <c r="V12" s="479"/>
      <c r="W12" s="479"/>
      <c r="X12" s="479"/>
      <c r="Y12" s="479"/>
      <c r="Z12" s="479"/>
      <c r="AA12" s="2"/>
      <c r="AB12" s="2"/>
      <c r="AC12" s="2"/>
      <c r="AD12" s="2"/>
      <c r="AE12" s="2"/>
      <c r="AF12" s="2"/>
      <c r="AG12" s="8"/>
      <c r="AH12" s="2"/>
      <c r="AI12" s="2"/>
    </row>
    <row r="13" spans="1:35" ht="18" customHeight="1" x14ac:dyDescent="0.25">
      <c r="A13" s="504"/>
      <c r="B13" s="399"/>
      <c r="C13" s="447" t="s">
        <v>200</v>
      </c>
      <c r="D13" s="141"/>
      <c r="E13" s="141"/>
      <c r="F13" s="113">
        <f>'R-Entrada'!F54</f>
        <v>0</v>
      </c>
      <c r="G13" s="113">
        <f>'R-Entrada'!G54</f>
        <v>0</v>
      </c>
      <c r="H13" s="113">
        <f>'R-Entrada'!H54</f>
        <v>0</v>
      </c>
      <c r="I13" s="113">
        <f>'R-Entrada'!I54</f>
        <v>0</v>
      </c>
      <c r="J13" s="113">
        <f>'R-Entrada'!J54</f>
        <v>0</v>
      </c>
      <c r="K13" s="113">
        <f>'R-Entrada'!K54</f>
        <v>0</v>
      </c>
      <c r="L13" s="141"/>
      <c r="M13" s="141"/>
      <c r="N13" s="90">
        <f>SUM(F13:M13)</f>
        <v>0</v>
      </c>
      <c r="O13" s="399"/>
      <c r="P13" s="399"/>
      <c r="Q13" s="479"/>
      <c r="R13" s="479" t="s">
        <v>7</v>
      </c>
      <c r="S13" s="479" t="s">
        <v>61</v>
      </c>
      <c r="T13" s="479" t="s">
        <v>62</v>
      </c>
      <c r="U13" s="479"/>
      <c r="V13" s="479"/>
      <c r="W13" s="479"/>
      <c r="X13" s="479"/>
      <c r="Y13" s="479"/>
      <c r="Z13" s="479"/>
      <c r="AA13" s="2"/>
      <c r="AB13" s="2"/>
      <c r="AC13" s="2"/>
      <c r="AD13" s="2"/>
      <c r="AE13" s="2"/>
      <c r="AF13" s="2"/>
      <c r="AG13" s="2"/>
      <c r="AH13" s="2"/>
      <c r="AI13" s="2"/>
    </row>
    <row r="14" spans="1:35" ht="18" customHeight="1" x14ac:dyDescent="0.25">
      <c r="A14" s="504"/>
      <c r="B14" s="399"/>
      <c r="C14" s="447" t="s">
        <v>58</v>
      </c>
      <c r="D14" s="113">
        <f>'R-Entrada'!D55</f>
        <v>0</v>
      </c>
      <c r="E14" s="113">
        <f>'R-Entrada'!E55</f>
        <v>0</v>
      </c>
      <c r="F14" s="141"/>
      <c r="G14" s="141"/>
      <c r="H14" s="141"/>
      <c r="I14" s="141"/>
      <c r="J14" s="141"/>
      <c r="K14" s="141"/>
      <c r="L14" s="141"/>
      <c r="M14" s="141"/>
      <c r="N14" s="90">
        <f>SUM(D14:E14)</f>
        <v>0</v>
      </c>
      <c r="O14" s="399"/>
      <c r="P14" s="399"/>
      <c r="Q14" s="479"/>
      <c r="R14" s="479"/>
      <c r="S14" s="479" t="s">
        <v>63</v>
      </c>
      <c r="T14" s="479" t="s">
        <v>64</v>
      </c>
      <c r="U14" s="479"/>
      <c r="V14" s="479"/>
      <c r="W14" s="479"/>
      <c r="X14" s="479"/>
      <c r="Y14" s="479"/>
      <c r="Z14" s="479"/>
      <c r="AA14" s="2"/>
      <c r="AB14" s="2"/>
      <c r="AC14" s="2"/>
      <c r="AD14" s="13"/>
      <c r="AE14" s="2"/>
      <c r="AF14" s="2"/>
      <c r="AG14" s="2"/>
      <c r="AH14" s="2"/>
      <c r="AI14" s="2"/>
    </row>
    <row r="15" spans="1:35" ht="18" customHeight="1" x14ac:dyDescent="0.25">
      <c r="A15" s="506"/>
      <c r="B15" s="465"/>
      <c r="C15" s="447" t="s">
        <v>425</v>
      </c>
      <c r="D15" s="113">
        <f>'R-Entrada'!D56</f>
        <v>226.4871794871795</v>
      </c>
      <c r="E15" s="113">
        <f>'R-Entrada'!E56</f>
        <v>14.038461538461538</v>
      </c>
      <c r="F15" s="113">
        <f>'R-Entrada'!F56</f>
        <v>61.301282051282051</v>
      </c>
      <c r="G15" s="113">
        <f>'R-Entrada'!G56</f>
        <v>41.647435897435898</v>
      </c>
      <c r="H15" s="113">
        <f>'R-Entrada'!H56</f>
        <v>21.525641025641026</v>
      </c>
      <c r="I15" s="113">
        <f>'R-Entrada'!I56</f>
        <v>11.230769230769232</v>
      </c>
      <c r="J15" s="113">
        <f>'R-Entrada'!J56</f>
        <v>10.762820512820513</v>
      </c>
      <c r="K15" s="113">
        <f>'R-Entrada'!K56</f>
        <v>2.8076923076923079</v>
      </c>
      <c r="L15" s="113">
        <f>'R-Entrada'!L56</f>
        <v>47.45</v>
      </c>
      <c r="M15" s="113">
        <f>'R-Entrada'!M56</f>
        <v>30.697435897435909</v>
      </c>
      <c r="N15" s="90">
        <f>SUM(D15:M15)</f>
        <v>467.94871794871801</v>
      </c>
      <c r="O15" s="465"/>
      <c r="P15" s="465"/>
      <c r="Q15" s="479"/>
      <c r="R15" s="479"/>
      <c r="S15" s="479" t="s">
        <v>65</v>
      </c>
      <c r="T15" s="479" t="s">
        <v>63</v>
      </c>
      <c r="U15" s="479"/>
      <c r="V15" s="479"/>
      <c r="W15" s="479"/>
      <c r="X15" s="479"/>
      <c r="Y15" s="479"/>
      <c r="Z15" s="479"/>
      <c r="AA15" s="6"/>
      <c r="AB15" s="6"/>
      <c r="AC15" s="6"/>
      <c r="AD15" s="2"/>
      <c r="AE15" s="2"/>
      <c r="AF15" s="6"/>
      <c r="AG15" s="2"/>
      <c r="AH15" s="2"/>
      <c r="AI15" s="6"/>
    </row>
    <row r="16" spans="1:35" ht="18" customHeight="1" x14ac:dyDescent="0.25">
      <c r="A16" s="506"/>
      <c r="B16" s="465"/>
      <c r="C16" s="229" t="s">
        <v>52</v>
      </c>
      <c r="D16" s="142">
        <f>SUM(D14:D15)</f>
        <v>226.4871794871795</v>
      </c>
      <c r="E16" s="142">
        <f>SUM(E14:E15)</f>
        <v>14.038461538461538</v>
      </c>
      <c r="F16" s="142">
        <f t="shared" ref="F16:L16" si="0">SUM(F13:F15)</f>
        <v>61.301282051282051</v>
      </c>
      <c r="G16" s="142">
        <f t="shared" si="0"/>
        <v>41.647435897435898</v>
      </c>
      <c r="H16" s="142">
        <f t="shared" si="0"/>
        <v>21.525641025641026</v>
      </c>
      <c r="I16" s="142">
        <f t="shared" si="0"/>
        <v>11.230769230769232</v>
      </c>
      <c r="J16" s="142">
        <f t="shared" si="0"/>
        <v>10.762820512820513</v>
      </c>
      <c r="K16" s="142">
        <f t="shared" si="0"/>
        <v>2.8076923076923079</v>
      </c>
      <c r="L16" s="142">
        <f t="shared" si="0"/>
        <v>47.45</v>
      </c>
      <c r="M16" s="142">
        <f>M15</f>
        <v>30.697435897435909</v>
      </c>
      <c r="N16" s="90">
        <f>SUM(N13:N15)</f>
        <v>467.94871794871801</v>
      </c>
      <c r="O16" s="465"/>
      <c r="P16" s="465"/>
      <c r="Q16" s="479"/>
      <c r="R16" s="479"/>
      <c r="S16" s="479"/>
      <c r="T16" s="479"/>
      <c r="U16" s="479"/>
      <c r="V16" s="479"/>
      <c r="W16" s="479"/>
      <c r="X16" s="479"/>
      <c r="Y16" s="479"/>
      <c r="Z16" s="479"/>
      <c r="AA16" s="6"/>
      <c r="AB16" s="6"/>
      <c r="AC16" s="6"/>
      <c r="AD16" s="2"/>
      <c r="AE16" s="2"/>
      <c r="AF16" s="6"/>
      <c r="AG16" s="2"/>
      <c r="AH16" s="2"/>
      <c r="AI16" s="6"/>
    </row>
    <row r="17" spans="1:35" ht="9" customHeight="1" x14ac:dyDescent="0.25">
      <c r="A17" s="506"/>
      <c r="B17" s="465"/>
      <c r="C17" s="465"/>
      <c r="D17" s="465"/>
      <c r="E17" s="519"/>
      <c r="F17" s="465"/>
      <c r="G17" s="465"/>
      <c r="H17" s="465"/>
      <c r="I17" s="465"/>
      <c r="J17" s="465"/>
      <c r="K17" s="465"/>
      <c r="L17" s="519"/>
      <c r="M17" s="465"/>
      <c r="N17" s="465"/>
      <c r="O17" s="465"/>
      <c r="P17" s="465"/>
      <c r="Q17" s="479"/>
      <c r="R17" s="479"/>
      <c r="S17" s="479"/>
      <c r="T17" s="479"/>
      <c r="U17" s="479"/>
      <c r="V17" s="479"/>
      <c r="W17" s="479"/>
      <c r="X17" s="479"/>
      <c r="Y17" s="479"/>
      <c r="Z17" s="479"/>
      <c r="AA17" s="6"/>
      <c r="AB17" s="6"/>
      <c r="AC17" s="6"/>
      <c r="AD17" s="6"/>
      <c r="AE17" s="2"/>
      <c r="AF17" s="2"/>
      <c r="AG17" s="6"/>
      <c r="AH17" s="2"/>
      <c r="AI17" s="2"/>
    </row>
    <row r="18" spans="1:35" ht="18" customHeight="1" x14ac:dyDescent="0.25">
      <c r="A18" s="506"/>
      <c r="B18" s="465"/>
      <c r="C18" s="465"/>
      <c r="D18" s="465"/>
      <c r="E18" s="465"/>
      <c r="F18" s="465"/>
      <c r="G18" s="465"/>
      <c r="H18" s="498" t="s">
        <v>66</v>
      </c>
      <c r="I18" s="145">
        <f>IF(N15=0,0,SUM(F15:K15)/N15*100)</f>
        <v>31.900000000000002</v>
      </c>
      <c r="J18" s="145">
        <f>IF(N15=0,0,SUM(D15:E15)/N15*100)</f>
        <v>51.4</v>
      </c>
      <c r="K18" s="520" t="s">
        <v>67</v>
      </c>
      <c r="L18" s="465"/>
      <c r="M18" s="465"/>
      <c r="N18" s="465"/>
      <c r="O18" s="465"/>
      <c r="P18" s="465"/>
      <c r="Q18" s="479"/>
      <c r="R18" s="479"/>
      <c r="S18" s="479"/>
      <c r="T18" s="479"/>
      <c r="U18" s="479"/>
      <c r="V18" s="479"/>
      <c r="W18" s="479"/>
      <c r="X18" s="479"/>
      <c r="Y18" s="479"/>
      <c r="Z18" s="479"/>
      <c r="AA18" s="6"/>
      <c r="AB18" s="6"/>
      <c r="AC18" s="6"/>
      <c r="AD18" s="6"/>
      <c r="AE18" s="2"/>
      <c r="AF18" s="2"/>
      <c r="AG18" s="6"/>
      <c r="AH18" s="2"/>
      <c r="AI18" s="2"/>
    </row>
    <row r="19" spans="1:35" ht="6.4" customHeight="1" x14ac:dyDescent="0.25">
      <c r="A19" s="506"/>
      <c r="B19" s="465"/>
      <c r="C19" s="465"/>
      <c r="D19" s="465"/>
      <c r="E19" s="465"/>
      <c r="F19" s="465"/>
      <c r="G19" s="465"/>
      <c r="H19" s="465"/>
      <c r="I19" s="465"/>
      <c r="J19" s="465"/>
      <c r="K19" s="465"/>
      <c r="L19" s="465"/>
      <c r="M19" s="465"/>
      <c r="N19" s="465"/>
      <c r="O19" s="465"/>
      <c r="P19" s="465"/>
      <c r="Q19" s="479"/>
      <c r="R19" s="479"/>
      <c r="S19" s="479"/>
      <c r="T19" s="479"/>
      <c r="U19" s="479"/>
      <c r="V19" s="479"/>
      <c r="W19" s="479"/>
      <c r="X19" s="479"/>
      <c r="Y19" s="479"/>
      <c r="Z19" s="479"/>
      <c r="AA19" s="6"/>
      <c r="AB19" s="6"/>
      <c r="AC19" s="6"/>
      <c r="AD19" s="6"/>
      <c r="AE19" s="2"/>
      <c r="AF19" s="2"/>
      <c r="AG19" s="6"/>
      <c r="AH19" s="2"/>
      <c r="AI19" s="2"/>
    </row>
    <row r="20" spans="1:35" ht="18" customHeight="1" x14ac:dyDescent="0.25">
      <c r="A20" s="506"/>
      <c r="B20" s="465"/>
      <c r="C20" s="465"/>
      <c r="D20" s="465"/>
      <c r="E20" s="465"/>
      <c r="F20" s="465"/>
      <c r="G20" s="465"/>
      <c r="H20" s="465"/>
      <c r="I20" s="465"/>
      <c r="J20" s="465"/>
      <c r="K20" s="465"/>
      <c r="L20" s="465"/>
      <c r="M20" s="465"/>
      <c r="N20" s="465"/>
      <c r="O20" s="465"/>
      <c r="P20" s="465"/>
      <c r="Q20" s="479"/>
      <c r="R20" s="479"/>
      <c r="S20" s="479"/>
      <c r="T20" s="479"/>
      <c r="U20" s="479"/>
      <c r="V20" s="479"/>
      <c r="W20" s="479"/>
      <c r="X20" s="479"/>
      <c r="Y20" s="479"/>
      <c r="Z20" s="479"/>
      <c r="AA20" s="6"/>
      <c r="AB20" s="6"/>
      <c r="AC20" s="6"/>
      <c r="AD20" s="6"/>
      <c r="AE20" s="2"/>
      <c r="AF20" s="2"/>
      <c r="AG20" s="6"/>
      <c r="AH20" s="2"/>
      <c r="AI20" s="2"/>
    </row>
    <row r="21" spans="1:35" ht="18.399999999999999" customHeight="1" x14ac:dyDescent="0.25">
      <c r="A21" s="507"/>
      <c r="B21" s="601"/>
      <c r="C21" s="101" t="s">
        <v>463</v>
      </c>
      <c r="D21" s="102"/>
      <c r="E21" s="102"/>
      <c r="F21" s="102"/>
      <c r="G21" s="100"/>
      <c r="H21" s="100"/>
      <c r="I21" s="100"/>
      <c r="J21" s="399"/>
      <c r="K21" s="465"/>
      <c r="L21" s="465"/>
      <c r="M21" s="465"/>
      <c r="N21" s="399"/>
      <c r="O21" s="399"/>
      <c r="P21" s="468"/>
      <c r="Q21" s="479"/>
      <c r="R21" s="479"/>
      <c r="S21" s="479"/>
      <c r="T21" s="479"/>
      <c r="U21" s="479"/>
      <c r="V21" s="479"/>
      <c r="W21" s="479"/>
      <c r="X21" s="479"/>
      <c r="Y21" s="479"/>
      <c r="Z21" s="479"/>
      <c r="AA21" s="2"/>
      <c r="AB21" s="2"/>
      <c r="AC21" s="2"/>
      <c r="AD21" s="2"/>
      <c r="AE21" s="2"/>
      <c r="AF21" s="2"/>
      <c r="AG21" s="6"/>
      <c r="AH21" s="2"/>
      <c r="AI21" s="2"/>
    </row>
    <row r="22" spans="1:35" ht="18.399999999999999" customHeight="1" x14ac:dyDescent="0.25">
      <c r="A22" s="506"/>
      <c r="B22" s="399"/>
      <c r="C22" s="482"/>
      <c r="D22" s="465"/>
      <c r="E22" s="399"/>
      <c r="F22" s="465"/>
      <c r="G22" s="399"/>
      <c r="H22" s="399"/>
      <c r="I22" s="399"/>
      <c r="J22" s="399"/>
      <c r="K22" s="556"/>
      <c r="L22" s="557"/>
      <c r="M22" s="558" t="s">
        <v>68</v>
      </c>
      <c r="N22" s="557"/>
      <c r="O22" s="561"/>
      <c r="P22" s="399"/>
      <c r="Q22" s="479"/>
      <c r="R22" s="479"/>
      <c r="S22" s="479"/>
      <c r="T22" s="479"/>
      <c r="U22" s="479"/>
      <c r="V22" s="479"/>
      <c r="W22" s="479"/>
      <c r="X22" s="479"/>
      <c r="Y22" s="479"/>
      <c r="Z22" s="479"/>
      <c r="AA22" s="3"/>
      <c r="AB22" s="3"/>
      <c r="AC22" s="3"/>
      <c r="AD22" s="3"/>
      <c r="AE22" s="3"/>
      <c r="AF22" s="2"/>
      <c r="AG22" s="6"/>
      <c r="AH22" s="2"/>
      <c r="AI22" s="2"/>
    </row>
    <row r="23" spans="1:35" ht="28.15" customHeight="1" x14ac:dyDescent="0.25">
      <c r="A23" s="506"/>
      <c r="B23" s="569"/>
      <c r="C23" s="564" t="s">
        <v>69</v>
      </c>
      <c r="D23" s="531"/>
      <c r="E23" s="529"/>
      <c r="F23" s="465"/>
      <c r="G23" s="570" t="s">
        <v>70</v>
      </c>
      <c r="H23" s="444"/>
      <c r="I23" s="444"/>
      <c r="J23" s="535"/>
      <c r="K23" s="444"/>
      <c r="L23" s="444" t="s">
        <v>52</v>
      </c>
      <c r="M23" s="440" t="s">
        <v>688</v>
      </c>
      <c r="N23" s="440" t="s">
        <v>687</v>
      </c>
      <c r="O23" s="440" t="s">
        <v>686</v>
      </c>
      <c r="P23" s="399"/>
      <c r="Q23" s="479"/>
      <c r="R23" s="479"/>
      <c r="S23" s="479"/>
      <c r="T23" s="479"/>
      <c r="U23" s="479"/>
      <c r="V23" s="479"/>
      <c r="W23" s="479"/>
      <c r="X23" s="479"/>
      <c r="Y23" s="479"/>
      <c r="Z23" s="479"/>
      <c r="AA23" s="2"/>
      <c r="AB23" s="6"/>
      <c r="AC23" s="6"/>
      <c r="AD23" s="6"/>
      <c r="AE23" s="2"/>
      <c r="AF23" s="2"/>
      <c r="AG23" s="6"/>
      <c r="AH23" s="2"/>
      <c r="AI23" s="2"/>
    </row>
    <row r="24" spans="1:35" ht="18" customHeight="1" x14ac:dyDescent="0.25">
      <c r="A24" s="506"/>
      <c r="B24" s="466"/>
      <c r="C24" s="567"/>
      <c r="D24" s="500" t="s">
        <v>71</v>
      </c>
      <c r="E24" s="90">
        <f>N13</f>
        <v>0</v>
      </c>
      <c r="F24" s="525"/>
      <c r="G24" s="572"/>
      <c r="H24" s="527" t="s">
        <v>87</v>
      </c>
      <c r="I24" s="780" t="s">
        <v>6</v>
      </c>
      <c r="J24" s="525"/>
      <c r="K24" s="559" t="s">
        <v>73</v>
      </c>
      <c r="L24" s="105">
        <f t="shared" ref="L24:L29" si="1">SUM(M24:O24)</f>
        <v>15.325320512820513</v>
      </c>
      <c r="M24" s="106">
        <f>IF($E$28="Sim",F$13*'R-Avançado'!$H$11/100*$E$29/$N$13,0)</f>
        <v>0</v>
      </c>
      <c r="N24" s="106">
        <f>IF($E$32="Sim",F$13*'R-Avançado'!$G$11/100*$E$33/$N$13,0)</f>
        <v>0</v>
      </c>
      <c r="O24" s="562">
        <f>IF(AND($I$25&gt;0,$I$24="Sim"),$I$27/$N$15*F$15*'R-Avançado'!$F$11/100,0)</f>
        <v>15.325320512820513</v>
      </c>
      <c r="P24" s="399"/>
      <c r="Q24" s="479"/>
      <c r="R24" s="479"/>
      <c r="S24" s="479"/>
      <c r="T24" s="479"/>
      <c r="U24" s="479"/>
      <c r="V24" s="479"/>
      <c r="W24" s="479"/>
      <c r="X24" s="479"/>
      <c r="Y24" s="479"/>
      <c r="Z24" s="479"/>
      <c r="AA24" s="6"/>
      <c r="AB24" s="6"/>
      <c r="AC24" s="6"/>
      <c r="AD24" s="6"/>
      <c r="AE24" s="6"/>
      <c r="AF24" s="6"/>
      <c r="AG24" s="6"/>
      <c r="AH24" s="2"/>
      <c r="AI24" s="2"/>
    </row>
    <row r="25" spans="1:35" ht="18" customHeight="1" x14ac:dyDescent="0.25">
      <c r="A25" s="506"/>
      <c r="B25" s="466"/>
      <c r="C25" s="567"/>
      <c r="D25" s="500" t="s">
        <v>74</v>
      </c>
      <c r="E25" s="660">
        <v>0</v>
      </c>
      <c r="F25" s="525"/>
      <c r="G25" s="572"/>
      <c r="H25" s="528" t="s">
        <v>71</v>
      </c>
      <c r="I25" s="230">
        <f>IF(I24="Sim",N15,0)</f>
        <v>467.94871794871801</v>
      </c>
      <c r="J25" s="525"/>
      <c r="K25" s="559" t="s">
        <v>29</v>
      </c>
      <c r="L25" s="105">
        <f t="shared" si="1"/>
        <v>10.411858974358974</v>
      </c>
      <c r="M25" s="106">
        <f>IF($E$28="Sim",G$13*'R-Avançado'!$H$11/100*$E$29/$N$13,0)</f>
        <v>0</v>
      </c>
      <c r="N25" s="106">
        <f>IF($E$32="Sim",G$13*'R-Avançado'!$G$11/100*$E$33/$N$13,0)</f>
        <v>0</v>
      </c>
      <c r="O25" s="562">
        <f>IF(AND($I$25&gt;0,$I$24="Sim"),$I$27/$N$15*G$15*'R-Avançado'!$F$11/100,0)</f>
        <v>10.411858974358974</v>
      </c>
      <c r="P25" s="399"/>
      <c r="Q25" s="479"/>
      <c r="R25" s="479"/>
      <c r="S25" s="479"/>
      <c r="T25" s="479"/>
      <c r="U25" s="479"/>
      <c r="V25" s="479"/>
      <c r="W25" s="479"/>
      <c r="X25" s="479"/>
      <c r="Y25" s="479"/>
      <c r="Z25" s="479"/>
      <c r="AA25" s="6"/>
      <c r="AB25" s="6"/>
      <c r="AC25" s="6"/>
      <c r="AD25" s="6"/>
      <c r="AE25" s="6"/>
      <c r="AF25" s="6"/>
      <c r="AG25" s="6"/>
      <c r="AH25" s="2"/>
      <c r="AI25" s="2"/>
    </row>
    <row r="26" spans="1:35" ht="18" customHeight="1" x14ac:dyDescent="0.25">
      <c r="A26" s="504"/>
      <c r="B26" s="466"/>
      <c r="C26" s="567"/>
      <c r="D26" s="500" t="s">
        <v>75</v>
      </c>
      <c r="E26" s="495">
        <f>IF(N13&lt;&gt;0,100-E25,0)</f>
        <v>0</v>
      </c>
      <c r="F26" s="466"/>
      <c r="G26" s="572"/>
      <c r="H26" s="528" t="s">
        <v>76</v>
      </c>
      <c r="I26" s="775">
        <v>100</v>
      </c>
      <c r="J26" s="2703" t="str">
        <f>IF(AND(I24="Sim",I27&lt;&gt;0,I27&lt;50),"Mín. é 50 t/d. Rever Célula I26","")</f>
        <v/>
      </c>
      <c r="K26" s="559" t="s">
        <v>77</v>
      </c>
      <c r="L26" s="105">
        <f t="shared" si="1"/>
        <v>5.3814102564102564</v>
      </c>
      <c r="M26" s="106">
        <f>IF($E$28="Sim",H$13*'R-Avançado'!$H$11/100*$E$29/$N$13,0)</f>
        <v>0</v>
      </c>
      <c r="N26" s="106">
        <f>IF($E$32="Sim",H$13*'R-Avançado'!$G$11/100*$E$33/$N$13,0)</f>
        <v>0</v>
      </c>
      <c r="O26" s="562">
        <f>IF(AND($I$25&gt;0,$I$24="Sim"),$I$27/$N$15*H$15*'R-Avançado'!$F$11/100,0)</f>
        <v>5.3814102564102564</v>
      </c>
      <c r="P26" s="399"/>
      <c r="Q26" s="479"/>
      <c r="R26" s="479"/>
      <c r="S26" s="479"/>
      <c r="T26" s="479"/>
      <c r="U26" s="479"/>
      <c r="V26" s="479"/>
      <c r="W26" s="479"/>
      <c r="X26" s="479"/>
      <c r="Y26" s="479"/>
      <c r="Z26" s="479"/>
      <c r="AA26" s="2"/>
      <c r="AB26" s="2"/>
      <c r="AC26" s="2"/>
      <c r="AD26" s="2"/>
      <c r="AE26" s="6"/>
      <c r="AF26" s="6"/>
      <c r="AG26" s="2"/>
      <c r="AH26" s="2"/>
      <c r="AI26" s="2"/>
    </row>
    <row r="27" spans="1:35" ht="18" customHeight="1" x14ac:dyDescent="0.25">
      <c r="A27" s="504"/>
      <c r="B27" s="466"/>
      <c r="C27" s="532"/>
      <c r="D27" s="533"/>
      <c r="E27" s="571"/>
      <c r="F27" s="466"/>
      <c r="G27" s="572"/>
      <c r="H27" s="528" t="s">
        <v>78</v>
      </c>
      <c r="I27" s="230">
        <f>I25*I26/100</f>
        <v>467.94871794871801</v>
      </c>
      <c r="J27" s="2704"/>
      <c r="K27" s="559" t="s">
        <v>31</v>
      </c>
      <c r="L27" s="105">
        <f t="shared" si="1"/>
        <v>2.8076923076923079</v>
      </c>
      <c r="M27" s="106">
        <f>IF($E$28="Sim",I$13*'R-Avançado'!$H$11/100*$E$29/$N$13,0)</f>
        <v>0</v>
      </c>
      <c r="N27" s="106">
        <f>IF($E$32="Sim",I$13*'R-Avançado'!$G$11/100*$E$33/$N$13,0)</f>
        <v>0</v>
      </c>
      <c r="O27" s="562">
        <f>IF(AND($I$25&gt;0,$I$24="Sim"),$I$27/$N$15*I$15*'R-Avançado'!$F$11/100,0)</f>
        <v>2.8076923076923079</v>
      </c>
      <c r="P27" s="399"/>
      <c r="Q27" s="479"/>
      <c r="R27" s="479"/>
      <c r="S27" s="479"/>
      <c r="T27" s="479"/>
      <c r="U27" s="479"/>
      <c r="V27" s="479"/>
      <c r="W27" s="479"/>
      <c r="X27" s="479"/>
      <c r="Y27" s="479"/>
      <c r="Z27" s="479"/>
      <c r="AA27" s="2"/>
      <c r="AB27" s="2"/>
      <c r="AC27" s="2"/>
      <c r="AD27" s="2"/>
      <c r="AE27" s="6"/>
      <c r="AF27" s="6"/>
      <c r="AG27" s="2"/>
      <c r="AH27" s="2"/>
      <c r="AI27" s="2"/>
    </row>
    <row r="28" spans="1:35" ht="18" customHeight="1" x14ac:dyDescent="0.25">
      <c r="A28" s="504"/>
      <c r="B28" s="465"/>
      <c r="C28" s="565"/>
      <c r="D28" s="527" t="s">
        <v>91</v>
      </c>
      <c r="E28" s="568" t="str">
        <f>IF(AND(E24&gt;0,E25&gt;0),"Sim","Não")</f>
        <v>Não</v>
      </c>
      <c r="F28" s="2703" t="str">
        <f>IF(E29&gt;100,"Máx. é 100 t/d. Rever Célula E25","")</f>
        <v/>
      </c>
      <c r="G28" s="572"/>
      <c r="H28" s="528" t="s">
        <v>80</v>
      </c>
      <c r="I28" s="776" t="s">
        <v>61</v>
      </c>
      <c r="J28" s="466"/>
      <c r="K28" s="559" t="s">
        <v>32</v>
      </c>
      <c r="L28" s="105">
        <f t="shared" si="1"/>
        <v>2.6907051282051282</v>
      </c>
      <c r="M28" s="106">
        <f>IF($E$28="Sim",J$13*'R-Avançado'!$H$11/100*$E$29/$N$13,0)</f>
        <v>0</v>
      </c>
      <c r="N28" s="106">
        <f>IF($E$32="Sim",J$13*'R-Avançado'!$G$11/100*$E$33/$N$13,0)</f>
        <v>0</v>
      </c>
      <c r="O28" s="562">
        <f>IF(AND($I$25&gt;0,$I$24="Sim"),$I$27/$N$15*J$15*'R-Avançado'!$F$11/100,0)</f>
        <v>2.6907051282051282</v>
      </c>
      <c r="P28" s="399"/>
      <c r="Q28" s="479"/>
      <c r="R28" s="479"/>
      <c r="S28" s="479"/>
      <c r="T28" s="479"/>
      <c r="U28" s="479"/>
      <c r="V28" s="479"/>
      <c r="W28" s="479"/>
      <c r="X28" s="479"/>
      <c r="Y28" s="479"/>
      <c r="Z28" s="479"/>
      <c r="AA28" s="2"/>
      <c r="AB28" s="6"/>
      <c r="AC28" s="6"/>
      <c r="AD28" s="6"/>
      <c r="AE28" s="6"/>
      <c r="AF28" s="6"/>
      <c r="AG28" s="2"/>
      <c r="AH28" s="2"/>
      <c r="AI28" s="2"/>
    </row>
    <row r="29" spans="1:35" ht="18" customHeight="1" x14ac:dyDescent="0.25">
      <c r="A29" s="504"/>
      <c r="B29" s="465"/>
      <c r="C29" s="566"/>
      <c r="D29" s="534" t="s">
        <v>81</v>
      </c>
      <c r="E29" s="90">
        <f>E24*E25/100</f>
        <v>0</v>
      </c>
      <c r="F29" s="2704"/>
      <c r="G29" s="572"/>
      <c r="H29" s="528" t="s">
        <v>82</v>
      </c>
      <c r="I29" s="776" t="s">
        <v>62</v>
      </c>
      <c r="J29" s="466"/>
      <c r="K29" s="559" t="s">
        <v>83</v>
      </c>
      <c r="L29" s="105">
        <f t="shared" si="1"/>
        <v>0.70192307692307698</v>
      </c>
      <c r="M29" s="106">
        <f>IF($E$28="Sim",K$13*'R-Avançado'!$H$11/100*$E$29/$N$13,0)</f>
        <v>0</v>
      </c>
      <c r="N29" s="106">
        <f>IF($E$32="Sim",K$13*'R-Avançado'!$G$11/100*$E$33/$N$13,0)</f>
        <v>0</v>
      </c>
      <c r="O29" s="562">
        <f>IF(AND($I$25&gt;0,$I$24="Sim"),$I$27/$N$15*K$15*'R-Avançado'!$F$11/100,0)</f>
        <v>0.70192307692307698</v>
      </c>
      <c r="P29" s="399"/>
      <c r="Q29" s="479"/>
      <c r="R29" s="479"/>
      <c r="S29" s="479"/>
      <c r="T29" s="479"/>
      <c r="U29" s="479"/>
      <c r="V29" s="479"/>
      <c r="W29" s="479"/>
      <c r="X29" s="479"/>
      <c r="Y29" s="479"/>
      <c r="Z29" s="479"/>
      <c r="AA29" s="2"/>
      <c r="AB29" s="6"/>
      <c r="AC29" s="6"/>
      <c r="AD29" s="6"/>
      <c r="AE29" s="6"/>
      <c r="AF29" s="6"/>
      <c r="AG29" s="2"/>
      <c r="AH29" s="2"/>
      <c r="AI29" s="2"/>
    </row>
    <row r="30" spans="1:35" ht="18" customHeight="1" x14ac:dyDescent="0.25">
      <c r="A30" s="504"/>
      <c r="B30" s="465"/>
      <c r="C30" s="567"/>
      <c r="D30" s="534" t="s">
        <v>80</v>
      </c>
      <c r="E30" s="787" t="s">
        <v>63</v>
      </c>
      <c r="F30" s="2704"/>
      <c r="G30" s="399"/>
      <c r="H30" s="399"/>
      <c r="I30" s="399"/>
      <c r="J30" s="536"/>
      <c r="K30" s="560" t="s">
        <v>464</v>
      </c>
      <c r="L30" s="107">
        <f>SUM(L24:L29)</f>
        <v>37.318910256410263</v>
      </c>
      <c r="M30" s="185">
        <f>SUM(M24:M29)</f>
        <v>0</v>
      </c>
      <c r="N30" s="185">
        <f>SUM(N24:N29)</f>
        <v>0</v>
      </c>
      <c r="O30" s="563">
        <f>SUM(O24:O29)</f>
        <v>37.318910256410263</v>
      </c>
      <c r="P30" s="399"/>
      <c r="Q30" s="479"/>
      <c r="R30" s="479"/>
      <c r="S30" s="479"/>
      <c r="T30" s="479"/>
      <c r="U30" s="479"/>
      <c r="V30" s="479"/>
      <c r="W30" s="479"/>
      <c r="X30" s="479"/>
      <c r="Y30" s="479"/>
      <c r="Z30" s="479"/>
      <c r="AA30" s="2"/>
      <c r="AB30" s="2"/>
      <c r="AC30" s="2"/>
      <c r="AD30" s="2"/>
      <c r="AE30" s="2"/>
      <c r="AF30" s="2"/>
      <c r="AG30" s="2"/>
      <c r="AH30" s="2"/>
      <c r="AI30" s="2"/>
    </row>
    <row r="31" spans="1:35" ht="17.649999999999999" customHeight="1" x14ac:dyDescent="0.25">
      <c r="A31" s="504"/>
      <c r="B31" s="78"/>
      <c r="C31" s="499"/>
      <c r="D31" s="500"/>
      <c r="E31" s="501"/>
      <c r="F31" s="526"/>
      <c r="G31" s="2684" t="s">
        <v>84</v>
      </c>
      <c r="H31" s="2685"/>
      <c r="I31" s="2686"/>
      <c r="J31" s="399"/>
      <c r="K31" s="399"/>
      <c r="L31" s="399"/>
      <c r="M31" s="399"/>
      <c r="N31" s="399"/>
      <c r="O31" s="399"/>
      <c r="P31" s="399"/>
      <c r="Q31" s="479"/>
      <c r="R31" s="479" t="s">
        <v>85</v>
      </c>
      <c r="S31" s="479"/>
      <c r="T31" s="479"/>
      <c r="U31" s="479"/>
      <c r="V31" s="479"/>
      <c r="W31" s="479"/>
      <c r="X31" s="479"/>
      <c r="Y31" s="479"/>
      <c r="Z31" s="479"/>
      <c r="AA31" s="2"/>
      <c r="AB31" s="2"/>
      <c r="AC31" s="2"/>
      <c r="AD31" s="2"/>
      <c r="AE31" s="2"/>
      <c r="AF31" s="2"/>
      <c r="AG31" s="2"/>
      <c r="AH31" s="2"/>
      <c r="AI31" s="2"/>
    </row>
    <row r="32" spans="1:35" ht="18" customHeight="1" x14ac:dyDescent="0.25">
      <c r="A32" s="504"/>
      <c r="B32" s="399"/>
      <c r="C32" s="565"/>
      <c r="D32" s="527" t="s">
        <v>92</v>
      </c>
      <c r="E32" s="568" t="str">
        <f>IF(AND(E24&gt;0,E26&gt;0),"Sim","Não")</f>
        <v>Não</v>
      </c>
      <c r="F32" s="2703" t="str">
        <f>IF(AND(E24&gt;0,E33&lt;50,E33&gt;0),"Mín. é 50 t/d. Rever Célula E25","")</f>
        <v/>
      </c>
      <c r="G32" s="565"/>
      <c r="H32" s="528" t="s">
        <v>91</v>
      </c>
      <c r="I32" s="660" t="s">
        <v>88</v>
      </c>
      <c r="J32" s="399"/>
      <c r="K32" s="217" t="s">
        <v>722</v>
      </c>
      <c r="L32" s="90">
        <f>O32+O33</f>
        <v>204.44679487179491</v>
      </c>
      <c r="M32" s="576"/>
      <c r="N32" s="804" t="s">
        <v>53</v>
      </c>
      <c r="O32" s="802">
        <f>IF(AND($I$25&gt;0,$I$24="Sim"),I27/N15*D15*'R-Avançado'!E11/100,0)</f>
        <v>192.51410256410259</v>
      </c>
      <c r="P32" s="399"/>
      <c r="Q32" s="479"/>
      <c r="R32" s="479" t="s">
        <v>89</v>
      </c>
      <c r="S32" s="479"/>
      <c r="T32" s="479"/>
      <c r="U32" s="479"/>
      <c r="V32" s="479"/>
      <c r="W32" s="479"/>
      <c r="X32" s="479"/>
      <c r="Y32" s="479"/>
      <c r="Z32" s="479"/>
      <c r="AA32" s="2"/>
      <c r="AB32" s="2"/>
      <c r="AC32" s="2"/>
      <c r="AD32" s="2"/>
      <c r="AE32" s="2"/>
      <c r="AF32" s="2"/>
      <c r="AG32" s="2"/>
      <c r="AH32" s="2"/>
      <c r="AI32" s="2"/>
    </row>
    <row r="33" spans="1:35" ht="18" customHeight="1" x14ac:dyDescent="0.25">
      <c r="A33" s="504"/>
      <c r="B33" s="399"/>
      <c r="C33" s="566"/>
      <c r="D33" s="500" t="s">
        <v>90</v>
      </c>
      <c r="E33" s="90">
        <f>E24*E26/100</f>
        <v>0</v>
      </c>
      <c r="F33" s="2704"/>
      <c r="G33" s="565"/>
      <c r="H33" s="528" t="s">
        <v>92</v>
      </c>
      <c r="I33" s="660" t="s">
        <v>88</v>
      </c>
      <c r="J33" s="399"/>
      <c r="K33" s="217" t="s">
        <v>723</v>
      </c>
      <c r="L33" s="90">
        <f>'R-Entrada'!E45</f>
        <v>0</v>
      </c>
      <c r="M33" s="577"/>
      <c r="N33" s="804" t="s">
        <v>54</v>
      </c>
      <c r="O33" s="802">
        <f>IF(AND($I$25&gt;0,$I$24="Sim"),I27/N15*E15*'R-Avançado'!E11/100,0)</f>
        <v>11.932692307692307</v>
      </c>
      <c r="P33" s="399"/>
      <c r="Q33" s="479"/>
      <c r="R33" s="479"/>
      <c r="S33" s="479"/>
      <c r="T33" s="479"/>
      <c r="U33" s="479"/>
      <c r="V33" s="479"/>
      <c r="W33" s="479"/>
      <c r="X33" s="479"/>
      <c r="Y33" s="479"/>
      <c r="Z33" s="479"/>
      <c r="AA33" s="2"/>
      <c r="AB33" s="2"/>
      <c r="AC33" s="2"/>
      <c r="AD33" s="2"/>
      <c r="AE33" s="2"/>
      <c r="AF33" s="2"/>
      <c r="AG33" s="2"/>
      <c r="AH33" s="2"/>
      <c r="AI33" s="2"/>
    </row>
    <row r="34" spans="1:35" ht="18" customHeight="1" x14ac:dyDescent="0.25">
      <c r="A34" s="504"/>
      <c r="B34" s="399"/>
      <c r="C34" s="567"/>
      <c r="D34" s="534" t="s">
        <v>80</v>
      </c>
      <c r="E34" s="787" t="s">
        <v>63</v>
      </c>
      <c r="F34" s="2704"/>
      <c r="G34" s="573"/>
      <c r="H34" s="528" t="s">
        <v>866</v>
      </c>
      <c r="I34" s="775" t="s">
        <v>88</v>
      </c>
      <c r="J34" s="399"/>
      <c r="K34" s="574" t="s">
        <v>728</v>
      </c>
      <c r="L34" s="90">
        <f>SUM(M34:O34)</f>
        <v>176.88461538461536</v>
      </c>
      <c r="M34" s="90">
        <f>IF(E28="Sim",E29*(1-'R-Avançado'!H11/100)*0.9,0)</f>
        <v>0</v>
      </c>
      <c r="N34" s="803">
        <f>IF(E32="Sim",E33*(1-'R-Avançado'!G11/100)*0.9,0)</f>
        <v>0</v>
      </c>
      <c r="O34" s="90">
        <f>D43+E43+F43+G43+H43+L43</f>
        <v>176.88461538461536</v>
      </c>
      <c r="P34" s="399"/>
      <c r="Q34" s="479"/>
      <c r="R34" s="479"/>
      <c r="S34" s="479"/>
      <c r="T34" s="479"/>
      <c r="U34" s="479"/>
      <c r="V34" s="479"/>
      <c r="W34" s="479"/>
      <c r="X34" s="479"/>
      <c r="Y34" s="479"/>
      <c r="Z34" s="479"/>
      <c r="AA34" s="2"/>
      <c r="AB34" s="2"/>
      <c r="AC34" s="2"/>
      <c r="AD34" s="2"/>
      <c r="AE34" s="2"/>
      <c r="AF34" s="2"/>
      <c r="AG34" s="2"/>
      <c r="AH34" s="2"/>
      <c r="AI34" s="2"/>
    </row>
    <row r="35" spans="1:35" ht="18" customHeight="1" x14ac:dyDescent="0.25">
      <c r="A35" s="504"/>
      <c r="B35" s="399"/>
      <c r="C35" s="483"/>
      <c r="D35" s="399"/>
      <c r="E35" s="399"/>
      <c r="F35" s="399"/>
      <c r="G35" s="573"/>
      <c r="H35" s="528" t="s">
        <v>867</v>
      </c>
      <c r="I35" s="775" t="s">
        <v>88</v>
      </c>
      <c r="J35" s="399"/>
      <c r="K35" s="574" t="s">
        <v>739</v>
      </c>
      <c r="L35" s="90">
        <f>SUM(M35:O35)</f>
        <v>49.298397435897456</v>
      </c>
      <c r="M35" s="90">
        <f>IF(E28="Sim",E29*(1-'R-Avançado'!H11/100)*0.1,0)</f>
        <v>0</v>
      </c>
      <c r="N35" s="90">
        <f>IF(E32="Sim",E33*(1-'R-Avançado'!G11/100)*0.1,0)</f>
        <v>0</v>
      </c>
      <c r="O35" s="90">
        <f>M43+K43+J43+I43</f>
        <v>49.298397435897456</v>
      </c>
      <c r="P35" s="399"/>
      <c r="Q35" s="479"/>
      <c r="R35" s="479"/>
      <c r="S35" s="479"/>
      <c r="T35" s="479"/>
      <c r="U35" s="479"/>
      <c r="V35" s="479"/>
      <c r="W35" s="479"/>
      <c r="X35" s="479"/>
      <c r="Y35" s="479"/>
      <c r="Z35" s="479"/>
      <c r="AA35" s="2"/>
      <c r="AB35" s="2"/>
      <c r="AC35" s="2"/>
      <c r="AD35" s="2"/>
      <c r="AE35" s="2"/>
      <c r="AF35" s="2"/>
      <c r="AG35" s="2"/>
      <c r="AH35" s="2"/>
      <c r="AI35" s="2"/>
    </row>
    <row r="36" spans="1:35" ht="19.149999999999999" customHeight="1" x14ac:dyDescent="0.25">
      <c r="A36" s="504"/>
      <c r="B36" s="399"/>
      <c r="C36" s="399"/>
      <c r="D36" s="399"/>
      <c r="E36" s="399"/>
      <c r="F36" s="399"/>
      <c r="G36" s="399"/>
      <c r="H36" s="399"/>
      <c r="I36" s="399"/>
      <c r="J36" s="399"/>
      <c r="K36" s="479"/>
      <c r="L36" s="483"/>
      <c r="M36" s="483"/>
      <c r="N36" s="483"/>
      <c r="O36" s="483"/>
      <c r="P36" s="399"/>
      <c r="Q36" s="479"/>
      <c r="R36" s="479"/>
      <c r="S36" s="479"/>
      <c r="T36" s="479"/>
      <c r="U36" s="479"/>
      <c r="V36" s="479"/>
      <c r="W36" s="479"/>
      <c r="X36" s="479"/>
      <c r="Y36" s="479"/>
      <c r="Z36" s="479"/>
      <c r="AA36" s="2"/>
      <c r="AB36" s="2"/>
      <c r="AC36" s="2"/>
      <c r="AD36" s="2"/>
      <c r="AE36" s="2"/>
      <c r="AF36" s="2"/>
      <c r="AG36" s="2"/>
      <c r="AH36" s="2"/>
      <c r="AI36" s="2"/>
    </row>
    <row r="37" spans="1:35" ht="4.1500000000000004" customHeight="1" x14ac:dyDescent="0.25">
      <c r="A37" s="504"/>
      <c r="B37" s="399"/>
      <c r="C37" s="483"/>
      <c r="D37" s="483"/>
      <c r="E37" s="399"/>
      <c r="F37" s="399"/>
      <c r="G37" s="399"/>
      <c r="H37" s="399"/>
      <c r="I37" s="399"/>
      <c r="J37" s="399"/>
      <c r="K37" s="479"/>
      <c r="L37" s="399"/>
      <c r="M37" s="399"/>
      <c r="N37" s="479"/>
      <c r="O37" s="399"/>
      <c r="P37" s="399"/>
      <c r="Q37" s="479"/>
      <c r="R37" s="479"/>
      <c r="S37" s="479"/>
      <c r="T37" s="479"/>
      <c r="U37" s="479"/>
      <c r="V37" s="479"/>
      <c r="W37" s="479"/>
      <c r="X37" s="479"/>
      <c r="Y37" s="479"/>
      <c r="Z37" s="479"/>
      <c r="AA37" s="2"/>
      <c r="AB37" s="2"/>
      <c r="AC37" s="2"/>
      <c r="AD37" s="2"/>
      <c r="AE37" s="2"/>
      <c r="AF37" s="2"/>
      <c r="AG37" s="2"/>
      <c r="AH37" s="2"/>
      <c r="AI37" s="2"/>
    </row>
    <row r="38" spans="1:35" ht="22.5" customHeight="1" x14ac:dyDescent="0.25">
      <c r="A38" s="504"/>
      <c r="B38" s="399"/>
      <c r="C38" s="466"/>
      <c r="D38" s="2664" t="s">
        <v>465</v>
      </c>
      <c r="E38" s="2665"/>
      <c r="F38" s="2665"/>
      <c r="G38" s="2665"/>
      <c r="H38" s="2665"/>
      <c r="I38" s="2665"/>
      <c r="J38" s="2665"/>
      <c r="K38" s="2665"/>
      <c r="L38" s="2665"/>
      <c r="M38" s="2665"/>
      <c r="N38" s="2665"/>
      <c r="O38" s="399"/>
      <c r="P38" s="399"/>
      <c r="Q38" s="479"/>
      <c r="R38" s="479"/>
      <c r="S38" s="479" t="s">
        <v>93</v>
      </c>
      <c r="T38" s="479"/>
      <c r="U38" s="479"/>
      <c r="V38" s="479"/>
      <c r="W38" s="479"/>
      <c r="X38" s="479"/>
      <c r="Y38" s="479"/>
      <c r="Z38" s="479"/>
      <c r="AA38" s="2"/>
      <c r="AB38" s="2"/>
      <c r="AC38" s="2"/>
      <c r="AD38" s="2"/>
      <c r="AE38" s="2"/>
      <c r="AF38" s="2"/>
      <c r="AG38" s="2"/>
      <c r="AH38" s="2"/>
      <c r="AI38" s="2"/>
    </row>
    <row r="39" spans="1:35" ht="17.649999999999999" customHeight="1" x14ac:dyDescent="0.25">
      <c r="A39" s="504"/>
      <c r="B39" s="399"/>
      <c r="C39" s="403"/>
      <c r="D39" s="2664" t="s">
        <v>25</v>
      </c>
      <c r="E39" s="2702"/>
      <c r="F39" s="2679" t="s">
        <v>49</v>
      </c>
      <c r="G39" s="2664" t="s">
        <v>426</v>
      </c>
      <c r="H39" s="2702"/>
      <c r="I39" s="2664" t="s">
        <v>50</v>
      </c>
      <c r="J39" s="2664" t="s">
        <v>51</v>
      </c>
      <c r="K39" s="2702"/>
      <c r="L39" s="2664" t="s">
        <v>428</v>
      </c>
      <c r="M39" s="2702"/>
      <c r="N39" s="2673" t="s">
        <v>52</v>
      </c>
      <c r="O39" s="399"/>
      <c r="P39" s="399"/>
      <c r="Q39" s="479"/>
      <c r="R39" s="479"/>
      <c r="S39" s="479" t="s">
        <v>61</v>
      </c>
      <c r="T39" s="479">
        <f>IF($E$30="CDR",M34,0)</f>
        <v>0</v>
      </c>
      <c r="U39" s="479"/>
      <c r="V39" s="479"/>
      <c r="W39" s="479"/>
      <c r="X39" s="479"/>
      <c r="Y39" s="479"/>
      <c r="Z39" s="479"/>
      <c r="AA39" s="2"/>
      <c r="AB39" s="2"/>
      <c r="AC39" s="2"/>
      <c r="AD39" s="2"/>
      <c r="AE39" s="2"/>
      <c r="AF39" s="2"/>
      <c r="AG39" s="2"/>
      <c r="AH39" s="2"/>
      <c r="AI39" s="2"/>
    </row>
    <row r="40" spans="1:35" ht="32.65" customHeight="1" x14ac:dyDescent="0.25">
      <c r="A40" s="504"/>
      <c r="B40" s="399"/>
      <c r="C40" s="403"/>
      <c r="D40" s="441" t="s">
        <v>53</v>
      </c>
      <c r="E40" s="441" t="s">
        <v>54</v>
      </c>
      <c r="F40" s="2705"/>
      <c r="G40" s="441" t="s">
        <v>55</v>
      </c>
      <c r="H40" s="441" t="s">
        <v>56</v>
      </c>
      <c r="I40" s="2702"/>
      <c r="J40" s="441" t="s">
        <v>57</v>
      </c>
      <c r="K40" s="441" t="s">
        <v>461</v>
      </c>
      <c r="L40" s="441" t="s">
        <v>429</v>
      </c>
      <c r="M40" s="442" t="s">
        <v>460</v>
      </c>
      <c r="N40" s="2702"/>
      <c r="O40" s="399"/>
      <c r="P40" s="399"/>
      <c r="Q40" s="479"/>
      <c r="R40" s="479" t="s">
        <v>94</v>
      </c>
      <c r="S40" s="479" t="s">
        <v>63</v>
      </c>
      <c r="T40" s="479">
        <f>IF($E$30="Incineração",M34+M35,0)</f>
        <v>0</v>
      </c>
      <c r="U40" s="479"/>
      <c r="V40" s="479"/>
      <c r="W40" s="479"/>
      <c r="X40" s="479"/>
      <c r="Y40" s="479"/>
      <c r="Z40" s="479"/>
      <c r="AA40" s="2"/>
      <c r="AB40" s="2"/>
      <c r="AC40" s="2"/>
      <c r="AD40" s="2"/>
      <c r="AE40" s="2"/>
      <c r="AF40" s="2"/>
      <c r="AG40" s="2"/>
      <c r="AH40" s="2"/>
      <c r="AI40" s="2"/>
    </row>
    <row r="41" spans="1:35" ht="18" hidden="1" customHeight="1" x14ac:dyDescent="0.25">
      <c r="A41" s="504"/>
      <c r="B41" s="399"/>
      <c r="C41" s="578" t="s">
        <v>726</v>
      </c>
      <c r="D41" s="112">
        <f t="shared" ref="D41:M41" si="2">IF(AND($I$25&gt;0,$I$24="Sim"),D15*$I$27/$N$15,0)</f>
        <v>226.4871794871795</v>
      </c>
      <c r="E41" s="112">
        <f t="shared" si="2"/>
        <v>14.038461538461538</v>
      </c>
      <c r="F41" s="112">
        <f t="shared" si="2"/>
        <v>61.301282051282051</v>
      </c>
      <c r="G41" s="112">
        <f t="shared" si="2"/>
        <v>41.647435897435898</v>
      </c>
      <c r="H41" s="112">
        <f t="shared" si="2"/>
        <v>21.525641025641026</v>
      </c>
      <c r="I41" s="112">
        <f t="shared" si="2"/>
        <v>11.230769230769232</v>
      </c>
      <c r="J41" s="112">
        <f t="shared" si="2"/>
        <v>10.762820512820513</v>
      </c>
      <c r="K41" s="112">
        <f t="shared" si="2"/>
        <v>2.8076923076923079</v>
      </c>
      <c r="L41" s="112">
        <f t="shared" si="2"/>
        <v>47.45</v>
      </c>
      <c r="M41" s="112">
        <f t="shared" si="2"/>
        <v>30.697435897435909</v>
      </c>
      <c r="N41" s="90">
        <f>SUM(D41:M41)</f>
        <v>467.94871794871801</v>
      </c>
      <c r="O41" s="399"/>
      <c r="P41" s="438"/>
      <c r="Q41" s="479"/>
      <c r="R41" s="479"/>
      <c r="S41" s="479" t="s">
        <v>61</v>
      </c>
      <c r="T41" s="479">
        <f>IF($E$34="CDR",N34,0)</f>
        <v>0</v>
      </c>
      <c r="U41" s="479"/>
      <c r="V41" s="479"/>
      <c r="W41" s="479"/>
      <c r="X41" s="479"/>
      <c r="Y41" s="479"/>
      <c r="Z41" s="479"/>
      <c r="AA41" s="2"/>
      <c r="AB41" s="2"/>
      <c r="AC41" s="2"/>
      <c r="AD41" s="2"/>
      <c r="AE41" s="2"/>
      <c r="AF41" s="2"/>
      <c r="AG41" s="2"/>
      <c r="AH41" s="2"/>
      <c r="AI41" s="2"/>
    </row>
    <row r="42" spans="1:35" ht="18" hidden="1" customHeight="1" x14ac:dyDescent="0.25">
      <c r="A42" s="504"/>
      <c r="B42" s="399"/>
      <c r="C42" s="579" t="s">
        <v>95</v>
      </c>
      <c r="D42" s="112">
        <f>O32</f>
        <v>192.51410256410259</v>
      </c>
      <c r="E42" s="112">
        <f>O33</f>
        <v>11.932692307692307</v>
      </c>
      <c r="F42" s="112">
        <f>O24</f>
        <v>15.325320512820513</v>
      </c>
      <c r="G42" s="112">
        <f>O25</f>
        <v>10.411858974358974</v>
      </c>
      <c r="H42" s="112">
        <f>O26</f>
        <v>5.3814102564102564</v>
      </c>
      <c r="I42" s="112">
        <f>O27</f>
        <v>2.8076923076923079</v>
      </c>
      <c r="J42" s="112">
        <f>O28</f>
        <v>2.6907051282051282</v>
      </c>
      <c r="K42" s="112">
        <f>O29</f>
        <v>0.70192307692307698</v>
      </c>
      <c r="L42" s="112">
        <v>0</v>
      </c>
      <c r="M42" s="112">
        <v>0</v>
      </c>
      <c r="N42" s="90">
        <f>SUM(D42:M42)</f>
        <v>241.76570512820518</v>
      </c>
      <c r="O42" s="399"/>
      <c r="P42" s="438"/>
      <c r="Q42" s="479"/>
      <c r="R42" s="479" t="s">
        <v>96</v>
      </c>
      <c r="S42" s="479" t="s">
        <v>63</v>
      </c>
      <c r="T42" s="479">
        <f>IF($E$34="Incineração",N34+N35,0)</f>
        <v>0</v>
      </c>
      <c r="U42" s="479"/>
      <c r="V42" s="479"/>
      <c r="W42" s="479"/>
      <c r="X42" s="479"/>
      <c r="Y42" s="479"/>
      <c r="Z42" s="479"/>
      <c r="AA42" s="2"/>
      <c r="AB42" s="2"/>
      <c r="AC42" s="2"/>
      <c r="AD42" s="2"/>
      <c r="AE42" s="2"/>
      <c r="AF42" s="2"/>
      <c r="AG42" s="2"/>
      <c r="AH42" s="2"/>
      <c r="AI42" s="2"/>
    </row>
    <row r="43" spans="1:35" ht="18" customHeight="1" x14ac:dyDescent="0.25">
      <c r="A43" s="504"/>
      <c r="B43" s="399"/>
      <c r="C43" s="579" t="s">
        <v>727</v>
      </c>
      <c r="D43" s="113">
        <f t="shared" ref="D43:M43" si="3">D41-D42</f>
        <v>33.973076923076917</v>
      </c>
      <c r="E43" s="113">
        <f t="shared" si="3"/>
        <v>2.1057692307692317</v>
      </c>
      <c r="F43" s="113">
        <f t="shared" si="3"/>
        <v>45.97596153846154</v>
      </c>
      <c r="G43" s="113">
        <f t="shared" si="3"/>
        <v>31.235576923076923</v>
      </c>
      <c r="H43" s="113">
        <f t="shared" si="3"/>
        <v>16.14423076923077</v>
      </c>
      <c r="I43" s="113">
        <f t="shared" si="3"/>
        <v>8.4230769230769234</v>
      </c>
      <c r="J43" s="113">
        <f t="shared" si="3"/>
        <v>8.072115384615385</v>
      </c>
      <c r="K43" s="113">
        <f t="shared" si="3"/>
        <v>2.1057692307692308</v>
      </c>
      <c r="L43" s="113">
        <f t="shared" si="3"/>
        <v>47.45</v>
      </c>
      <c r="M43" s="113">
        <f t="shared" si="3"/>
        <v>30.697435897435909</v>
      </c>
      <c r="N43" s="90">
        <f>SUM(D43:M43)</f>
        <v>226.18301282051283</v>
      </c>
      <c r="O43" s="483"/>
      <c r="P43" s="438"/>
      <c r="Q43" s="479"/>
      <c r="R43" s="479"/>
      <c r="S43" s="479" t="s">
        <v>61</v>
      </c>
      <c r="T43" s="479">
        <f>IF($I$28="CDR",O34,0)</f>
        <v>176.88461538461536</v>
      </c>
      <c r="U43" s="479" t="s">
        <v>52</v>
      </c>
      <c r="V43" s="479"/>
      <c r="W43" s="479"/>
      <c r="X43" s="479"/>
      <c r="Y43" s="479"/>
      <c r="Z43" s="479"/>
      <c r="AA43" s="2"/>
      <c r="AB43" s="2"/>
      <c r="AC43" s="2"/>
      <c r="AD43" s="2"/>
      <c r="AE43" s="2"/>
      <c r="AF43" s="2"/>
      <c r="AG43" s="2"/>
      <c r="AH43" s="2"/>
      <c r="AI43" s="2"/>
    </row>
    <row r="44" spans="1:35" ht="18" customHeight="1" x14ac:dyDescent="0.25">
      <c r="A44" s="504"/>
      <c r="B44" s="399"/>
      <c r="C44" s="579" t="s">
        <v>97</v>
      </c>
      <c r="D44" s="90">
        <f t="shared" ref="D44:M44" si="4">D15-D41</f>
        <v>0</v>
      </c>
      <c r="E44" s="90">
        <f t="shared" si="4"/>
        <v>0</v>
      </c>
      <c r="F44" s="90">
        <f t="shared" si="4"/>
        <v>0</v>
      </c>
      <c r="G44" s="90">
        <f t="shared" si="4"/>
        <v>0</v>
      </c>
      <c r="H44" s="90">
        <f t="shared" si="4"/>
        <v>0</v>
      </c>
      <c r="I44" s="90">
        <f t="shared" si="4"/>
        <v>0</v>
      </c>
      <c r="J44" s="90">
        <f t="shared" si="4"/>
        <v>0</v>
      </c>
      <c r="K44" s="90">
        <f t="shared" si="4"/>
        <v>0</v>
      </c>
      <c r="L44" s="90">
        <f t="shared" si="4"/>
        <v>0</v>
      </c>
      <c r="M44" s="90">
        <f t="shared" si="4"/>
        <v>0</v>
      </c>
      <c r="N44" s="90">
        <f>SUM(D44:M44)</f>
        <v>0</v>
      </c>
      <c r="O44" s="483"/>
      <c r="P44" s="438"/>
      <c r="Q44" s="479"/>
      <c r="R44" s="479" t="s">
        <v>98</v>
      </c>
      <c r="S44" s="479" t="s">
        <v>63</v>
      </c>
      <c r="T44" s="479">
        <f>IF($I$28="Incineração",O34+O35,0)</f>
        <v>0</v>
      </c>
      <c r="U44" s="479"/>
      <c r="V44" s="479"/>
      <c r="W44" s="479"/>
      <c r="X44" s="479"/>
      <c r="Y44" s="479"/>
      <c r="Z44" s="479"/>
      <c r="AA44" s="2"/>
      <c r="AB44" s="2"/>
      <c r="AC44" s="2"/>
      <c r="AD44" s="2"/>
      <c r="AE44" s="2"/>
      <c r="AF44" s="2"/>
      <c r="AG44" s="2"/>
      <c r="AH44" s="2"/>
      <c r="AI44" s="2"/>
    </row>
    <row r="45" spans="1:35" ht="18" customHeight="1" x14ac:dyDescent="0.25">
      <c r="A45" s="504"/>
      <c r="B45" s="399"/>
      <c r="C45" s="479"/>
      <c r="D45" s="438"/>
      <c r="E45" s="438"/>
      <c r="F45" s="438"/>
      <c r="G45" s="438"/>
      <c r="H45" s="438"/>
      <c r="I45" s="438"/>
      <c r="J45" s="438"/>
      <c r="K45" s="438"/>
      <c r="L45" s="438"/>
      <c r="M45" s="438"/>
      <c r="N45" s="438"/>
      <c r="O45" s="438"/>
      <c r="P45" s="438"/>
      <c r="Q45" s="479"/>
      <c r="R45" s="479"/>
      <c r="S45" s="479"/>
      <c r="T45" s="479"/>
      <c r="U45" s="479"/>
      <c r="V45" s="479"/>
      <c r="W45" s="479"/>
      <c r="X45" s="479"/>
      <c r="Y45" s="479"/>
      <c r="Z45" s="479"/>
      <c r="AA45" s="2"/>
      <c r="AB45" s="2"/>
      <c r="AC45" s="2"/>
      <c r="AD45" s="2"/>
      <c r="AE45" s="2"/>
      <c r="AF45" s="2"/>
      <c r="AG45" s="2"/>
      <c r="AH45" s="2"/>
      <c r="AI45" s="2"/>
    </row>
    <row r="46" spans="1:35" ht="4.1500000000000004" customHeight="1" x14ac:dyDescent="0.25">
      <c r="A46" s="508"/>
      <c r="B46" s="399"/>
      <c r="C46" s="399"/>
      <c r="D46" s="438"/>
      <c r="E46" s="438"/>
      <c r="F46" s="438"/>
      <c r="G46" s="438"/>
      <c r="H46" s="438"/>
      <c r="I46" s="438"/>
      <c r="J46" s="399"/>
      <c r="K46" s="399"/>
      <c r="L46" s="399"/>
      <c r="M46" s="399"/>
      <c r="N46" s="438"/>
      <c r="O46" s="438"/>
      <c r="P46" s="438"/>
      <c r="Q46" s="479"/>
      <c r="R46" s="479"/>
      <c r="S46" s="479"/>
      <c r="T46" s="479"/>
      <c r="U46" s="479"/>
      <c r="V46" s="479"/>
      <c r="W46" s="479"/>
      <c r="X46" s="479"/>
      <c r="Y46" s="479"/>
      <c r="Z46" s="479"/>
      <c r="AA46" s="2"/>
      <c r="AB46" s="2"/>
      <c r="AC46" s="2"/>
      <c r="AD46" s="2"/>
      <c r="AE46" s="2"/>
      <c r="AF46" s="2"/>
      <c r="AG46" s="2"/>
      <c r="AH46" s="2"/>
      <c r="AI46" s="2"/>
    </row>
    <row r="47" spans="1:35" ht="18" customHeight="1" x14ac:dyDescent="0.25">
      <c r="A47" s="505"/>
      <c r="B47" s="601"/>
      <c r="C47" s="633" t="s">
        <v>99</v>
      </c>
      <c r="D47" s="634"/>
      <c r="E47" s="638"/>
      <c r="F47" s="399"/>
      <c r="G47" s="399"/>
      <c r="H47" s="399"/>
      <c r="I47" s="399"/>
      <c r="J47" s="399"/>
      <c r="K47" s="399"/>
      <c r="L47" s="399"/>
      <c r="M47" s="399"/>
      <c r="N47" s="399"/>
      <c r="O47" s="399"/>
      <c r="P47" s="399"/>
      <c r="Q47" s="479"/>
      <c r="R47" s="479"/>
      <c r="S47" s="479"/>
      <c r="T47" s="479"/>
      <c r="U47" s="479"/>
      <c r="V47" s="479"/>
      <c r="W47" s="479"/>
      <c r="X47" s="479"/>
      <c r="Y47" s="479"/>
      <c r="Z47" s="479"/>
      <c r="AA47" s="2"/>
      <c r="AB47" s="2"/>
      <c r="AC47" s="2"/>
      <c r="AD47" s="2"/>
      <c r="AE47" s="2"/>
      <c r="AF47" s="2"/>
      <c r="AG47" s="2"/>
      <c r="AH47" s="2"/>
      <c r="AI47" s="2"/>
    </row>
    <row r="48" spans="1:35" ht="18" customHeight="1" x14ac:dyDescent="0.25">
      <c r="A48" s="508"/>
      <c r="B48" s="399"/>
      <c r="C48" s="182" t="s">
        <v>100</v>
      </c>
      <c r="D48" s="117"/>
      <c r="E48" s="114"/>
      <c r="F48" s="399"/>
      <c r="G48" s="399"/>
      <c r="H48" s="399"/>
      <c r="I48" s="399"/>
      <c r="J48" s="399"/>
      <c r="K48" s="399"/>
      <c r="L48" s="399"/>
      <c r="M48" s="399"/>
      <c r="N48" s="182" t="s">
        <v>101</v>
      </c>
      <c r="O48" s="114"/>
      <c r="P48" s="399"/>
      <c r="Q48" s="479"/>
      <c r="R48" s="479"/>
      <c r="S48" s="479"/>
      <c r="T48" s="479"/>
      <c r="U48" s="479"/>
      <c r="V48" s="479"/>
      <c r="W48" s="479"/>
      <c r="X48" s="479"/>
      <c r="Y48" s="479"/>
      <c r="Z48" s="479"/>
      <c r="AA48" s="2"/>
      <c r="AB48" s="2"/>
      <c r="AC48" s="2"/>
      <c r="AD48" s="2"/>
      <c r="AE48" s="2"/>
      <c r="AF48" s="2"/>
      <c r="AG48" s="2"/>
      <c r="AH48" s="2"/>
      <c r="AI48" s="2"/>
    </row>
    <row r="49" spans="1:35" ht="18" customHeight="1" x14ac:dyDescent="0.25">
      <c r="A49" s="508"/>
      <c r="B49" s="399"/>
      <c r="C49" s="84"/>
      <c r="D49" s="109" t="s">
        <v>466</v>
      </c>
      <c r="E49" s="113">
        <f>IF(E30="CDR",M34,0)</f>
        <v>0</v>
      </c>
      <c r="F49" s="399"/>
      <c r="G49" s="84"/>
      <c r="H49" s="109" t="s">
        <v>71</v>
      </c>
      <c r="I49" s="90">
        <f>SUM(E49:E52)</f>
        <v>381.33141025641027</v>
      </c>
      <c r="J49" s="399"/>
      <c r="K49" s="109" t="s">
        <v>102</v>
      </c>
      <c r="L49" s="791">
        <v>0</v>
      </c>
      <c r="M49" s="399"/>
      <c r="N49" s="109" t="s">
        <v>103</v>
      </c>
      <c r="O49" s="785">
        <f>(I49-O53-O55)*L49/100</f>
        <v>0</v>
      </c>
      <c r="P49" s="399"/>
      <c r="Q49" s="479"/>
      <c r="R49" s="479"/>
      <c r="S49" s="479"/>
      <c r="T49" s="479"/>
      <c r="U49" s="479"/>
      <c r="V49" s="479"/>
      <c r="W49" s="479"/>
      <c r="X49" s="479"/>
      <c r="Y49" s="479"/>
      <c r="Z49" s="479"/>
      <c r="AA49" s="2"/>
      <c r="AB49" s="2"/>
      <c r="AC49" s="2"/>
      <c r="AD49" s="2"/>
      <c r="AE49" s="2"/>
      <c r="AF49" s="2"/>
      <c r="AG49" s="2"/>
      <c r="AH49" s="2"/>
      <c r="AI49" s="2"/>
    </row>
    <row r="50" spans="1:35" ht="18" customHeight="1" x14ac:dyDescent="0.25">
      <c r="A50" s="508"/>
      <c r="B50" s="399"/>
      <c r="C50" s="84"/>
      <c r="D50" s="109" t="s">
        <v>467</v>
      </c>
      <c r="E50" s="113">
        <f>IF(E34="CDR",N34,0)</f>
        <v>0</v>
      </c>
      <c r="F50" s="399"/>
      <c r="G50" s="499"/>
      <c r="H50" s="499"/>
      <c r="I50" s="783"/>
      <c r="J50" s="399"/>
      <c r="K50" s="109" t="s">
        <v>104</v>
      </c>
      <c r="L50" s="784">
        <f>100-L49</f>
        <v>100</v>
      </c>
      <c r="M50" s="399"/>
      <c r="N50" s="109" t="s">
        <v>105</v>
      </c>
      <c r="O50" s="785">
        <f>(I49-O53-O55)*L50/100</f>
        <v>162.06584935897433</v>
      </c>
      <c r="P50" s="399"/>
      <c r="Q50" s="479"/>
      <c r="R50" s="479"/>
      <c r="S50" s="479"/>
      <c r="T50" s="479"/>
      <c r="U50" s="479"/>
      <c r="V50" s="479"/>
      <c r="W50" s="479"/>
      <c r="X50" s="479"/>
      <c r="Y50" s="479"/>
      <c r="Z50" s="479"/>
      <c r="AA50" s="2"/>
      <c r="AB50" s="2"/>
      <c r="AC50" s="2"/>
      <c r="AD50" s="2"/>
      <c r="AE50" s="2"/>
      <c r="AF50" s="2"/>
      <c r="AG50" s="2"/>
      <c r="AH50" s="2"/>
      <c r="AI50" s="2"/>
    </row>
    <row r="51" spans="1:35" ht="18" customHeight="1" x14ac:dyDescent="0.25">
      <c r="A51" s="508"/>
      <c r="B51" s="399"/>
      <c r="C51" s="84"/>
      <c r="D51" s="109" t="s">
        <v>468</v>
      </c>
      <c r="E51" s="113">
        <f>IF(I28="CDR",O34,0)</f>
        <v>176.88461538461536</v>
      </c>
      <c r="F51" s="399"/>
      <c r="G51" s="84"/>
      <c r="H51" s="109" t="s">
        <v>471</v>
      </c>
      <c r="I51" s="90">
        <f>IF(E52=0,I49,0)</f>
        <v>0</v>
      </c>
      <c r="J51" s="801" t="str">
        <f>IF(AND(I51&gt;0,I51&lt;50),"Massa mín. é 50 t/d. Rever destino dos rejeitos das triagens","")</f>
        <v/>
      </c>
      <c r="K51" s="399"/>
      <c r="L51" s="399"/>
      <c r="M51" s="399"/>
      <c r="N51" s="399"/>
      <c r="O51" s="399"/>
      <c r="P51" s="399"/>
      <c r="Q51" s="479"/>
      <c r="R51" s="479"/>
      <c r="S51" s="479"/>
      <c r="T51" s="479"/>
      <c r="U51" s="479"/>
      <c r="V51" s="479"/>
      <c r="W51" s="479"/>
      <c r="X51" s="479"/>
      <c r="Y51" s="479"/>
      <c r="Z51" s="479"/>
      <c r="AA51" s="2"/>
      <c r="AB51" s="2"/>
      <c r="AC51" s="2"/>
      <c r="AD51" s="2"/>
      <c r="AE51" s="2"/>
      <c r="AF51" s="2"/>
      <c r="AG51" s="2"/>
      <c r="AH51" s="2"/>
      <c r="AI51" s="2"/>
    </row>
    <row r="52" spans="1:35" ht="18" customHeight="1" x14ac:dyDescent="0.25">
      <c r="A52" s="508"/>
      <c r="B52" s="399"/>
      <c r="C52" s="84"/>
      <c r="D52" s="109" t="s">
        <v>469</v>
      </c>
      <c r="E52" s="113">
        <f>IF(I29="Biosecagem CDR",L32,0)</f>
        <v>204.44679487179491</v>
      </c>
      <c r="F52" s="399"/>
      <c r="G52" s="84"/>
      <c r="H52" s="109" t="s">
        <v>472</v>
      </c>
      <c r="I52" s="90">
        <f>IF(E52&gt;0,I49,0)</f>
        <v>381.33141025641027</v>
      </c>
      <c r="J52" s="801" t="str">
        <f>IF(AND(I52&gt;0,I52&lt;250),"Massa mín. é 250 t/d","")</f>
        <v/>
      </c>
      <c r="K52" s="399"/>
      <c r="L52" s="480" t="str">
        <f>IF(AND(I51&gt;0,I51&lt;50),"em E30, E34 e I28","")</f>
        <v/>
      </c>
      <c r="M52" s="580"/>
      <c r="N52" s="114" t="s">
        <v>470</v>
      </c>
      <c r="O52" s="183"/>
      <c r="P52" s="399"/>
      <c r="Q52" s="479"/>
      <c r="R52" s="479"/>
      <c r="S52" s="479"/>
      <c r="T52" s="479"/>
      <c r="U52" s="479"/>
      <c r="V52" s="479"/>
      <c r="W52" s="479"/>
      <c r="X52" s="479"/>
      <c r="Y52" s="479"/>
      <c r="Z52" s="479"/>
      <c r="AA52" s="2"/>
      <c r="AB52" s="2"/>
      <c r="AC52" s="2"/>
      <c r="AD52" s="2"/>
      <c r="AE52" s="2"/>
      <c r="AF52" s="2"/>
      <c r="AG52" s="2"/>
      <c r="AH52" s="2"/>
      <c r="AI52" s="2"/>
    </row>
    <row r="53" spans="1:35" ht="18" customHeight="1" x14ac:dyDescent="0.25">
      <c r="A53" s="504"/>
      <c r="B53" s="399"/>
      <c r="C53" s="399"/>
      <c r="D53" s="479"/>
      <c r="E53" s="399"/>
      <c r="F53" s="399"/>
      <c r="G53" s="399"/>
      <c r="H53" s="399"/>
      <c r="I53" s="399"/>
      <c r="J53" s="801" t="str">
        <f>IF(AND(I52&gt;0,I52&lt;250),"Alterar I29 para 'Tratat. Biológico'","")</f>
        <v/>
      </c>
      <c r="K53" s="399"/>
      <c r="L53" s="399"/>
      <c r="M53" s="581"/>
      <c r="N53" s="449" t="s">
        <v>106</v>
      </c>
      <c r="O53" s="785">
        <f>I52*'R-Avançado'!M12/100+I51*'R-Avançado'!M11/100</f>
        <v>114.39942307692309</v>
      </c>
      <c r="P53" s="399"/>
      <c r="Q53" s="479"/>
      <c r="R53" s="479"/>
      <c r="S53" s="479"/>
      <c r="T53" s="479"/>
      <c r="U53" s="479"/>
      <c r="V53" s="479"/>
      <c r="W53" s="479"/>
      <c r="X53" s="479"/>
      <c r="Y53" s="479"/>
      <c r="Z53" s="479"/>
      <c r="AA53" s="2"/>
      <c r="AB53" s="2"/>
      <c r="AC53" s="2"/>
      <c r="AD53" s="2"/>
      <c r="AE53" s="2"/>
      <c r="AF53" s="2"/>
      <c r="AG53" s="2"/>
      <c r="AH53" s="2"/>
      <c r="AI53" s="2"/>
    </row>
    <row r="54" spans="1:35" ht="18" customHeight="1" x14ac:dyDescent="0.25">
      <c r="A54" s="504"/>
      <c r="B54" s="399"/>
      <c r="C54" s="399"/>
      <c r="D54" s="479"/>
      <c r="E54" s="399"/>
      <c r="F54" s="399"/>
      <c r="G54" s="399"/>
      <c r="H54" s="399"/>
      <c r="I54" s="399"/>
      <c r="J54" s="801" t="str">
        <f>IF(AND(I52&gt;0,I52&lt;250),"ou aumentar massa triada em I26","")</f>
        <v/>
      </c>
      <c r="K54" s="399"/>
      <c r="L54" s="399"/>
      <c r="M54" s="399"/>
      <c r="N54" s="399"/>
      <c r="O54" s="398"/>
      <c r="P54" s="399"/>
      <c r="Q54" s="479"/>
      <c r="R54" s="479"/>
      <c r="S54" s="479"/>
      <c r="T54" s="479"/>
      <c r="U54" s="479"/>
      <c r="V54" s="479"/>
      <c r="W54" s="479"/>
      <c r="X54" s="479"/>
      <c r="Y54" s="479"/>
      <c r="Z54" s="479"/>
      <c r="AA54" s="2"/>
      <c r="AB54" s="2"/>
      <c r="AC54" s="2"/>
      <c r="AD54" s="2"/>
      <c r="AE54" s="2"/>
      <c r="AF54" s="2"/>
      <c r="AG54" s="2"/>
      <c r="AH54" s="2"/>
      <c r="AI54" s="2"/>
    </row>
    <row r="55" spans="1:35" ht="18" customHeight="1" x14ac:dyDescent="0.25">
      <c r="A55" s="504"/>
      <c r="B55" s="399"/>
      <c r="C55" s="399"/>
      <c r="D55" s="479"/>
      <c r="E55" s="399"/>
      <c r="F55" s="399"/>
      <c r="G55" s="399"/>
      <c r="H55" s="399"/>
      <c r="I55" s="399"/>
      <c r="J55" s="801" t="str">
        <f>IF(AND(I52&gt;0,I52&lt;250),"ou rever destino dos rejeitos em E30 e E34","")</f>
        <v/>
      </c>
      <c r="K55" s="399"/>
      <c r="L55" s="399"/>
      <c r="M55" s="122"/>
      <c r="N55" s="449" t="s">
        <v>749</v>
      </c>
      <c r="O55" s="627">
        <f>I52*'R-Avançado'!L12/100+I51*'R-Avançado'!L11/100</f>
        <v>104.86613782051283</v>
      </c>
      <c r="P55" s="399"/>
      <c r="Q55" s="479"/>
      <c r="R55" s="479"/>
      <c r="S55" s="479"/>
      <c r="T55" s="479"/>
      <c r="U55" s="479"/>
      <c r="V55" s="479"/>
      <c r="W55" s="479"/>
      <c r="X55" s="479"/>
      <c r="Y55" s="479"/>
      <c r="Z55" s="479"/>
      <c r="AA55" s="2"/>
      <c r="AB55" s="2"/>
      <c r="AC55" s="2"/>
      <c r="AD55" s="2"/>
      <c r="AE55" s="2"/>
      <c r="AF55" s="2"/>
      <c r="AG55" s="2"/>
      <c r="AH55" s="2"/>
      <c r="AI55" s="2"/>
    </row>
    <row r="56" spans="1:35" ht="6" customHeight="1" x14ac:dyDescent="0.25">
      <c r="A56" s="504"/>
      <c r="B56" s="399"/>
      <c r="C56" s="399"/>
      <c r="D56" s="479"/>
      <c r="E56" s="399"/>
      <c r="F56" s="399"/>
      <c r="G56" s="399"/>
      <c r="H56" s="399"/>
      <c r="I56" s="399"/>
      <c r="J56" s="399"/>
      <c r="K56" s="399"/>
      <c r="L56" s="399"/>
      <c r="M56" s="399"/>
      <c r="N56" s="399"/>
      <c r="O56" s="399"/>
      <c r="P56" s="399"/>
      <c r="Q56" s="479"/>
      <c r="R56" s="479"/>
      <c r="S56" s="479"/>
      <c r="T56" s="479"/>
      <c r="U56" s="479"/>
      <c r="V56" s="479"/>
      <c r="W56" s="479"/>
      <c r="X56" s="479"/>
      <c r="Y56" s="479"/>
      <c r="Z56" s="479"/>
      <c r="AA56" s="2"/>
      <c r="AB56" s="2"/>
      <c r="AC56" s="2"/>
      <c r="AD56" s="2"/>
      <c r="AE56" s="2"/>
      <c r="AF56" s="2"/>
      <c r="AG56" s="2"/>
      <c r="AH56" s="2"/>
      <c r="AI56" s="2"/>
    </row>
    <row r="57" spans="1:35" ht="18.399999999999999" customHeight="1" x14ac:dyDescent="0.25">
      <c r="A57" s="505"/>
      <c r="B57" s="605"/>
      <c r="C57" s="633" t="s">
        <v>187</v>
      </c>
      <c r="D57" s="634"/>
      <c r="E57" s="634"/>
      <c r="F57" s="635"/>
      <c r="G57" s="399"/>
      <c r="H57" s="399"/>
      <c r="I57" s="399"/>
      <c r="J57" s="399"/>
      <c r="K57" s="399"/>
      <c r="L57" s="399"/>
      <c r="M57" s="399"/>
      <c r="N57" s="399"/>
      <c r="O57" s="399"/>
      <c r="P57" s="399"/>
      <c r="Q57" s="479"/>
      <c r="R57" s="479"/>
      <c r="S57" s="479"/>
      <c r="T57" s="479"/>
      <c r="U57" s="479"/>
      <c r="V57" s="479"/>
      <c r="W57" s="479"/>
      <c r="X57" s="479"/>
      <c r="Y57" s="479"/>
      <c r="Z57" s="479"/>
      <c r="AA57" s="2"/>
      <c r="AB57" s="2"/>
      <c r="AC57" s="2"/>
      <c r="AD57" s="2"/>
      <c r="AE57" s="2"/>
      <c r="AF57" s="2"/>
      <c r="AG57" s="2"/>
      <c r="AH57" s="2"/>
      <c r="AI57" s="2"/>
    </row>
    <row r="58" spans="1:35" ht="18" customHeight="1" x14ac:dyDescent="0.25">
      <c r="A58" s="504"/>
      <c r="B58" s="466"/>
      <c r="C58" s="636"/>
      <c r="D58" s="109" t="s">
        <v>107</v>
      </c>
      <c r="E58" s="113">
        <f>L33</f>
        <v>0</v>
      </c>
      <c r="F58" s="322" t="str">
        <f>IF(E58&gt;0,E58/E60, " ")</f>
        <v xml:space="preserve"> </v>
      </c>
      <c r="G58" s="399"/>
      <c r="H58" s="585"/>
      <c r="I58" s="585"/>
      <c r="J58" s="586"/>
      <c r="K58" s="586"/>
      <c r="L58" s="586"/>
      <c r="M58" s="587" t="s">
        <v>108</v>
      </c>
      <c r="N58" s="588"/>
      <c r="O58" s="586"/>
      <c r="P58" s="399"/>
      <c r="Q58" s="479"/>
      <c r="R58" s="479"/>
      <c r="S58" s="479"/>
      <c r="T58" s="479"/>
      <c r="U58" s="479"/>
      <c r="V58" s="479"/>
      <c r="W58" s="479"/>
      <c r="X58" s="479"/>
      <c r="Y58" s="479"/>
      <c r="Z58" s="479"/>
      <c r="AA58" s="2"/>
      <c r="AB58" s="2"/>
      <c r="AC58" s="2"/>
      <c r="AD58" s="2"/>
      <c r="AE58" s="2"/>
      <c r="AF58" s="2"/>
      <c r="AG58" s="2"/>
      <c r="AH58" s="2"/>
      <c r="AI58" s="2"/>
    </row>
    <row r="59" spans="1:35" ht="18" customHeight="1" thickBot="1" x14ac:dyDescent="0.3">
      <c r="A59" s="509"/>
      <c r="B59" s="403"/>
      <c r="C59" s="636"/>
      <c r="D59" s="109" t="s">
        <v>473</v>
      </c>
      <c r="E59" s="113">
        <f>IF(AND(I29&lt;&gt;"Biosecagem CDR",I29&lt;&gt;"Aterro sanitário",I29&lt;&gt;"Incineração"),L32,0)</f>
        <v>0</v>
      </c>
      <c r="F59" s="322" t="str">
        <f>IF(E59&gt;0,E59/E60,"")</f>
        <v/>
      </c>
      <c r="G59" s="398"/>
      <c r="H59" s="122"/>
      <c r="I59" s="109" t="s">
        <v>109</v>
      </c>
      <c r="J59" s="121">
        <v>0</v>
      </c>
      <c r="K59" s="583" t="str">
        <f>IF(J59&lt;&gt;0,"&gt;&gt;&gt;&gt;","")</f>
        <v/>
      </c>
      <c r="L59" s="584" t="str">
        <f>IF(J59&gt;0,J59/100*E60,"")</f>
        <v/>
      </c>
      <c r="M59" s="575" t="str">
        <f>IF(J59&gt;0,"t/d","")</f>
        <v/>
      </c>
      <c r="N59" s="1378" t="str">
        <f>IF(AND(L59&gt;0,L59&lt;50),"Capacidade mín. é de 50 t/d","")</f>
        <v/>
      </c>
      <c r="O59" s="403"/>
      <c r="P59" s="399"/>
      <c r="Q59" s="479"/>
      <c r="R59" s="479"/>
      <c r="S59" s="479"/>
      <c r="T59" s="479"/>
      <c r="U59" s="479"/>
      <c r="V59" s="479"/>
      <c r="W59" s="479"/>
      <c r="X59" s="479"/>
      <c r="Y59" s="479"/>
      <c r="Z59" s="479"/>
      <c r="AA59" s="2"/>
      <c r="AB59" s="2"/>
      <c r="AC59" s="2"/>
      <c r="AD59" s="2"/>
      <c r="AE59" s="2"/>
      <c r="AF59" s="2"/>
      <c r="AG59" s="2"/>
      <c r="AH59" s="2"/>
      <c r="AI59" s="2"/>
    </row>
    <row r="60" spans="1:35" ht="18" customHeight="1" thickBot="1" x14ac:dyDescent="0.3">
      <c r="A60" s="509"/>
      <c r="B60" s="403"/>
      <c r="C60" s="636"/>
      <c r="D60" s="109" t="s">
        <v>110</v>
      </c>
      <c r="E60" s="113">
        <f>SUM(E58:E59)</f>
        <v>0</v>
      </c>
      <c r="F60" s="324" t="str">
        <f>IF(E60&gt;0,E60/E60,"")</f>
        <v/>
      </c>
      <c r="G60" s="398"/>
      <c r="H60" s="122"/>
      <c r="I60" s="109" t="s">
        <v>111</v>
      </c>
      <c r="J60" s="121">
        <v>100</v>
      </c>
      <c r="K60" s="400" t="str">
        <f>IF(J60&lt;&gt;0,"&gt;&gt;&gt;&gt;","")</f>
        <v>&gt;&gt;&gt;&gt;</v>
      </c>
      <c r="L60" s="582">
        <f>IF(J60&gt;0,J60/100*E60,"")</f>
        <v>0</v>
      </c>
      <c r="M60" s="401" t="str">
        <f>IF(J60&gt;0,"t/d","")</f>
        <v>t/d</v>
      </c>
      <c r="N60" s="797" t="str">
        <f>IF(AND(L59&gt;0,L59&lt;50),"Rever valor em J59","")</f>
        <v/>
      </c>
      <c r="O60" s="398"/>
      <c r="P60" s="399"/>
      <c r="Q60" s="479"/>
      <c r="R60" s="479"/>
      <c r="S60" s="479"/>
      <c r="T60" s="479"/>
      <c r="U60" s="479"/>
      <c r="V60" s="479"/>
      <c r="W60" s="479"/>
      <c r="X60" s="479"/>
      <c r="Y60" s="479"/>
      <c r="Z60" s="479"/>
      <c r="AA60" s="2"/>
      <c r="AB60" s="2"/>
      <c r="AC60" s="2"/>
      <c r="AD60" s="2"/>
      <c r="AE60" s="2"/>
      <c r="AF60" s="2"/>
      <c r="AG60" s="2"/>
      <c r="AH60" s="2"/>
      <c r="AI60" s="2"/>
    </row>
    <row r="61" spans="1:35" ht="18" customHeight="1" thickTop="1" x14ac:dyDescent="0.25">
      <c r="A61" s="509"/>
      <c r="B61" s="403"/>
      <c r="C61" s="602"/>
      <c r="D61" s="484"/>
      <c r="E61" s="398"/>
      <c r="F61" s="398"/>
      <c r="G61" s="398"/>
      <c r="H61" s="122"/>
      <c r="I61" s="109" t="s">
        <v>474</v>
      </c>
      <c r="J61" s="87">
        <f>IF(E60&gt;0,100-J59-J60,0)</f>
        <v>0</v>
      </c>
      <c r="K61" s="502" t="str">
        <f>IF(J61&gt;0,"&gt;&gt;&gt;&gt;","")</f>
        <v/>
      </c>
      <c r="L61" s="537" t="str">
        <f>IF(J61&gt;0,J61/100*E60,"")</f>
        <v/>
      </c>
      <c r="M61" s="398" t="str">
        <f>IF(J61&gt;0,"t/d","")</f>
        <v/>
      </c>
      <c r="N61" s="2682" t="s">
        <v>112</v>
      </c>
      <c r="O61" s="2683"/>
      <c r="P61" s="399"/>
      <c r="Q61" s="479"/>
      <c r="R61" s="479"/>
      <c r="S61" s="479" t="s">
        <v>113</v>
      </c>
      <c r="T61" s="479"/>
      <c r="U61" s="479"/>
      <c r="V61" s="479"/>
      <c r="W61" s="479"/>
      <c r="X61" s="479"/>
      <c r="Y61" s="479"/>
      <c r="Z61" s="479"/>
      <c r="AA61" s="2"/>
      <c r="AB61" s="2"/>
      <c r="AC61" s="2"/>
      <c r="AD61" s="2"/>
      <c r="AE61" s="2"/>
      <c r="AF61" s="2"/>
      <c r="AG61" s="2"/>
      <c r="AH61" s="2"/>
      <c r="AI61" s="2"/>
    </row>
    <row r="62" spans="1:35" ht="18" customHeight="1" x14ac:dyDescent="0.25">
      <c r="A62" s="509"/>
      <c r="B62" s="403"/>
      <c r="C62" s="593"/>
      <c r="D62" s="119" t="s">
        <v>114</v>
      </c>
      <c r="E62" s="118"/>
      <c r="F62" s="637"/>
      <c r="G62" s="398"/>
      <c r="H62" s="398"/>
      <c r="I62" s="398"/>
      <c r="J62" s="546" t="str">
        <f>IF(AND(E60&gt;0,SUM(J59:J60)&gt;100),"     Erro: valor em J61 não pode dar negativo!","")</f>
        <v/>
      </c>
      <c r="K62" s="502"/>
      <c r="L62" s="538"/>
      <c r="M62" s="122"/>
      <c r="N62" s="781" t="s">
        <v>115</v>
      </c>
      <c r="O62" s="782">
        <f>E60*J59/100</f>
        <v>0</v>
      </c>
      <c r="P62" s="399"/>
      <c r="Q62" s="479"/>
      <c r="R62" s="479"/>
      <c r="S62" s="479" t="s">
        <v>116</v>
      </c>
      <c r="T62" s="479"/>
      <c r="U62" s="479"/>
      <c r="V62" s="479"/>
      <c r="W62" s="479"/>
      <c r="X62" s="479"/>
      <c r="Y62" s="479"/>
      <c r="Z62" s="479"/>
      <c r="AA62" s="2"/>
      <c r="AB62" s="2"/>
      <c r="AC62" s="2"/>
      <c r="AD62" s="2"/>
      <c r="AE62" s="2"/>
      <c r="AF62" s="2"/>
      <c r="AG62" s="2"/>
      <c r="AH62" s="2"/>
      <c r="AI62" s="2"/>
    </row>
    <row r="63" spans="1:35" ht="18" customHeight="1" x14ac:dyDescent="0.25">
      <c r="A63" s="509"/>
      <c r="B63" s="403"/>
      <c r="C63" s="594"/>
      <c r="D63" s="534" t="s">
        <v>117</v>
      </c>
      <c r="E63" s="120" t="s">
        <v>88</v>
      </c>
      <c r="F63" s="322">
        <f>IF(E63="Alta",'R-Avançado'!I19/100,IF(E63="Baixa",'R-Avançado'!I21/100,'R-Avançado'!I20/100))</f>
        <v>0.15</v>
      </c>
      <c r="G63" s="398"/>
      <c r="H63" s="182"/>
      <c r="I63" s="114"/>
      <c r="J63" s="590" t="s">
        <v>997</v>
      </c>
      <c r="K63" s="398"/>
      <c r="L63" s="398"/>
      <c r="M63" s="122"/>
      <c r="N63" s="109" t="s">
        <v>119</v>
      </c>
      <c r="O63" s="589">
        <f>IF(J67="Compost. Nobre",E60*J60/100+J68,E60*J60/100)</f>
        <v>0</v>
      </c>
      <c r="P63" s="399"/>
      <c r="Q63" s="479"/>
      <c r="R63" s="479"/>
      <c r="S63" s="479"/>
      <c r="T63" s="479"/>
      <c r="U63" s="479"/>
      <c r="V63" s="479"/>
      <c r="W63" s="479"/>
      <c r="X63" s="479"/>
      <c r="Y63" s="479"/>
      <c r="Z63" s="479"/>
      <c r="AA63" s="2"/>
      <c r="AB63" s="2"/>
      <c r="AC63" s="2"/>
      <c r="AD63" s="2"/>
      <c r="AE63" s="2"/>
      <c r="AF63" s="2"/>
      <c r="AG63" s="2"/>
      <c r="AH63" s="2"/>
      <c r="AI63" s="2"/>
    </row>
    <row r="64" spans="1:35" ht="18" customHeight="1" x14ac:dyDescent="0.25">
      <c r="A64" s="509"/>
      <c r="B64" s="403"/>
      <c r="C64" s="122"/>
      <c r="D64" s="109" t="s">
        <v>120</v>
      </c>
      <c r="E64" s="120" t="s">
        <v>121</v>
      </c>
      <c r="F64" s="122"/>
      <c r="G64" s="398"/>
      <c r="H64" s="122"/>
      <c r="I64" s="109" t="s">
        <v>122</v>
      </c>
      <c r="J64" s="121">
        <v>50</v>
      </c>
      <c r="K64" s="398"/>
      <c r="L64" s="398"/>
      <c r="M64" s="122"/>
      <c r="N64" s="109" t="s">
        <v>477</v>
      </c>
      <c r="O64" s="589">
        <f>IF(J67&lt;&gt;"Compost. nobre",E60*J61/100+J68,E60*J61/100)</f>
        <v>0</v>
      </c>
      <c r="P64" s="399"/>
      <c r="Q64" s="479"/>
      <c r="R64" s="479"/>
      <c r="S64" s="479"/>
      <c r="T64" s="479"/>
      <c r="U64" s="479"/>
      <c r="V64" s="479"/>
      <c r="W64" s="479"/>
      <c r="X64" s="479"/>
      <c r="Y64" s="479"/>
      <c r="Z64" s="479"/>
      <c r="AA64" s="2"/>
      <c r="AB64" s="2"/>
      <c r="AC64" s="2"/>
      <c r="AD64" s="2"/>
      <c r="AE64" s="2"/>
      <c r="AF64" s="2"/>
      <c r="AG64" s="2"/>
      <c r="AH64" s="2"/>
      <c r="AI64" s="2"/>
    </row>
    <row r="65" spans="1:35" ht="18" customHeight="1" x14ac:dyDescent="0.25">
      <c r="A65" s="509"/>
      <c r="B65" s="403"/>
      <c r="C65" s="594"/>
      <c r="D65" s="534"/>
      <c r="E65" s="109" t="s">
        <v>123</v>
      </c>
      <c r="F65" s="231">
        <f>IF(E64="Alto",'R-Avançado'!E19,IF(E64="Baixo",'R-Avançado'!E21,'R-Avançado'!E20))</f>
        <v>100</v>
      </c>
      <c r="G65" s="398"/>
      <c r="H65" s="122"/>
      <c r="I65" s="109" t="s">
        <v>124</v>
      </c>
      <c r="J65" s="1538">
        <f>100-J64</f>
        <v>50</v>
      </c>
      <c r="K65" s="398"/>
      <c r="L65" s="398"/>
      <c r="M65" s="398"/>
      <c r="N65" s="484"/>
      <c r="O65" s="398"/>
      <c r="P65" s="399"/>
      <c r="Q65" s="479"/>
      <c r="R65" s="479"/>
      <c r="S65" s="479" t="s">
        <v>125</v>
      </c>
      <c r="T65" s="479"/>
      <c r="U65" s="479"/>
      <c r="V65" s="479"/>
      <c r="W65" s="479"/>
      <c r="X65" s="479"/>
      <c r="Y65" s="479"/>
      <c r="Z65" s="479"/>
      <c r="AA65" s="2"/>
      <c r="AB65" s="2"/>
      <c r="AC65" s="2"/>
      <c r="AD65" s="2"/>
      <c r="AE65" s="2"/>
      <c r="AF65" s="2"/>
      <c r="AG65" s="2"/>
      <c r="AH65" s="2"/>
      <c r="AI65" s="2"/>
    </row>
    <row r="66" spans="1:35" ht="18" customHeight="1" x14ac:dyDescent="0.25">
      <c r="A66" s="509"/>
      <c r="B66" s="403"/>
      <c r="C66" s="594"/>
      <c r="D66" s="534"/>
      <c r="E66" s="109" t="s">
        <v>126</v>
      </c>
      <c r="F66" s="231">
        <f>IF(E64="Alto",'R-Avançado'!F19,IF(E64="Baixo",'R-Avançado'!F21,'R-Avançado'!F20))</f>
        <v>400</v>
      </c>
      <c r="G66" s="398"/>
      <c r="H66" s="539"/>
      <c r="I66" s="398"/>
      <c r="J66" s="398"/>
      <c r="K66" s="398"/>
      <c r="L66" s="398"/>
      <c r="M66" s="593"/>
      <c r="N66" s="119" t="s">
        <v>127</v>
      </c>
      <c r="O66" s="590"/>
      <c r="P66" s="399"/>
      <c r="Q66" s="479"/>
      <c r="R66" s="479"/>
      <c r="S66" s="479" t="s">
        <v>128</v>
      </c>
      <c r="T66" s="479"/>
      <c r="U66" s="479"/>
      <c r="V66" s="479"/>
      <c r="W66" s="479"/>
      <c r="X66" s="479"/>
      <c r="Y66" s="479"/>
      <c r="Z66" s="479"/>
      <c r="AA66" s="2"/>
      <c r="AB66" s="2"/>
      <c r="AC66" s="2"/>
      <c r="AD66" s="2"/>
      <c r="AE66" s="2"/>
      <c r="AF66" s="2"/>
      <c r="AG66" s="2"/>
      <c r="AH66" s="2"/>
      <c r="AI66" s="2"/>
    </row>
    <row r="67" spans="1:35" ht="18" customHeight="1" x14ac:dyDescent="0.25">
      <c r="A67" s="509"/>
      <c r="B67" s="403"/>
      <c r="C67" s="403"/>
      <c r="D67" s="398"/>
      <c r="E67" s="398"/>
      <c r="F67" s="398"/>
      <c r="G67" s="398"/>
      <c r="H67" s="122"/>
      <c r="I67" s="109" t="s">
        <v>129</v>
      </c>
      <c r="J67" s="120" t="s">
        <v>116</v>
      </c>
      <c r="K67" s="398"/>
      <c r="L67" s="398"/>
      <c r="M67" s="122"/>
      <c r="N67" s="109" t="s">
        <v>130</v>
      </c>
      <c r="O67" s="591">
        <f>O63-O63*(F69+F71)</f>
        <v>0</v>
      </c>
      <c r="P67" s="399"/>
      <c r="Q67" s="479"/>
      <c r="R67" s="479"/>
      <c r="S67" s="479"/>
      <c r="T67" s="479"/>
      <c r="U67" s="479"/>
      <c r="V67" s="479"/>
      <c r="W67" s="479"/>
      <c r="X67" s="479"/>
      <c r="Y67" s="479"/>
      <c r="Z67" s="479"/>
      <c r="AA67" s="2"/>
      <c r="AB67" s="2"/>
      <c r="AC67" s="2"/>
      <c r="AD67" s="2"/>
      <c r="AE67" s="2"/>
      <c r="AF67" s="2"/>
      <c r="AG67" s="2"/>
      <c r="AH67" s="2"/>
      <c r="AI67" s="2"/>
    </row>
    <row r="68" spans="1:35" ht="18" customHeight="1" x14ac:dyDescent="0.25">
      <c r="A68" s="509"/>
      <c r="B68" s="403"/>
      <c r="C68" s="593"/>
      <c r="D68" s="118" t="s">
        <v>131</v>
      </c>
      <c r="E68" s="118"/>
      <c r="F68" s="637"/>
      <c r="G68" s="398"/>
      <c r="H68" s="122"/>
      <c r="I68" s="109" t="s">
        <v>132</v>
      </c>
      <c r="J68" s="589">
        <f>IF(J67&lt;&gt;"Uso agrícola dir.",E60*J59/100*(1-F63),0)</f>
        <v>0</v>
      </c>
      <c r="K68" s="398"/>
      <c r="L68" s="398"/>
      <c r="M68" s="122"/>
      <c r="N68" s="109" t="s">
        <v>133</v>
      </c>
      <c r="O68" s="591">
        <f>O64-O64*(F69+F71)</f>
        <v>0</v>
      </c>
      <c r="P68" s="399"/>
      <c r="Q68" s="479"/>
      <c r="R68" s="479"/>
      <c r="S68" s="479"/>
      <c r="T68" s="479"/>
      <c r="U68" s="479"/>
      <c r="V68" s="479"/>
      <c r="W68" s="479"/>
      <c r="X68" s="479"/>
      <c r="Y68" s="479"/>
      <c r="Z68" s="479"/>
      <c r="AA68" s="2"/>
      <c r="AB68" s="2"/>
      <c r="AC68" s="2"/>
      <c r="AD68" s="2"/>
      <c r="AE68" s="2"/>
      <c r="AF68" s="2"/>
      <c r="AG68" s="2"/>
      <c r="AH68" s="2"/>
      <c r="AI68" s="2"/>
    </row>
    <row r="69" spans="1:35" ht="18" customHeight="1" x14ac:dyDescent="0.25">
      <c r="A69" s="509"/>
      <c r="B69" s="403"/>
      <c r="C69" s="594"/>
      <c r="D69" s="534" t="s">
        <v>117</v>
      </c>
      <c r="E69" s="121" t="s">
        <v>88</v>
      </c>
      <c r="F69" s="322">
        <f>IF(E69="Alta",'R-Avançado'!J19/100,IF(E69="Baixa",'R-Avançado'!J21/100,'R-Avançado'!J20/100))</f>
        <v>0.3</v>
      </c>
      <c r="G69" s="398"/>
      <c r="H69" s="398"/>
      <c r="I69" s="398"/>
      <c r="J69" s="398"/>
      <c r="K69" s="428"/>
      <c r="L69" s="398"/>
      <c r="M69" s="122"/>
      <c r="N69" s="109" t="s">
        <v>134</v>
      </c>
      <c r="O69" s="592">
        <f>IF(J59&gt;0,O62*J65/100*F66*'R-Avançado'!F23/100*'R-Avançado'!F24/100,0)</f>
        <v>0</v>
      </c>
      <c r="P69" s="399"/>
      <c r="Q69" s="479"/>
      <c r="R69" s="479"/>
      <c r="S69" s="479"/>
      <c r="T69" s="479"/>
      <c r="U69" s="479"/>
      <c r="V69" s="479"/>
      <c r="W69" s="479"/>
      <c r="X69" s="479"/>
      <c r="Y69" s="479"/>
      <c r="Z69" s="479"/>
      <c r="AA69" s="2"/>
      <c r="AB69" s="2"/>
      <c r="AC69" s="2"/>
      <c r="AD69" s="2"/>
      <c r="AE69" s="2"/>
      <c r="AF69" s="2"/>
      <c r="AG69" s="2"/>
      <c r="AH69" s="2"/>
      <c r="AI69" s="2"/>
    </row>
    <row r="70" spans="1:35" ht="18" customHeight="1" x14ac:dyDescent="0.25">
      <c r="A70" s="509"/>
      <c r="B70" s="403"/>
      <c r="C70" s="403"/>
      <c r="D70" s="530"/>
      <c r="E70" s="403"/>
      <c r="F70" s="403"/>
      <c r="G70" s="398"/>
      <c r="H70" s="398"/>
      <c r="I70" s="595"/>
      <c r="J70" s="596" t="s">
        <v>475</v>
      </c>
      <c r="K70" s="428"/>
      <c r="L70" s="398"/>
      <c r="M70" s="594"/>
      <c r="N70" s="534" t="s">
        <v>135</v>
      </c>
      <c r="O70" s="592">
        <f>IF(J59&gt;0,O62*J64/100*F65*'R-Avançado'!F23/100*'R-Avançado'!F24/100,0)</f>
        <v>0</v>
      </c>
      <c r="P70" s="399"/>
      <c r="Q70" s="479"/>
      <c r="R70" s="479"/>
      <c r="S70" s="479"/>
      <c r="T70" s="479"/>
      <c r="U70" s="479"/>
      <c r="V70" s="479"/>
      <c r="W70" s="479"/>
      <c r="X70" s="479"/>
      <c r="Y70" s="479"/>
      <c r="Z70" s="479"/>
      <c r="AA70" s="2"/>
      <c r="AB70" s="2"/>
      <c r="AC70" s="2"/>
      <c r="AD70" s="2"/>
      <c r="AE70" s="2"/>
      <c r="AF70" s="2"/>
      <c r="AG70" s="2"/>
      <c r="AH70" s="2"/>
      <c r="AI70" s="2"/>
    </row>
    <row r="71" spans="1:35" ht="18" customHeight="1" x14ac:dyDescent="0.25">
      <c r="A71" s="509"/>
      <c r="B71" s="403"/>
      <c r="C71" s="115"/>
      <c r="D71" s="449" t="s">
        <v>136</v>
      </c>
      <c r="E71" s="121" t="s">
        <v>193</v>
      </c>
      <c r="F71" s="322">
        <f>IF(E71="Alto",'R-Avançado'!M19/100,'R-Avançado'!M20/100)</f>
        <v>0.25</v>
      </c>
      <c r="G71" s="398"/>
      <c r="H71" s="398"/>
      <c r="I71" s="597"/>
      <c r="J71" s="598" t="s">
        <v>476</v>
      </c>
      <c r="K71" s="398"/>
      <c r="L71" s="398"/>
      <c r="M71" s="398"/>
      <c r="N71" s="398"/>
      <c r="O71" s="398"/>
      <c r="P71" s="399"/>
      <c r="Q71" s="479"/>
      <c r="R71" s="479"/>
      <c r="S71" s="479"/>
      <c r="T71" s="479"/>
      <c r="U71" s="479"/>
      <c r="V71" s="479"/>
      <c r="W71" s="479"/>
      <c r="X71" s="479"/>
      <c r="Y71" s="479"/>
      <c r="Z71" s="479"/>
      <c r="AA71" s="2"/>
      <c r="AB71" s="2"/>
      <c r="AC71" s="2"/>
      <c r="AD71" s="2"/>
      <c r="AE71" s="2"/>
      <c r="AF71" s="2"/>
      <c r="AG71" s="2"/>
      <c r="AH71" s="2"/>
      <c r="AI71" s="2"/>
    </row>
    <row r="72" spans="1:35" ht="18" customHeight="1" x14ac:dyDescent="0.25">
      <c r="A72" s="509"/>
      <c r="B72" s="403"/>
      <c r="C72" s="403"/>
      <c r="D72" s="398"/>
      <c r="E72" s="398"/>
      <c r="F72" s="398"/>
      <c r="G72" s="398"/>
      <c r="H72" s="398"/>
      <c r="I72" s="2691" t="s">
        <v>125</v>
      </c>
      <c r="J72" s="2692"/>
      <c r="K72" s="111"/>
      <c r="L72" s="593"/>
      <c r="M72" s="118"/>
      <c r="N72" s="118" t="s">
        <v>138</v>
      </c>
      <c r="O72" s="590"/>
      <c r="P72" s="399"/>
      <c r="Q72" s="479"/>
      <c r="R72" s="479"/>
      <c r="S72" s="479"/>
      <c r="T72" s="479"/>
      <c r="U72" s="479"/>
      <c r="V72" s="479"/>
      <c r="W72" s="479"/>
      <c r="X72" s="479"/>
      <c r="Y72" s="479"/>
      <c r="Z72" s="479"/>
      <c r="AA72" s="2"/>
      <c r="AB72" s="2"/>
      <c r="AC72" s="2"/>
      <c r="AD72" s="2"/>
      <c r="AE72" s="2"/>
      <c r="AF72" s="2"/>
      <c r="AG72" s="2"/>
      <c r="AH72" s="2"/>
      <c r="AI72" s="2"/>
    </row>
    <row r="73" spans="1:35" ht="18" customHeight="1" x14ac:dyDescent="0.25">
      <c r="A73" s="509"/>
      <c r="B73" s="403"/>
      <c r="C73" s="403"/>
      <c r="D73" s="398"/>
      <c r="E73" s="398"/>
      <c r="F73" s="398"/>
      <c r="G73" s="398"/>
      <c r="H73" s="398"/>
      <c r="I73" s="398"/>
      <c r="J73" s="398"/>
      <c r="K73" s="398"/>
      <c r="L73" s="122"/>
      <c r="M73" s="122"/>
      <c r="N73" s="109" t="s">
        <v>478</v>
      </c>
      <c r="O73" s="591">
        <f>(O63+O64)*F71</f>
        <v>0</v>
      </c>
      <c r="P73" s="399"/>
      <c r="Q73" s="479"/>
      <c r="R73" s="479"/>
      <c r="S73" s="479"/>
      <c r="T73" s="479"/>
      <c r="U73" s="479"/>
      <c r="V73" s="479"/>
      <c r="W73" s="479"/>
      <c r="X73" s="479"/>
      <c r="Y73" s="479"/>
      <c r="Z73" s="479"/>
      <c r="AA73" s="2"/>
      <c r="AB73" s="2"/>
      <c r="AC73" s="2"/>
      <c r="AD73" s="2"/>
      <c r="AE73" s="2"/>
      <c r="AF73" s="2"/>
      <c r="AG73" s="2"/>
      <c r="AH73" s="2"/>
      <c r="AI73" s="2"/>
    </row>
    <row r="74" spans="1:35" ht="18" customHeight="1" x14ac:dyDescent="0.25">
      <c r="A74" s="504"/>
      <c r="B74" s="466"/>
      <c r="C74" s="466"/>
      <c r="D74" s="399"/>
      <c r="E74" s="399"/>
      <c r="F74" s="399"/>
      <c r="G74" s="399"/>
      <c r="H74" s="399"/>
      <c r="I74" s="399"/>
      <c r="J74" s="399"/>
      <c r="K74" s="399"/>
      <c r="L74" s="84"/>
      <c r="M74" s="84"/>
      <c r="N74" s="109" t="s">
        <v>139</v>
      </c>
      <c r="O74" s="786">
        <f>O62*F63+O63*F69+O64*F69</f>
        <v>0</v>
      </c>
      <c r="P74" s="399"/>
      <c r="Q74" s="479"/>
      <c r="R74" s="479"/>
      <c r="S74" s="479"/>
      <c r="T74" s="479"/>
      <c r="U74" s="479"/>
      <c r="V74" s="479"/>
      <c r="W74" s="479"/>
      <c r="X74" s="479"/>
      <c r="Y74" s="479"/>
      <c r="Z74" s="479"/>
      <c r="AA74" s="2"/>
      <c r="AB74" s="2"/>
      <c r="AC74" s="2"/>
      <c r="AD74" s="2"/>
      <c r="AE74" s="2"/>
      <c r="AF74" s="2"/>
      <c r="AG74" s="2"/>
      <c r="AH74" s="2"/>
      <c r="AI74" s="2"/>
    </row>
    <row r="75" spans="1:35" ht="18" customHeight="1" x14ac:dyDescent="0.25">
      <c r="A75" s="504"/>
      <c r="B75" s="603"/>
      <c r="C75" s="603"/>
      <c r="D75" s="540"/>
      <c r="E75" s="503"/>
      <c r="F75" s="503"/>
      <c r="G75" s="503"/>
      <c r="H75" s="503"/>
      <c r="I75" s="503"/>
      <c r="J75" s="503"/>
      <c r="K75" s="503"/>
      <c r="L75" s="503"/>
      <c r="M75" s="503"/>
      <c r="N75" s="503"/>
      <c r="O75" s="503"/>
      <c r="P75" s="503"/>
      <c r="Q75" s="479"/>
      <c r="R75" s="479"/>
      <c r="S75" s="479"/>
      <c r="T75" s="479"/>
      <c r="U75" s="479"/>
      <c r="V75" s="479"/>
      <c r="W75" s="479"/>
      <c r="X75" s="479"/>
      <c r="Y75" s="479"/>
      <c r="Z75" s="479"/>
      <c r="AA75" s="2"/>
      <c r="AB75" s="2"/>
      <c r="AC75" s="2"/>
      <c r="AD75" s="2"/>
      <c r="AE75" s="2"/>
      <c r="AF75" s="2"/>
      <c r="AG75" s="2"/>
      <c r="AH75" s="2"/>
      <c r="AI75" s="2"/>
    </row>
    <row r="76" spans="1:35" ht="18" customHeight="1" x14ac:dyDescent="0.25">
      <c r="A76" s="504"/>
      <c r="B76" s="603"/>
      <c r="C76" s="603"/>
      <c r="D76" s="503"/>
      <c r="E76" s="503"/>
      <c r="F76" s="503"/>
      <c r="G76" s="503"/>
      <c r="H76" s="503"/>
      <c r="I76" s="503"/>
      <c r="J76" s="503"/>
      <c r="K76" s="503"/>
      <c r="L76" s="503"/>
      <c r="M76" s="503"/>
      <c r="N76" s="512"/>
      <c r="O76" s="503"/>
      <c r="P76" s="503"/>
      <c r="Q76" s="479"/>
      <c r="R76" s="479"/>
      <c r="S76" s="479"/>
      <c r="T76" s="479"/>
      <c r="U76" s="479"/>
      <c r="V76" s="479"/>
      <c r="W76" s="479"/>
      <c r="X76" s="479"/>
      <c r="Y76" s="479"/>
      <c r="Z76" s="479"/>
      <c r="AA76" s="2"/>
      <c r="AB76" s="2"/>
      <c r="AC76" s="2"/>
      <c r="AD76" s="2"/>
      <c r="AE76" s="2"/>
      <c r="AF76" s="2"/>
      <c r="AG76" s="2"/>
      <c r="AH76" s="2"/>
      <c r="AI76" s="2"/>
    </row>
    <row r="77" spans="1:35" ht="18" customHeight="1" x14ac:dyDescent="0.25">
      <c r="A77" s="504"/>
      <c r="B77" s="417"/>
      <c r="C77" s="417"/>
      <c r="D77" s="2689" t="s">
        <v>484</v>
      </c>
      <c r="E77" s="2690"/>
      <c r="F77" s="2690"/>
      <c r="G77" s="2690"/>
      <c r="H77" s="2690"/>
      <c r="I77" s="2690"/>
      <c r="J77" s="2690"/>
      <c r="K77" s="2690"/>
      <c r="L77" s="2690"/>
      <c r="M77" s="2690"/>
      <c r="N77" s="2690"/>
      <c r="O77" s="503"/>
      <c r="P77" s="503"/>
      <c r="Q77" s="479"/>
      <c r="R77" s="479"/>
      <c r="S77" s="479"/>
      <c r="T77" s="479"/>
      <c r="U77" s="479"/>
      <c r="V77" s="479"/>
      <c r="W77" s="479"/>
      <c r="X77" s="479"/>
      <c r="Y77" s="479"/>
      <c r="Z77" s="479"/>
      <c r="AA77" s="22"/>
      <c r="AB77" s="2"/>
      <c r="AC77" s="2"/>
      <c r="AD77" s="2"/>
      <c r="AE77" s="2"/>
      <c r="AF77" s="2"/>
      <c r="AG77" s="2"/>
      <c r="AH77" s="2"/>
      <c r="AI77" s="2"/>
    </row>
    <row r="78" spans="1:35" ht="18" customHeight="1" x14ac:dyDescent="0.25">
      <c r="A78" s="504"/>
      <c r="B78" s="417"/>
      <c r="C78" s="417"/>
      <c r="D78" s="2689" t="s">
        <v>25</v>
      </c>
      <c r="E78" s="2690"/>
      <c r="F78" s="2694" t="s">
        <v>49</v>
      </c>
      <c r="G78" s="2689" t="s">
        <v>426</v>
      </c>
      <c r="H78" s="2690"/>
      <c r="I78" s="2689" t="s">
        <v>427</v>
      </c>
      <c r="J78" s="2689" t="s">
        <v>51</v>
      </c>
      <c r="K78" s="2690"/>
      <c r="L78" s="2689" t="s">
        <v>428</v>
      </c>
      <c r="M78" s="2690"/>
      <c r="N78" s="2693" t="s">
        <v>52</v>
      </c>
      <c r="O78" s="503"/>
      <c r="P78" s="521"/>
      <c r="Q78" s="479"/>
      <c r="R78" s="479"/>
      <c r="S78" s="479"/>
      <c r="T78" s="479"/>
      <c r="U78" s="479"/>
      <c r="V78" s="479"/>
      <c r="W78" s="479"/>
      <c r="X78" s="479"/>
      <c r="Y78" s="479"/>
      <c r="Z78" s="479"/>
      <c r="AA78" s="2"/>
      <c r="AB78" s="2"/>
      <c r="AC78" s="2"/>
      <c r="AD78" s="2"/>
      <c r="AE78" s="2"/>
      <c r="AF78" s="2"/>
      <c r="AG78" s="2"/>
      <c r="AH78" s="2"/>
      <c r="AI78" s="2"/>
    </row>
    <row r="79" spans="1:35" ht="33" customHeight="1" x14ac:dyDescent="0.25">
      <c r="A79" s="504"/>
      <c r="B79" s="417"/>
      <c r="C79" s="541"/>
      <c r="D79" s="445" t="s">
        <v>53</v>
      </c>
      <c r="E79" s="445" t="s">
        <v>54</v>
      </c>
      <c r="F79" s="2695"/>
      <c r="G79" s="445" t="s">
        <v>55</v>
      </c>
      <c r="H79" s="445" t="s">
        <v>56</v>
      </c>
      <c r="I79" s="2690"/>
      <c r="J79" s="445" t="s">
        <v>57</v>
      </c>
      <c r="K79" s="445" t="s">
        <v>461</v>
      </c>
      <c r="L79" s="445" t="s">
        <v>429</v>
      </c>
      <c r="M79" s="446" t="s">
        <v>460</v>
      </c>
      <c r="N79" s="2690"/>
      <c r="O79" s="503"/>
      <c r="P79" s="503"/>
      <c r="Q79" s="479"/>
      <c r="R79" s="479"/>
      <c r="S79" s="479"/>
      <c r="T79" s="479"/>
      <c r="U79" s="479"/>
      <c r="V79" s="479"/>
      <c r="W79" s="479"/>
      <c r="X79" s="479"/>
      <c r="Y79" s="479"/>
      <c r="Z79" s="479"/>
      <c r="AA79" s="2"/>
      <c r="AB79" s="2"/>
      <c r="AC79" s="2"/>
      <c r="AD79" s="2"/>
      <c r="AE79" s="2"/>
      <c r="AF79" s="2"/>
      <c r="AG79" s="2"/>
      <c r="AH79" s="2"/>
      <c r="AI79" s="2"/>
    </row>
    <row r="80" spans="1:35" ht="18" customHeight="1" x14ac:dyDescent="0.25">
      <c r="A80" s="504"/>
      <c r="B80" s="417"/>
      <c r="C80" s="109" t="s">
        <v>748</v>
      </c>
      <c r="D80" s="125">
        <f t="shared" ref="D80:M80" si="5">SUM(D81:D84)</f>
        <v>33.973076923076917</v>
      </c>
      <c r="E80" s="125">
        <f t="shared" si="5"/>
        <v>2.1057692307692317</v>
      </c>
      <c r="F80" s="125">
        <f t="shared" si="5"/>
        <v>45.97596153846154</v>
      </c>
      <c r="G80" s="125">
        <f t="shared" si="5"/>
        <v>31.235576923076923</v>
      </c>
      <c r="H80" s="125">
        <f t="shared" si="5"/>
        <v>16.14423076923077</v>
      </c>
      <c r="I80" s="125">
        <f t="shared" si="5"/>
        <v>8.4230769230769234</v>
      </c>
      <c r="J80" s="125">
        <f t="shared" si="5"/>
        <v>8.072115384615385</v>
      </c>
      <c r="K80" s="125">
        <f t="shared" si="5"/>
        <v>2.1057692307692308</v>
      </c>
      <c r="L80" s="125">
        <f t="shared" si="5"/>
        <v>47.45</v>
      </c>
      <c r="M80" s="125">
        <f t="shared" si="5"/>
        <v>30.697435897435909</v>
      </c>
      <c r="N80" s="599">
        <f>SUM(D80:M80)</f>
        <v>226.18301282051283</v>
      </c>
      <c r="O80" s="503"/>
      <c r="P80" s="522"/>
      <c r="Q80" s="479"/>
      <c r="R80" s="479"/>
      <c r="S80" s="479"/>
      <c r="T80" s="479"/>
      <c r="U80" s="479"/>
      <c r="V80" s="479"/>
      <c r="W80" s="479"/>
      <c r="X80" s="479"/>
      <c r="Y80" s="479"/>
      <c r="Z80" s="479"/>
      <c r="AA80" s="2"/>
      <c r="AB80" s="2"/>
      <c r="AC80" s="2"/>
      <c r="AD80" s="2"/>
      <c r="AE80" s="2"/>
      <c r="AF80" s="2"/>
      <c r="AG80" s="2"/>
      <c r="AH80" s="2"/>
      <c r="AI80" s="2"/>
    </row>
    <row r="81" spans="1:35" ht="18" customHeight="1" x14ac:dyDescent="0.25">
      <c r="A81" s="504"/>
      <c r="B81" s="417"/>
      <c r="C81" s="108" t="s">
        <v>97</v>
      </c>
      <c r="D81" s="130">
        <f t="shared" ref="D81:M81" si="6">D44</f>
        <v>0</v>
      </c>
      <c r="E81" s="130">
        <f t="shared" si="6"/>
        <v>0</v>
      </c>
      <c r="F81" s="130">
        <f t="shared" si="6"/>
        <v>0</v>
      </c>
      <c r="G81" s="130">
        <f t="shared" si="6"/>
        <v>0</v>
      </c>
      <c r="H81" s="130">
        <f t="shared" si="6"/>
        <v>0</v>
      </c>
      <c r="I81" s="130">
        <f t="shared" si="6"/>
        <v>0</v>
      </c>
      <c r="J81" s="130">
        <f t="shared" si="6"/>
        <v>0</v>
      </c>
      <c r="K81" s="130">
        <f t="shared" si="6"/>
        <v>0</v>
      </c>
      <c r="L81" s="130">
        <f t="shared" si="6"/>
        <v>0</v>
      </c>
      <c r="M81" s="130">
        <f t="shared" si="6"/>
        <v>0</v>
      </c>
      <c r="N81" s="600">
        <f>SUM(D81:M81)</f>
        <v>0</v>
      </c>
      <c r="O81" s="503"/>
      <c r="P81" s="522"/>
      <c r="Q81" s="479"/>
      <c r="R81" s="479"/>
      <c r="S81" s="479"/>
      <c r="T81" s="479"/>
      <c r="U81" s="479"/>
      <c r="V81" s="479"/>
      <c r="W81" s="479"/>
      <c r="X81" s="479"/>
      <c r="Y81" s="479"/>
      <c r="Z81" s="479"/>
      <c r="AA81" s="2"/>
      <c r="AB81" s="2"/>
      <c r="AC81" s="2"/>
      <c r="AD81" s="2"/>
      <c r="AE81" s="2"/>
      <c r="AF81" s="2"/>
      <c r="AG81" s="2"/>
      <c r="AH81" s="2"/>
      <c r="AI81" s="2"/>
    </row>
    <row r="82" spans="1:35" ht="18" customHeight="1" x14ac:dyDescent="0.25">
      <c r="A82" s="504"/>
      <c r="B82" s="417"/>
      <c r="C82" s="108" t="s">
        <v>140</v>
      </c>
      <c r="D82" s="130">
        <f t="shared" ref="D82:M82" si="7">D43</f>
        <v>33.973076923076917</v>
      </c>
      <c r="E82" s="130">
        <f t="shared" si="7"/>
        <v>2.1057692307692317</v>
      </c>
      <c r="F82" s="130">
        <f t="shared" si="7"/>
        <v>45.97596153846154</v>
      </c>
      <c r="G82" s="130">
        <f t="shared" si="7"/>
        <v>31.235576923076923</v>
      </c>
      <c r="H82" s="130">
        <f t="shared" si="7"/>
        <v>16.14423076923077</v>
      </c>
      <c r="I82" s="130">
        <f t="shared" si="7"/>
        <v>8.4230769230769234</v>
      </c>
      <c r="J82" s="130">
        <f t="shared" si="7"/>
        <v>8.072115384615385</v>
      </c>
      <c r="K82" s="130">
        <f t="shared" si="7"/>
        <v>2.1057692307692308</v>
      </c>
      <c r="L82" s="130">
        <f t="shared" si="7"/>
        <v>47.45</v>
      </c>
      <c r="M82" s="130">
        <f t="shared" si="7"/>
        <v>30.697435897435909</v>
      </c>
      <c r="N82" s="600">
        <f>SUM(D82:M82)</f>
        <v>226.18301282051283</v>
      </c>
      <c r="O82" s="503"/>
      <c r="P82" s="523"/>
      <c r="Q82" s="479"/>
      <c r="R82" s="479"/>
      <c r="S82" s="479"/>
      <c r="T82" s="479"/>
      <c r="U82" s="479"/>
      <c r="V82" s="479"/>
      <c r="W82" s="479"/>
      <c r="X82" s="479"/>
      <c r="Y82" s="479"/>
      <c r="Z82" s="479"/>
      <c r="AA82" s="2"/>
      <c r="AB82" s="2"/>
      <c r="AC82" s="2"/>
      <c r="AD82" s="2"/>
      <c r="AE82" s="2"/>
      <c r="AF82" s="2"/>
      <c r="AG82" s="2"/>
      <c r="AH82" s="2"/>
      <c r="AI82" s="2"/>
    </row>
    <row r="83" spans="1:35" ht="18" customHeight="1" x14ac:dyDescent="0.25">
      <c r="A83" s="504"/>
      <c r="B83" s="417"/>
      <c r="C83" s="108" t="s">
        <v>141</v>
      </c>
      <c r="D83" s="130"/>
      <c r="E83" s="130"/>
      <c r="F83" s="130"/>
      <c r="G83" s="130"/>
      <c r="H83" s="130"/>
      <c r="I83" s="130"/>
      <c r="J83" s="130"/>
      <c r="K83" s="130"/>
      <c r="L83" s="130">
        <f>N34</f>
        <v>0</v>
      </c>
      <c r="M83" s="130">
        <f>N35</f>
        <v>0</v>
      </c>
      <c r="N83" s="600">
        <f>SUM(D83:M83)</f>
        <v>0</v>
      </c>
      <c r="O83" s="503"/>
      <c r="P83" s="524"/>
      <c r="Q83" s="479"/>
      <c r="R83" s="479"/>
      <c r="S83" s="479"/>
      <c r="T83" s="479"/>
      <c r="U83" s="479"/>
      <c r="V83" s="479"/>
      <c r="W83" s="479"/>
      <c r="X83" s="479"/>
      <c r="Y83" s="479"/>
      <c r="Z83" s="479"/>
      <c r="AA83" s="2"/>
      <c r="AB83" s="2"/>
      <c r="AC83" s="2"/>
      <c r="AD83" s="2"/>
      <c r="AE83" s="2"/>
      <c r="AF83" s="2"/>
      <c r="AG83" s="2"/>
      <c r="AH83" s="2"/>
      <c r="AI83" s="2"/>
    </row>
    <row r="84" spans="1:35" ht="18" customHeight="1" x14ac:dyDescent="0.25">
      <c r="A84" s="504"/>
      <c r="B84" s="417"/>
      <c r="C84" s="108" t="s">
        <v>142</v>
      </c>
      <c r="D84" s="130"/>
      <c r="E84" s="130"/>
      <c r="F84" s="130"/>
      <c r="G84" s="130"/>
      <c r="H84" s="130"/>
      <c r="I84" s="130"/>
      <c r="J84" s="130"/>
      <c r="K84" s="130"/>
      <c r="L84" s="130">
        <f>M34</f>
        <v>0</v>
      </c>
      <c r="M84" s="130">
        <f>M35</f>
        <v>0</v>
      </c>
      <c r="N84" s="600">
        <f>SUM(D84:M84)</f>
        <v>0</v>
      </c>
      <c r="O84" s="503"/>
      <c r="P84" s="503"/>
      <c r="Q84" s="479"/>
      <c r="R84" s="479"/>
      <c r="S84" s="479"/>
      <c r="T84" s="479"/>
      <c r="U84" s="479"/>
      <c r="V84" s="479"/>
      <c r="W84" s="479"/>
      <c r="X84" s="479"/>
      <c r="Y84" s="479"/>
      <c r="Z84" s="479"/>
      <c r="AA84" s="2"/>
      <c r="AB84" s="2"/>
      <c r="AC84" s="2"/>
      <c r="AD84" s="2"/>
      <c r="AE84" s="2"/>
      <c r="AF84" s="2"/>
      <c r="AG84" s="2"/>
      <c r="AH84" s="2"/>
      <c r="AI84" s="2"/>
    </row>
    <row r="85" spans="1:35" ht="1.9" customHeight="1" x14ac:dyDescent="0.25">
      <c r="A85" s="504"/>
      <c r="B85" s="417"/>
      <c r="C85" s="128"/>
      <c r="D85" s="126"/>
      <c r="E85" s="126"/>
      <c r="F85" s="127"/>
      <c r="G85" s="126"/>
      <c r="H85" s="126"/>
      <c r="I85" s="126"/>
      <c r="J85" s="126"/>
      <c r="K85" s="126"/>
      <c r="L85" s="131"/>
      <c r="M85" s="131"/>
      <c r="N85" s="131"/>
      <c r="O85" s="503"/>
      <c r="P85" s="503"/>
      <c r="Q85" s="479"/>
      <c r="R85" s="479"/>
      <c r="S85" s="479"/>
      <c r="T85" s="479"/>
      <c r="U85" s="479"/>
      <c r="V85" s="479"/>
      <c r="W85" s="479"/>
      <c r="X85" s="479"/>
      <c r="Y85" s="479"/>
      <c r="Z85" s="479"/>
      <c r="AA85" s="2"/>
      <c r="AB85" s="2"/>
      <c r="AC85" s="2"/>
      <c r="AD85" s="2"/>
      <c r="AE85" s="2"/>
      <c r="AF85" s="2"/>
      <c r="AG85" s="2"/>
      <c r="AH85" s="2"/>
      <c r="AI85" s="2"/>
    </row>
    <row r="86" spans="1:35" ht="18" customHeight="1" x14ac:dyDescent="0.25">
      <c r="A86" s="504"/>
      <c r="B86" s="417"/>
      <c r="C86" s="109" t="s">
        <v>747</v>
      </c>
      <c r="D86" s="186">
        <f t="shared" ref="D86:M86" si="8">SUM(D87:D89)</f>
        <v>33.973076923076917</v>
      </c>
      <c r="E86" s="186">
        <f t="shared" si="8"/>
        <v>2.1057692307692317</v>
      </c>
      <c r="F86" s="186">
        <f t="shared" si="8"/>
        <v>45.97596153846154</v>
      </c>
      <c r="G86" s="186">
        <f t="shared" si="8"/>
        <v>31.235576923076923</v>
      </c>
      <c r="H86" s="186">
        <f t="shared" si="8"/>
        <v>16.14423076923077</v>
      </c>
      <c r="I86" s="186">
        <f t="shared" si="8"/>
        <v>0</v>
      </c>
      <c r="J86" s="186">
        <f t="shared" si="8"/>
        <v>0</v>
      </c>
      <c r="K86" s="186">
        <f t="shared" si="8"/>
        <v>0</v>
      </c>
      <c r="L86" s="186">
        <f t="shared" si="8"/>
        <v>47.45</v>
      </c>
      <c r="M86" s="186">
        <f t="shared" si="8"/>
        <v>0</v>
      </c>
      <c r="N86" s="186">
        <f>SUM(D86:M86)</f>
        <v>176.88461538461536</v>
      </c>
      <c r="O86" s="503"/>
      <c r="P86" s="503"/>
      <c r="Q86" s="479"/>
      <c r="R86" s="479"/>
      <c r="S86" s="479"/>
      <c r="T86" s="479"/>
      <c r="U86" s="479"/>
      <c r="V86" s="479"/>
      <c r="W86" s="479"/>
      <c r="X86" s="479"/>
      <c r="Y86" s="479"/>
      <c r="Z86" s="479"/>
      <c r="AA86" s="2"/>
      <c r="AB86" s="2"/>
      <c r="AC86" s="2"/>
      <c r="AD86" s="2"/>
      <c r="AE86" s="2"/>
      <c r="AF86" s="2"/>
      <c r="AG86" s="2"/>
      <c r="AH86" s="2"/>
      <c r="AI86" s="2"/>
    </row>
    <row r="87" spans="1:35" ht="18" customHeight="1" x14ac:dyDescent="0.25">
      <c r="A87" s="504"/>
      <c r="B87" s="417"/>
      <c r="C87" s="108" t="s">
        <v>140</v>
      </c>
      <c r="D87" s="144">
        <f>IF($E$51&gt;0,D43,0)</f>
        <v>33.973076923076917</v>
      </c>
      <c r="E87" s="132">
        <f>IF($E$51&gt;0,E43,0)</f>
        <v>2.1057692307692317</v>
      </c>
      <c r="F87" s="132">
        <f>IF($E$51&gt;0,F43,0)</f>
        <v>45.97596153846154</v>
      </c>
      <c r="G87" s="132">
        <f>IF($E$51&gt;0,G43,0)</f>
        <v>31.235576923076923</v>
      </c>
      <c r="H87" s="132">
        <f>IF($E$51&gt;0,H43,0)</f>
        <v>16.14423076923077</v>
      </c>
      <c r="I87" s="123"/>
      <c r="J87" s="123"/>
      <c r="K87" s="123"/>
      <c r="L87" s="144">
        <f>IF($E$51&gt;0,L43,0)</f>
        <v>47.45</v>
      </c>
      <c r="M87" s="132"/>
      <c r="N87" s="607">
        <f>SUM(D87:M87)</f>
        <v>176.88461538461536</v>
      </c>
      <c r="O87" s="503"/>
      <c r="P87" s="524"/>
      <c r="Q87" s="479"/>
      <c r="R87" s="479"/>
      <c r="S87" s="479"/>
      <c r="T87" s="479"/>
      <c r="U87" s="479"/>
      <c r="V87" s="479"/>
      <c r="W87" s="479"/>
      <c r="X87" s="479"/>
      <c r="Y87" s="479"/>
      <c r="Z87" s="479"/>
      <c r="AA87" s="2"/>
      <c r="AB87" s="2"/>
      <c r="AC87" s="2"/>
      <c r="AD87" s="2"/>
      <c r="AE87" s="2"/>
      <c r="AF87" s="2"/>
      <c r="AG87" s="2"/>
      <c r="AH87" s="2"/>
      <c r="AI87" s="2"/>
    </row>
    <row r="88" spans="1:35" ht="18" customHeight="1" x14ac:dyDescent="0.25">
      <c r="A88" s="504"/>
      <c r="B88" s="417"/>
      <c r="C88" s="108" t="s">
        <v>141</v>
      </c>
      <c r="D88" s="123"/>
      <c r="E88" s="123"/>
      <c r="F88" s="124"/>
      <c r="G88" s="123"/>
      <c r="H88" s="123"/>
      <c r="I88" s="123"/>
      <c r="J88" s="123"/>
      <c r="K88" s="123"/>
      <c r="L88" s="144">
        <f>IF(E50&gt;0,N34,0)</f>
        <v>0</v>
      </c>
      <c r="M88" s="132"/>
      <c r="N88" s="607">
        <f>SUM(D88:M88)</f>
        <v>0</v>
      </c>
      <c r="O88" s="503"/>
      <c r="P88" s="503"/>
      <c r="Q88" s="479"/>
      <c r="R88" s="479"/>
      <c r="S88" s="479"/>
      <c r="T88" s="479"/>
      <c r="U88" s="479"/>
      <c r="V88" s="479"/>
      <c r="W88" s="479"/>
      <c r="X88" s="479"/>
      <c r="Y88" s="479"/>
      <c r="Z88" s="479"/>
      <c r="AA88" s="2"/>
      <c r="AB88" s="2"/>
      <c r="AC88" s="2"/>
      <c r="AD88" s="2"/>
      <c r="AE88" s="2"/>
      <c r="AF88" s="2"/>
      <c r="AG88" s="2"/>
      <c r="AH88" s="2"/>
      <c r="AI88" s="2"/>
    </row>
    <row r="89" spans="1:35" ht="18" customHeight="1" x14ac:dyDescent="0.25">
      <c r="A89" s="504"/>
      <c r="B89" s="417"/>
      <c r="C89" s="108" t="s">
        <v>142</v>
      </c>
      <c r="D89" s="123"/>
      <c r="E89" s="123"/>
      <c r="F89" s="124"/>
      <c r="G89" s="123"/>
      <c r="H89" s="123"/>
      <c r="I89" s="123"/>
      <c r="J89" s="123"/>
      <c r="K89" s="123"/>
      <c r="L89" s="144">
        <f>IF(E49&gt;0,M34,0)</f>
        <v>0</v>
      </c>
      <c r="M89" s="132"/>
      <c r="N89" s="607">
        <f>SUM(D89:M89)</f>
        <v>0</v>
      </c>
      <c r="O89" s="503"/>
      <c r="P89" s="503"/>
      <c r="Q89" s="479"/>
      <c r="R89" s="479"/>
      <c r="S89" s="479"/>
      <c r="T89" s="479"/>
      <c r="U89" s="479"/>
      <c r="V89" s="479"/>
      <c r="W89" s="479"/>
      <c r="X89" s="479"/>
      <c r="Y89" s="479"/>
      <c r="Z89" s="479"/>
      <c r="AA89" s="2"/>
      <c r="AB89" s="2"/>
      <c r="AC89" s="2"/>
      <c r="AD89" s="2"/>
      <c r="AE89" s="2"/>
      <c r="AF89" s="2"/>
      <c r="AG89" s="2"/>
      <c r="AH89" s="2"/>
      <c r="AI89" s="2"/>
    </row>
    <row r="90" spans="1:35" ht="18" customHeight="1" x14ac:dyDescent="0.25">
      <c r="A90" s="504"/>
      <c r="B90" s="417"/>
      <c r="C90" s="109" t="s">
        <v>507</v>
      </c>
      <c r="D90" s="125">
        <f t="shared" ref="D90:M90" si="9">D80-D86</f>
        <v>0</v>
      </c>
      <c r="E90" s="125">
        <f t="shared" si="9"/>
        <v>0</v>
      </c>
      <c r="F90" s="125">
        <f t="shared" si="9"/>
        <v>0</v>
      </c>
      <c r="G90" s="125">
        <f t="shared" si="9"/>
        <v>0</v>
      </c>
      <c r="H90" s="125">
        <f t="shared" si="9"/>
        <v>0</v>
      </c>
      <c r="I90" s="125">
        <f t="shared" si="9"/>
        <v>8.4230769230769234</v>
      </c>
      <c r="J90" s="125">
        <f t="shared" si="9"/>
        <v>8.072115384615385</v>
      </c>
      <c r="K90" s="125">
        <f t="shared" si="9"/>
        <v>2.1057692307692308</v>
      </c>
      <c r="L90" s="125">
        <f t="shared" si="9"/>
        <v>0</v>
      </c>
      <c r="M90" s="125">
        <f t="shared" si="9"/>
        <v>30.697435897435909</v>
      </c>
      <c r="N90" s="599">
        <f>SUM(D90:M90)</f>
        <v>49.298397435897442</v>
      </c>
      <c r="O90" s="503"/>
      <c r="P90" s="522"/>
      <c r="Q90" s="479"/>
      <c r="R90" s="479"/>
      <c r="S90" s="479"/>
      <c r="T90" s="479"/>
      <c r="U90" s="479"/>
      <c r="V90" s="479"/>
      <c r="W90" s="479"/>
      <c r="X90" s="479"/>
      <c r="Y90" s="479"/>
      <c r="Z90" s="479"/>
      <c r="AA90" s="2"/>
      <c r="AB90" s="2"/>
      <c r="AC90" s="2"/>
      <c r="AD90" s="2"/>
      <c r="AE90" s="2"/>
      <c r="AF90" s="2"/>
      <c r="AG90" s="2"/>
      <c r="AH90" s="2"/>
      <c r="AI90" s="2"/>
    </row>
    <row r="91" spans="1:35" ht="1.9" customHeight="1" x14ac:dyDescent="0.25">
      <c r="A91" s="504"/>
      <c r="B91" s="417"/>
      <c r="C91" s="447"/>
      <c r="D91" s="137"/>
      <c r="E91" s="137"/>
      <c r="F91" s="137"/>
      <c r="G91" s="137"/>
      <c r="H91" s="137"/>
      <c r="I91" s="137"/>
      <c r="J91" s="137"/>
      <c r="K91" s="137"/>
      <c r="L91" s="137"/>
      <c r="M91" s="137"/>
      <c r="N91" s="137"/>
      <c r="O91" s="503"/>
      <c r="P91" s="503"/>
      <c r="Q91" s="479"/>
      <c r="R91" s="479"/>
      <c r="S91" s="479"/>
      <c r="T91" s="479"/>
      <c r="U91" s="479"/>
      <c r="V91" s="479"/>
      <c r="W91" s="479"/>
      <c r="X91" s="479"/>
      <c r="Y91" s="479"/>
      <c r="Z91" s="479"/>
      <c r="AA91" s="2"/>
      <c r="AB91" s="2"/>
      <c r="AC91" s="2"/>
      <c r="AD91" s="2"/>
      <c r="AE91" s="2"/>
      <c r="AF91" s="2"/>
      <c r="AG91" s="2"/>
      <c r="AH91" s="2"/>
      <c r="AI91" s="2"/>
    </row>
    <row r="92" spans="1:35" ht="18" customHeight="1" x14ac:dyDescent="0.25">
      <c r="A92" s="504"/>
      <c r="B92" s="417"/>
      <c r="C92" s="108" t="s">
        <v>143</v>
      </c>
      <c r="D92" s="186">
        <f>D90-D94+D97+(IF(I29="Incineração",O32,0))</f>
        <v>0</v>
      </c>
      <c r="E92" s="186">
        <f>E90-E94+E97+(IF(I29="Incineração",O33,0))</f>
        <v>0</v>
      </c>
      <c r="F92" s="186">
        <f t="shared" ref="F92:L92" si="10">F90-F94</f>
        <v>0</v>
      </c>
      <c r="G92" s="186">
        <f t="shared" si="10"/>
        <v>0</v>
      </c>
      <c r="H92" s="186">
        <f t="shared" si="10"/>
        <v>0</v>
      </c>
      <c r="I92" s="186">
        <f t="shared" si="10"/>
        <v>0</v>
      </c>
      <c r="J92" s="186">
        <f t="shared" si="10"/>
        <v>0</v>
      </c>
      <c r="K92" s="186">
        <f t="shared" si="10"/>
        <v>0</v>
      </c>
      <c r="L92" s="186">
        <f t="shared" si="10"/>
        <v>0</v>
      </c>
      <c r="M92" s="186">
        <f>M90-M94+M100+M101</f>
        <v>-1.4210854715202004E-14</v>
      </c>
      <c r="N92" s="186">
        <f>SUM(D92:M93)</f>
        <v>-1.4210854715202004E-14</v>
      </c>
      <c r="O92" s="503"/>
      <c r="P92" s="503"/>
      <c r="Q92" s="479"/>
      <c r="R92" s="479"/>
      <c r="S92" s="479"/>
      <c r="T92" s="479"/>
      <c r="U92" s="479"/>
      <c r="V92" s="479"/>
      <c r="W92" s="479"/>
      <c r="X92" s="479"/>
      <c r="Y92" s="479"/>
      <c r="Z92" s="479"/>
      <c r="AA92" s="2"/>
      <c r="AB92" s="2"/>
      <c r="AC92" s="2"/>
      <c r="AD92" s="2"/>
      <c r="AE92" s="2"/>
      <c r="AF92" s="2"/>
      <c r="AG92" s="2"/>
      <c r="AH92" s="2"/>
      <c r="AI92" s="2"/>
    </row>
    <row r="93" spans="1:35" ht="1.9" customHeight="1" x14ac:dyDescent="0.25">
      <c r="A93" s="504"/>
      <c r="B93" s="417"/>
      <c r="C93" s="447"/>
      <c r="D93" s="223"/>
      <c r="E93" s="223"/>
      <c r="F93" s="223"/>
      <c r="G93" s="223"/>
      <c r="H93" s="223"/>
      <c r="I93" s="223"/>
      <c r="J93" s="223"/>
      <c r="K93" s="223"/>
      <c r="L93" s="223"/>
      <c r="M93" s="223"/>
      <c r="N93" s="608"/>
      <c r="O93" s="503"/>
      <c r="P93" s="503"/>
      <c r="Q93" s="479"/>
      <c r="R93" s="479"/>
      <c r="S93" s="479"/>
      <c r="T93" s="479"/>
      <c r="U93" s="479"/>
      <c r="V93" s="479"/>
      <c r="W93" s="479"/>
      <c r="X93" s="479"/>
      <c r="Y93" s="479"/>
      <c r="Z93" s="479"/>
      <c r="AA93" s="2"/>
      <c r="AB93" s="2"/>
      <c r="AC93" s="2"/>
      <c r="AD93" s="2"/>
      <c r="AE93" s="2"/>
      <c r="AF93" s="2"/>
      <c r="AG93" s="2"/>
      <c r="AH93" s="2"/>
      <c r="AI93" s="2"/>
    </row>
    <row r="94" spans="1:35" ht="18" customHeight="1" x14ac:dyDescent="0.25">
      <c r="A94" s="504"/>
      <c r="B94" s="417"/>
      <c r="C94" s="108" t="s">
        <v>144</v>
      </c>
      <c r="D94" s="186">
        <f t="shared" ref="D94:L94" si="11">SUM(D95:D99)</f>
        <v>0</v>
      </c>
      <c r="E94" s="186">
        <f t="shared" si="11"/>
        <v>0</v>
      </c>
      <c r="F94" s="186">
        <f t="shared" si="11"/>
        <v>0</v>
      </c>
      <c r="G94" s="186">
        <f t="shared" si="11"/>
        <v>0</v>
      </c>
      <c r="H94" s="186">
        <f t="shared" si="11"/>
        <v>0</v>
      </c>
      <c r="I94" s="186">
        <f t="shared" si="11"/>
        <v>8.4230769230769234</v>
      </c>
      <c r="J94" s="186">
        <f t="shared" si="11"/>
        <v>8.072115384615385</v>
      </c>
      <c r="K94" s="186">
        <f t="shared" si="11"/>
        <v>2.1057692307692308</v>
      </c>
      <c r="L94" s="186">
        <f t="shared" si="11"/>
        <v>0</v>
      </c>
      <c r="M94" s="186">
        <f>SUM(M95:M101)</f>
        <v>145.09685897435901</v>
      </c>
      <c r="N94" s="186">
        <f t="shared" ref="N94:N101" si="12">SUM(D94:M94)</f>
        <v>163.69782051282056</v>
      </c>
      <c r="O94" s="503"/>
      <c r="P94" s="524"/>
      <c r="Q94" s="479"/>
      <c r="R94" s="479"/>
      <c r="S94" s="479"/>
      <c r="T94" s="479"/>
      <c r="U94" s="479"/>
      <c r="V94" s="479"/>
      <c r="W94" s="479"/>
      <c r="X94" s="479"/>
      <c r="Y94" s="479"/>
      <c r="Z94" s="479"/>
      <c r="AA94" s="2"/>
      <c r="AB94" s="2"/>
      <c r="AC94" s="2"/>
      <c r="AD94" s="2"/>
      <c r="AE94" s="2"/>
      <c r="AF94" s="2"/>
      <c r="AG94" s="2"/>
      <c r="AH94" s="2"/>
      <c r="AI94" s="2"/>
    </row>
    <row r="95" spans="1:35" ht="18" hidden="1" customHeight="1" x14ac:dyDescent="0.25">
      <c r="A95" s="504"/>
      <c r="B95" s="417"/>
      <c r="C95" s="108" t="s">
        <v>97</v>
      </c>
      <c r="D95" s="130">
        <f t="shared" ref="D95:K95" si="13">IF($H$106&lt;&gt;"Sim",D81,0)</f>
        <v>0</v>
      </c>
      <c r="E95" s="130">
        <f t="shared" si="13"/>
        <v>0</v>
      </c>
      <c r="F95" s="130">
        <f t="shared" si="13"/>
        <v>0</v>
      </c>
      <c r="G95" s="130">
        <f t="shared" si="13"/>
        <v>0</v>
      </c>
      <c r="H95" s="130">
        <f t="shared" si="13"/>
        <v>0</v>
      </c>
      <c r="I95" s="130">
        <f t="shared" si="13"/>
        <v>0</v>
      </c>
      <c r="J95" s="130">
        <f t="shared" si="13"/>
        <v>0</v>
      </c>
      <c r="K95" s="130">
        <f t="shared" si="13"/>
        <v>0</v>
      </c>
      <c r="L95" s="130">
        <f>IF(H106&lt;&gt;"Sim",L81,0)</f>
        <v>0</v>
      </c>
      <c r="M95" s="130">
        <f>IF(H106&lt;&gt;"Sim",M81,0)</f>
        <v>0</v>
      </c>
      <c r="N95" s="600">
        <f t="shared" si="12"/>
        <v>0</v>
      </c>
      <c r="O95" s="503"/>
      <c r="P95" s="524"/>
      <c r="Q95" s="479"/>
      <c r="R95" s="479"/>
      <c r="S95" s="479"/>
      <c r="T95" s="479"/>
      <c r="U95" s="479"/>
      <c r="V95" s="479"/>
      <c r="W95" s="479"/>
      <c r="X95" s="479"/>
      <c r="Y95" s="479"/>
      <c r="Z95" s="479"/>
      <c r="AA95" s="2"/>
      <c r="AB95" s="2"/>
      <c r="AC95" s="2"/>
      <c r="AD95" s="2"/>
      <c r="AE95" s="2"/>
      <c r="AF95" s="2"/>
      <c r="AG95" s="2"/>
      <c r="AH95" s="2"/>
      <c r="AI95" s="2"/>
    </row>
    <row r="96" spans="1:35" ht="18" hidden="1" customHeight="1" x14ac:dyDescent="0.25">
      <c r="A96" s="504"/>
      <c r="B96" s="417"/>
      <c r="C96" s="108" t="s">
        <v>140</v>
      </c>
      <c r="D96" s="130">
        <f t="shared" ref="D96:K96" si="14">IF($E$110&gt;0,0,D82-D86)</f>
        <v>0</v>
      </c>
      <c r="E96" s="130">
        <f t="shared" si="14"/>
        <v>0</v>
      </c>
      <c r="F96" s="130">
        <f t="shared" si="14"/>
        <v>0</v>
      </c>
      <c r="G96" s="130">
        <f t="shared" si="14"/>
        <v>0</v>
      </c>
      <c r="H96" s="130">
        <f t="shared" si="14"/>
        <v>0</v>
      </c>
      <c r="I96" s="130">
        <f t="shared" si="14"/>
        <v>8.4230769230769234</v>
      </c>
      <c r="J96" s="130">
        <f t="shared" si="14"/>
        <v>8.072115384615385</v>
      </c>
      <c r="K96" s="130">
        <f t="shared" si="14"/>
        <v>2.1057692307692308</v>
      </c>
      <c r="L96" s="130">
        <f>IF(OR($I$28="Incineração",I28="CDR"),0,L43)</f>
        <v>0</v>
      </c>
      <c r="M96" s="130">
        <f>IF($I$28="Incineração",0,M43)</f>
        <v>30.697435897435909</v>
      </c>
      <c r="N96" s="600">
        <f t="shared" si="12"/>
        <v>49.298397435897442</v>
      </c>
      <c r="O96" s="503"/>
      <c r="P96" s="524"/>
      <c r="Q96" s="479"/>
      <c r="R96" s="479"/>
      <c r="S96" s="479"/>
      <c r="T96" s="479"/>
      <c r="U96" s="479"/>
      <c r="V96" s="479"/>
      <c r="W96" s="479"/>
      <c r="X96" s="479"/>
      <c r="Y96" s="479"/>
      <c r="Z96" s="479"/>
      <c r="AA96" s="2"/>
      <c r="AB96" s="2"/>
      <c r="AC96" s="2"/>
      <c r="AD96" s="2"/>
      <c r="AE96" s="2"/>
      <c r="AF96" s="2"/>
      <c r="AG96" s="2"/>
      <c r="AH96" s="2"/>
      <c r="AI96" s="2"/>
    </row>
    <row r="97" spans="1:35" ht="18" hidden="1" customHeight="1" x14ac:dyDescent="0.25">
      <c r="A97" s="504"/>
      <c r="B97" s="417"/>
      <c r="C97" s="108" t="s">
        <v>145</v>
      </c>
      <c r="D97" s="130">
        <f>IF(I29="Aterro sanitário",O32,0)</f>
        <v>0</v>
      </c>
      <c r="E97" s="130">
        <f>IF(I29="Aterro sanitário",O33,0)</f>
        <v>0</v>
      </c>
      <c r="F97" s="130"/>
      <c r="G97" s="130"/>
      <c r="H97" s="130"/>
      <c r="I97" s="130"/>
      <c r="J97" s="130"/>
      <c r="K97" s="130"/>
      <c r="L97" s="130"/>
      <c r="M97" s="130"/>
      <c r="N97" s="600">
        <f t="shared" si="12"/>
        <v>0</v>
      </c>
      <c r="O97" s="503"/>
      <c r="P97" s="524"/>
      <c r="Q97" s="479"/>
      <c r="R97" s="479"/>
      <c r="S97" s="479"/>
      <c r="T97" s="479"/>
      <c r="U97" s="479"/>
      <c r="V97" s="479"/>
      <c r="W97" s="479"/>
      <c r="X97" s="479"/>
      <c r="Y97" s="479"/>
      <c r="Z97" s="479"/>
      <c r="AA97" s="2"/>
      <c r="AB97" s="2"/>
      <c r="AC97" s="2"/>
      <c r="AD97" s="2"/>
      <c r="AE97" s="2"/>
      <c r="AF97" s="2"/>
      <c r="AG97" s="2"/>
      <c r="AH97" s="2"/>
      <c r="AI97" s="2"/>
    </row>
    <row r="98" spans="1:35" ht="18" hidden="1" customHeight="1" x14ac:dyDescent="0.25">
      <c r="A98" s="504"/>
      <c r="B98" s="417"/>
      <c r="C98" s="108" t="s">
        <v>141</v>
      </c>
      <c r="D98" s="130"/>
      <c r="E98" s="130"/>
      <c r="F98" s="130"/>
      <c r="G98" s="130"/>
      <c r="H98" s="130"/>
      <c r="I98" s="130"/>
      <c r="J98" s="130"/>
      <c r="K98" s="130"/>
      <c r="L98" s="130">
        <f>IF(OR($E$34="Incineração",$E$34="CDR"),0,$N$34)</f>
        <v>0</v>
      </c>
      <c r="M98" s="130">
        <f>IF($E$34="Incineração",0,$N$35)</f>
        <v>0</v>
      </c>
      <c r="N98" s="600">
        <f t="shared" si="12"/>
        <v>0</v>
      </c>
      <c r="O98" s="503"/>
      <c r="P98" s="524"/>
      <c r="Q98" s="479"/>
      <c r="R98" s="479"/>
      <c r="S98" s="479"/>
      <c r="T98" s="479"/>
      <c r="U98" s="479"/>
      <c r="V98" s="479"/>
      <c r="W98" s="479"/>
      <c r="X98" s="479"/>
      <c r="Y98" s="479"/>
      <c r="Z98" s="479"/>
      <c r="AA98" s="2"/>
      <c r="AB98" s="2"/>
      <c r="AC98" s="2"/>
      <c r="AD98" s="2"/>
      <c r="AE98" s="2"/>
      <c r="AF98" s="2"/>
      <c r="AG98" s="2"/>
      <c r="AH98" s="2"/>
      <c r="AI98" s="2"/>
    </row>
    <row r="99" spans="1:35" ht="18" hidden="1" customHeight="1" x14ac:dyDescent="0.25">
      <c r="A99" s="504"/>
      <c r="B99" s="417"/>
      <c r="C99" s="108" t="s">
        <v>142</v>
      </c>
      <c r="D99" s="130"/>
      <c r="E99" s="130"/>
      <c r="F99" s="130"/>
      <c r="G99" s="130"/>
      <c r="H99" s="130"/>
      <c r="I99" s="130"/>
      <c r="J99" s="130"/>
      <c r="K99" s="130"/>
      <c r="L99" s="130">
        <f>IF(OR($E$30="Incineração",$E$30="CDR"),0,M34)</f>
        <v>0</v>
      </c>
      <c r="M99" s="130">
        <f>IF($E$30="Incineração",0,$M$35)</f>
        <v>0</v>
      </c>
      <c r="N99" s="600">
        <f t="shared" si="12"/>
        <v>0</v>
      </c>
      <c r="O99" s="503"/>
      <c r="P99" s="524"/>
      <c r="Q99" s="479"/>
      <c r="R99" s="479"/>
      <c r="S99" s="479"/>
      <c r="T99" s="479"/>
      <c r="U99" s="479"/>
      <c r="V99" s="479"/>
      <c r="W99" s="479"/>
      <c r="X99" s="479"/>
      <c r="Y99" s="479"/>
      <c r="Z99" s="479"/>
      <c r="AA99" s="2"/>
      <c r="AB99" s="2"/>
      <c r="AC99" s="2"/>
      <c r="AD99" s="2"/>
      <c r="AE99" s="2"/>
      <c r="AF99" s="2"/>
      <c r="AG99" s="2"/>
      <c r="AH99" s="2"/>
      <c r="AI99" s="2"/>
    </row>
    <row r="100" spans="1:35" ht="18" hidden="1" customHeight="1" x14ac:dyDescent="0.25">
      <c r="A100" s="504"/>
      <c r="B100" s="417"/>
      <c r="C100" s="108" t="s">
        <v>146</v>
      </c>
      <c r="D100" s="130"/>
      <c r="E100" s="130"/>
      <c r="F100" s="130"/>
      <c r="G100" s="130"/>
      <c r="H100" s="130"/>
      <c r="I100" s="130"/>
      <c r="J100" s="130"/>
      <c r="K100" s="130"/>
      <c r="L100" s="130"/>
      <c r="M100" s="130">
        <f>O73+O53</f>
        <v>114.39942307692309</v>
      </c>
      <c r="N100" s="600">
        <f t="shared" si="12"/>
        <v>114.39942307692309</v>
      </c>
      <c r="O100" s="503"/>
      <c r="P100" s="524"/>
      <c r="Q100" s="479"/>
      <c r="R100" s="479"/>
      <c r="S100" s="479"/>
      <c r="T100" s="479"/>
      <c r="U100" s="479"/>
      <c r="V100" s="479"/>
      <c r="W100" s="479"/>
      <c r="X100" s="479"/>
      <c r="Y100" s="479"/>
      <c r="Z100" s="479"/>
      <c r="AA100" s="2"/>
      <c r="AB100" s="2"/>
      <c r="AC100" s="2"/>
      <c r="AD100" s="2"/>
      <c r="AE100" s="2"/>
      <c r="AF100" s="2"/>
      <c r="AG100" s="2"/>
      <c r="AH100" s="2"/>
      <c r="AI100" s="2"/>
    </row>
    <row r="101" spans="1:35" ht="18" hidden="1" customHeight="1" x14ac:dyDescent="0.25">
      <c r="A101" s="504"/>
      <c r="B101" s="417"/>
      <c r="C101" s="108" t="s">
        <v>147</v>
      </c>
      <c r="D101" s="130"/>
      <c r="E101" s="130"/>
      <c r="F101" s="130"/>
      <c r="G101" s="130"/>
      <c r="H101" s="130"/>
      <c r="I101" s="130"/>
      <c r="J101" s="130"/>
      <c r="K101" s="130"/>
      <c r="L101" s="130"/>
      <c r="M101" s="130">
        <f>O110</f>
        <v>0</v>
      </c>
      <c r="N101" s="600">
        <f t="shared" si="12"/>
        <v>0</v>
      </c>
      <c r="O101" s="503"/>
      <c r="P101" s="503"/>
      <c r="Q101" s="479"/>
      <c r="R101" s="479"/>
      <c r="S101" s="479"/>
      <c r="T101" s="479"/>
      <c r="U101" s="479"/>
      <c r="V101" s="479"/>
      <c r="W101" s="479"/>
      <c r="X101" s="479"/>
      <c r="Y101" s="479"/>
      <c r="Z101" s="479"/>
      <c r="AA101" s="2"/>
      <c r="AB101" s="2"/>
      <c r="AC101" s="2"/>
      <c r="AD101" s="2"/>
      <c r="AE101" s="2"/>
      <c r="AF101" s="2"/>
      <c r="AG101" s="2"/>
      <c r="AH101" s="2"/>
      <c r="AI101" s="2"/>
    </row>
    <row r="102" spans="1:35" ht="18" customHeight="1" x14ac:dyDescent="0.25">
      <c r="A102" s="504"/>
      <c r="B102" s="606"/>
      <c r="C102" s="604"/>
      <c r="D102" s="503"/>
      <c r="E102" s="503"/>
      <c r="F102" s="503"/>
      <c r="G102" s="503"/>
      <c r="H102" s="503"/>
      <c r="I102" s="503"/>
      <c r="J102" s="503"/>
      <c r="K102" s="503"/>
      <c r="L102" s="503"/>
      <c r="M102" s="503"/>
      <c r="N102" s="503"/>
      <c r="O102" s="503"/>
      <c r="P102" s="503"/>
      <c r="Q102" s="479"/>
      <c r="R102" s="479"/>
      <c r="S102" s="479"/>
      <c r="T102" s="479"/>
      <c r="U102" s="479"/>
      <c r="V102" s="479"/>
      <c r="W102" s="479"/>
      <c r="X102" s="479"/>
      <c r="Y102" s="479"/>
      <c r="Z102" s="479"/>
      <c r="AA102" s="2"/>
      <c r="AB102" s="2"/>
      <c r="AC102" s="2"/>
      <c r="AD102" s="2"/>
      <c r="AE102" s="2"/>
      <c r="AF102" s="2"/>
      <c r="AG102" s="2"/>
      <c r="AH102" s="2"/>
      <c r="AI102" s="2"/>
    </row>
    <row r="103" spans="1:35" ht="18" customHeight="1" x14ac:dyDescent="0.25">
      <c r="A103" s="504"/>
      <c r="B103" s="503"/>
      <c r="C103" s="544"/>
      <c r="D103" s="542"/>
      <c r="E103" s="542"/>
      <c r="F103" s="542"/>
      <c r="G103" s="542"/>
      <c r="H103" s="542"/>
      <c r="I103" s="542"/>
      <c r="J103" s="542"/>
      <c r="K103" s="542"/>
      <c r="L103" s="542"/>
      <c r="M103" s="542"/>
      <c r="N103" s="542"/>
      <c r="O103" s="503"/>
      <c r="P103" s="503"/>
      <c r="Q103" s="479"/>
      <c r="R103" s="479"/>
      <c r="S103" s="479"/>
      <c r="T103" s="479"/>
      <c r="U103" s="479"/>
      <c r="V103" s="479"/>
      <c r="W103" s="479"/>
      <c r="X103" s="479"/>
      <c r="Y103" s="479"/>
      <c r="Z103" s="479"/>
      <c r="AA103" s="2"/>
      <c r="AB103" s="2"/>
      <c r="AC103" s="2"/>
      <c r="AD103" s="2"/>
      <c r="AE103" s="2"/>
      <c r="AF103" s="2"/>
      <c r="AG103" s="2"/>
      <c r="AH103" s="2"/>
      <c r="AI103" s="2"/>
    </row>
    <row r="104" spans="1:35" ht="18" customHeight="1" x14ac:dyDescent="0.25">
      <c r="A104" s="505"/>
      <c r="B104" s="601"/>
      <c r="C104" s="101" t="s">
        <v>148</v>
      </c>
      <c r="D104" s="100"/>
      <c r="E104" s="100"/>
      <c r="F104" s="100"/>
      <c r="G104" s="100"/>
      <c r="H104" s="503"/>
      <c r="I104" s="503"/>
      <c r="J104" s="503"/>
      <c r="K104" s="503"/>
      <c r="L104" s="503"/>
      <c r="M104" s="503"/>
      <c r="N104" s="503"/>
      <c r="O104" s="503"/>
      <c r="P104" s="503"/>
      <c r="Q104" s="479"/>
      <c r="R104" s="479"/>
      <c r="S104" s="479"/>
      <c r="T104" s="479"/>
      <c r="U104" s="479"/>
      <c r="V104" s="479"/>
      <c r="W104" s="479"/>
      <c r="X104" s="479"/>
      <c r="Y104" s="479"/>
      <c r="Z104" s="479"/>
      <c r="AA104" s="2"/>
      <c r="AB104" s="2"/>
      <c r="AC104" s="2"/>
      <c r="AD104" s="2"/>
      <c r="AE104" s="2"/>
      <c r="AF104" s="2"/>
      <c r="AG104" s="2"/>
      <c r="AH104" s="2"/>
      <c r="AI104" s="2"/>
    </row>
    <row r="105" spans="1:35" ht="18" customHeight="1" x14ac:dyDescent="0.25">
      <c r="A105" s="510"/>
      <c r="B105" s="616"/>
      <c r="C105" s="639"/>
      <c r="D105" s="640" t="s">
        <v>63</v>
      </c>
      <c r="E105" s="515"/>
      <c r="F105" s="515"/>
      <c r="G105" s="515"/>
      <c r="H105" s="515"/>
      <c r="I105" s="515"/>
      <c r="J105" s="543"/>
      <c r="K105" s="515"/>
      <c r="L105" s="515"/>
      <c r="M105" s="515"/>
      <c r="N105" s="515"/>
      <c r="O105" s="515"/>
      <c r="P105" s="503"/>
      <c r="Q105" s="479"/>
      <c r="R105" s="479"/>
      <c r="S105" s="479"/>
      <c r="T105" s="479"/>
      <c r="U105" s="479"/>
      <c r="V105" s="479"/>
      <c r="W105" s="479"/>
      <c r="X105" s="479"/>
      <c r="Y105" s="479"/>
      <c r="Z105" s="479"/>
      <c r="AA105" s="2"/>
      <c r="AB105" s="2"/>
      <c r="AC105" s="2"/>
      <c r="AD105" s="2"/>
      <c r="AE105" s="2"/>
      <c r="AF105" s="2"/>
      <c r="AG105" s="2"/>
      <c r="AH105" s="2"/>
      <c r="AI105" s="2"/>
    </row>
    <row r="106" spans="1:35" ht="18" customHeight="1" x14ac:dyDescent="0.25">
      <c r="A106" s="504"/>
      <c r="B106" s="503"/>
      <c r="C106" s="515"/>
      <c r="D106" s="515"/>
      <c r="E106" s="515"/>
      <c r="F106" s="133"/>
      <c r="G106" s="134" t="s">
        <v>149</v>
      </c>
      <c r="H106" s="617" t="s">
        <v>6</v>
      </c>
      <c r="I106" s="515"/>
      <c r="J106" s="515"/>
      <c r="K106" s="515"/>
      <c r="L106" s="182"/>
      <c r="M106" s="143"/>
      <c r="N106" s="117" t="s">
        <v>150</v>
      </c>
      <c r="O106" s="613"/>
      <c r="P106" s="503"/>
      <c r="Q106" s="479"/>
      <c r="R106" s="479"/>
      <c r="S106" s="479"/>
      <c r="T106" s="479"/>
      <c r="U106" s="479"/>
      <c r="V106" s="479"/>
      <c r="W106" s="479"/>
      <c r="X106" s="479"/>
      <c r="Y106" s="479"/>
      <c r="Z106" s="479"/>
      <c r="AA106" s="2"/>
      <c r="AB106" s="2"/>
      <c r="AC106" s="2"/>
      <c r="AD106" s="2"/>
      <c r="AE106" s="2"/>
      <c r="AF106" s="2"/>
      <c r="AG106" s="2"/>
      <c r="AH106" s="2"/>
      <c r="AI106" s="2"/>
    </row>
    <row r="107" spans="1:35" ht="18" customHeight="1" x14ac:dyDescent="0.25">
      <c r="A107" s="504"/>
      <c r="B107" s="503"/>
      <c r="C107" s="450"/>
      <c r="D107" s="109" t="s">
        <v>151</v>
      </c>
      <c r="E107" s="223">
        <f>IF(AND(H106="Sim", I24="Sim"),N15-I27,IF(AND(H106="Sim", I24="Não"),N15,0))</f>
        <v>0</v>
      </c>
      <c r="F107" s="546" t="str">
        <f>IF(AND(H106="Sim",E107=0),"Valor '0,00', mesmo com 'Sim' porque não há mistos sem triagem disponíveis","")</f>
        <v>Valor '0,00', mesmo com 'Sim' porque não há mistos sem triagem disponíveis</v>
      </c>
      <c r="G107" s="515"/>
      <c r="H107" s="515"/>
      <c r="I107" s="515"/>
      <c r="J107" s="515"/>
      <c r="K107" s="515"/>
      <c r="L107" s="611"/>
      <c r="M107" s="549"/>
      <c r="N107" s="116" t="s">
        <v>482</v>
      </c>
      <c r="O107" s="614">
        <f>IF(E112&gt;0,K112*J90*(E110/E112+E107/E112)*(E110+E107)/E112,0)</f>
        <v>0</v>
      </c>
      <c r="P107" s="503"/>
      <c r="Q107" s="479"/>
      <c r="R107" s="479"/>
      <c r="S107" s="479"/>
      <c r="T107" s="479"/>
      <c r="U107" s="479"/>
      <c r="V107" s="479"/>
      <c r="W107" s="479"/>
      <c r="X107" s="479"/>
      <c r="Y107" s="479"/>
      <c r="Z107" s="479"/>
      <c r="AA107" s="2"/>
      <c r="AB107" s="2"/>
      <c r="AC107" s="2"/>
      <c r="AD107" s="2"/>
      <c r="AE107" s="2"/>
      <c r="AF107" s="2"/>
      <c r="AG107" s="2"/>
      <c r="AH107" s="2"/>
      <c r="AI107" s="2"/>
    </row>
    <row r="108" spans="1:35" ht="18" customHeight="1" x14ac:dyDescent="0.25">
      <c r="A108" s="504"/>
      <c r="B108" s="503"/>
      <c r="C108" s="450"/>
      <c r="D108" s="109" t="s">
        <v>479</v>
      </c>
      <c r="E108" s="223">
        <f>IF(E30="Incineração",M34+M35,0)</f>
        <v>0</v>
      </c>
      <c r="F108" s="546" t="str">
        <f>IF(AND(H106="Sim",E107=0),"Neste caso assinale 'Não' acima.","")</f>
        <v>Neste caso assinale 'Não' acima.</v>
      </c>
      <c r="G108" s="515"/>
      <c r="H108" s="547"/>
      <c r="I108" s="515"/>
      <c r="J108" s="545"/>
      <c r="K108" s="515"/>
      <c r="L108" s="611"/>
      <c r="M108" s="549"/>
      <c r="N108" s="116" t="s">
        <v>152</v>
      </c>
      <c r="O108" s="614">
        <f>IF(E112&gt;0,K90*K112*(E107/E112+E110/E112)*(E107+E110)/E112,0)</f>
        <v>0</v>
      </c>
      <c r="P108" s="503"/>
      <c r="Q108" s="479"/>
      <c r="R108" s="479"/>
      <c r="S108" s="479"/>
      <c r="T108" s="479"/>
      <c r="U108" s="479"/>
      <c r="V108" s="479"/>
      <c r="W108" s="479"/>
      <c r="X108" s="479"/>
      <c r="Y108" s="479"/>
      <c r="Z108" s="479"/>
      <c r="AA108" s="2"/>
      <c r="AB108" s="2"/>
      <c r="AC108" s="2"/>
      <c r="AD108" s="2"/>
      <c r="AE108" s="2"/>
      <c r="AF108" s="2"/>
      <c r="AG108" s="2"/>
      <c r="AH108" s="2"/>
      <c r="AI108" s="2"/>
    </row>
    <row r="109" spans="1:35" ht="18" customHeight="1" x14ac:dyDescent="0.25">
      <c r="A109" s="504"/>
      <c r="B109" s="503"/>
      <c r="C109" s="450"/>
      <c r="D109" s="109" t="s">
        <v>480</v>
      </c>
      <c r="E109" s="223">
        <f>IF(E34="Incineração",N34+N35,0)</f>
        <v>0</v>
      </c>
      <c r="F109" s="2687" t="str">
        <f>IF(AND(E112&gt;0,E112&lt;500),"Cap. mín. é 500 t/d.  Rever envios à incineração em H106, E30, E34 ou I28","")</f>
        <v/>
      </c>
      <c r="G109" s="789"/>
      <c r="H109" s="137"/>
      <c r="I109" s="109" t="s">
        <v>153</v>
      </c>
      <c r="J109" s="187">
        <f>'R-Avançado'!F28</f>
        <v>25.2</v>
      </c>
      <c r="K109" s="255"/>
      <c r="L109" s="249"/>
      <c r="M109" s="129"/>
      <c r="N109" s="116" t="s">
        <v>154</v>
      </c>
      <c r="O109" s="614">
        <f>E112*J111/100*J113/100</f>
        <v>0</v>
      </c>
      <c r="P109" s="503"/>
      <c r="Q109" s="479"/>
      <c r="R109" s="479"/>
      <c r="S109" s="479"/>
      <c r="T109" s="479"/>
      <c r="U109" s="479"/>
      <c r="V109" s="479"/>
      <c r="W109" s="479"/>
      <c r="X109" s="479"/>
      <c r="Y109" s="479"/>
      <c r="Z109" s="479"/>
      <c r="AA109" s="2"/>
      <c r="AB109" s="2"/>
      <c r="AC109" s="2"/>
      <c r="AD109" s="2"/>
      <c r="AE109" s="2"/>
      <c r="AF109" s="2"/>
      <c r="AG109" s="2"/>
      <c r="AH109" s="2"/>
      <c r="AI109" s="2"/>
    </row>
    <row r="110" spans="1:35" ht="18" customHeight="1" x14ac:dyDescent="0.25">
      <c r="A110" s="504"/>
      <c r="B110" s="503"/>
      <c r="C110" s="450"/>
      <c r="D110" s="109" t="s">
        <v>481</v>
      </c>
      <c r="E110" s="223">
        <f>IF(I28="Incineração",N43,0)</f>
        <v>0</v>
      </c>
      <c r="F110" s="2688"/>
      <c r="G110" s="550"/>
      <c r="H110" s="550"/>
      <c r="I110" s="550"/>
      <c r="J110" s="554"/>
      <c r="K110" s="609"/>
      <c r="L110" s="611"/>
      <c r="M110" s="549"/>
      <c r="N110" s="116" t="s">
        <v>155</v>
      </c>
      <c r="O110" s="614">
        <f>(E112*J111/100)*(1-J113/100)</f>
        <v>0</v>
      </c>
      <c r="P110" s="503"/>
      <c r="Q110" s="479"/>
      <c r="R110" s="479"/>
      <c r="S110" s="479"/>
      <c r="T110" s="479"/>
      <c r="U110" s="479"/>
      <c r="V110" s="479"/>
      <c r="W110" s="479"/>
      <c r="X110" s="479"/>
      <c r="Y110" s="479"/>
      <c r="Z110" s="479"/>
      <c r="AA110" s="2"/>
      <c r="AB110" s="2"/>
      <c r="AC110" s="2"/>
      <c r="AD110" s="2"/>
      <c r="AE110" s="2"/>
      <c r="AF110" s="2"/>
      <c r="AG110" s="2"/>
      <c r="AH110" s="2"/>
      <c r="AI110" s="2"/>
    </row>
    <row r="111" spans="1:35" ht="18" customHeight="1" x14ac:dyDescent="0.25">
      <c r="A111" s="504"/>
      <c r="B111" s="503"/>
      <c r="C111" s="636"/>
      <c r="D111" s="109" t="s">
        <v>473</v>
      </c>
      <c r="E111" s="113">
        <f>IF(AND(I29&lt;&gt;"Biosecagem CDR",I29&lt;&gt;"Aterro sanitário",I29&lt;&gt;"Tratam. biológico"),L32,0)</f>
        <v>0</v>
      </c>
      <c r="F111" s="2688"/>
      <c r="G111" s="611"/>
      <c r="H111" s="552"/>
      <c r="I111" s="109" t="s">
        <v>156</v>
      </c>
      <c r="J111" s="187">
        <f>'R-Avançado'!F29</f>
        <v>20</v>
      </c>
      <c r="K111" s="610"/>
      <c r="L111" s="611"/>
      <c r="M111" s="549"/>
      <c r="N111" s="116" t="s">
        <v>134</v>
      </c>
      <c r="O111" s="615">
        <f>E112*E114*J109/100</f>
        <v>0</v>
      </c>
      <c r="P111" s="503"/>
      <c r="Q111" s="479"/>
      <c r="R111" s="479"/>
      <c r="S111" s="479"/>
      <c r="T111" s="479"/>
      <c r="U111" s="479"/>
      <c r="V111" s="479"/>
      <c r="W111" s="479"/>
      <c r="X111" s="479"/>
      <c r="Y111" s="479"/>
      <c r="Z111" s="479"/>
      <c r="AA111" s="2"/>
      <c r="AB111" s="2"/>
      <c r="AC111" s="2"/>
      <c r="AD111" s="2"/>
      <c r="AE111" s="2"/>
      <c r="AF111" s="2"/>
      <c r="AG111" s="2"/>
      <c r="AH111" s="2"/>
      <c r="AI111" s="2"/>
    </row>
    <row r="112" spans="1:35" ht="18" customHeight="1" x14ac:dyDescent="0.25">
      <c r="A112" s="504"/>
      <c r="B112" s="503"/>
      <c r="C112" s="450"/>
      <c r="D112" s="109" t="s">
        <v>157</v>
      </c>
      <c r="E112" s="186">
        <f>SUM(E107:E111)</f>
        <v>0</v>
      </c>
      <c r="F112" s="2688"/>
      <c r="G112" s="611"/>
      <c r="H112" s="552"/>
      <c r="I112" s="109" t="s">
        <v>158</v>
      </c>
      <c r="J112" s="138" t="s">
        <v>6</v>
      </c>
      <c r="K112" s="778">
        <f>IF(J112="Sim",'R-Avançado'!F30/100,0)</f>
        <v>0.9</v>
      </c>
      <c r="L112" s="779"/>
      <c r="M112" s="549"/>
      <c r="N112" s="549"/>
      <c r="O112" s="550"/>
      <c r="P112" s="503"/>
      <c r="Q112" s="479"/>
      <c r="R112" s="479"/>
      <c r="S112" s="479"/>
      <c r="T112" s="479"/>
      <c r="U112" s="479"/>
      <c r="V112" s="479"/>
      <c r="W112" s="479"/>
      <c r="X112" s="479"/>
      <c r="Y112" s="479"/>
      <c r="Z112" s="479"/>
      <c r="AA112" s="2"/>
      <c r="AB112" s="2"/>
      <c r="AC112" s="2"/>
      <c r="AD112" s="2"/>
      <c r="AE112" s="2"/>
      <c r="AF112" s="2"/>
      <c r="AG112" s="2"/>
      <c r="AH112" s="2"/>
      <c r="AI112" s="2"/>
    </row>
    <row r="113" spans="1:35" ht="18" customHeight="1" x14ac:dyDescent="0.25">
      <c r="A113" s="504"/>
      <c r="B113" s="503"/>
      <c r="C113" s="549"/>
      <c r="D113" s="500"/>
      <c r="E113" s="550"/>
      <c r="F113" s="2688"/>
      <c r="G113" s="137"/>
      <c r="H113" s="137"/>
      <c r="I113" s="109" t="s">
        <v>159</v>
      </c>
      <c r="J113" s="138">
        <v>0</v>
      </c>
      <c r="K113" s="610"/>
      <c r="L113" s="611"/>
      <c r="M113" s="549"/>
      <c r="N113" s="116" t="s">
        <v>160</v>
      </c>
      <c r="O113" s="612">
        <f>E112*(1-J111/100)-O107-O108</f>
        <v>0</v>
      </c>
      <c r="P113" s="503"/>
      <c r="Q113" s="479"/>
      <c r="R113" s="479"/>
      <c r="S113" s="479"/>
      <c r="T113" s="479"/>
      <c r="U113" s="479"/>
      <c r="V113" s="479"/>
      <c r="W113" s="479"/>
      <c r="X113" s="479"/>
      <c r="Y113" s="479"/>
      <c r="Z113" s="479"/>
      <c r="AA113" s="2"/>
      <c r="AB113" s="2"/>
      <c r="AC113" s="2"/>
      <c r="AD113" s="2"/>
      <c r="AE113" s="2"/>
      <c r="AF113" s="2"/>
      <c r="AG113" s="2"/>
      <c r="AH113" s="2"/>
      <c r="AI113" s="2"/>
    </row>
    <row r="114" spans="1:35" ht="18" customHeight="1" x14ac:dyDescent="0.25">
      <c r="A114" s="504"/>
      <c r="B114" s="503"/>
      <c r="C114" s="450"/>
      <c r="D114" s="109" t="s">
        <v>161</v>
      </c>
      <c r="E114" s="553">
        <f>IF(E112&gt;0,277.78*((D92*'R-Avançado'!E36+E92*'R-Avançado'!F36+F92*'R-Avançado'!G36+G92*'R-Avançado'!H36+H92*'R-Avançado'!I36+I92*'R-Avançado'!J36+J92*'R-Avançado'!K36+K92*'R-Avançado'!L36+L92*'R-Avançado'!M36+M92*'R-Avançado'!N36)/N92),0)</f>
        <v>0</v>
      </c>
      <c r="F114" s="2688"/>
      <c r="G114" s="515"/>
      <c r="H114" s="515"/>
      <c r="I114" s="547"/>
      <c r="J114" s="515"/>
      <c r="K114" s="542"/>
      <c r="L114" s="515"/>
      <c r="M114" s="548"/>
      <c r="N114" s="515"/>
      <c r="O114" s="515"/>
      <c r="P114" s="503"/>
      <c r="Q114" s="479"/>
      <c r="R114" s="479"/>
      <c r="S114" s="479"/>
      <c r="T114" s="479"/>
      <c r="U114" s="479"/>
      <c r="V114" s="479"/>
      <c r="W114" s="479"/>
      <c r="X114" s="479"/>
      <c r="Y114" s="479"/>
      <c r="Z114" s="479"/>
      <c r="AA114" s="2"/>
      <c r="AB114" s="2"/>
      <c r="AC114" s="2"/>
      <c r="AD114" s="2"/>
      <c r="AE114" s="2"/>
      <c r="AF114" s="2"/>
      <c r="AG114" s="2"/>
      <c r="AH114" s="2"/>
      <c r="AI114" s="2"/>
    </row>
    <row r="115" spans="1:35" ht="18" customHeight="1" x14ac:dyDescent="0.25">
      <c r="A115" s="504"/>
      <c r="B115" s="503"/>
      <c r="C115" s="515"/>
      <c r="D115" s="496"/>
      <c r="E115" s="515"/>
      <c r="F115" s="2688"/>
      <c r="G115" s="515"/>
      <c r="H115" s="515"/>
      <c r="I115" s="515"/>
      <c r="J115" s="515"/>
      <c r="K115" s="515"/>
      <c r="L115" s="515"/>
      <c r="M115" s="515"/>
      <c r="N115" s="515"/>
      <c r="O115" s="515"/>
      <c r="P115" s="503"/>
      <c r="Q115" s="479"/>
      <c r="R115" s="479"/>
      <c r="S115" s="479"/>
      <c r="T115" s="479"/>
      <c r="U115" s="479"/>
      <c r="V115" s="479"/>
      <c r="W115" s="479"/>
      <c r="X115" s="479"/>
      <c r="Y115" s="479"/>
      <c r="Z115" s="479"/>
      <c r="AA115" s="2"/>
      <c r="AB115" s="2"/>
      <c r="AC115" s="2"/>
      <c r="AD115" s="2"/>
      <c r="AE115" s="2"/>
      <c r="AF115" s="2"/>
      <c r="AG115" s="2"/>
      <c r="AH115" s="2"/>
      <c r="AI115" s="2"/>
    </row>
    <row r="116" spans="1:35" ht="18" customHeight="1" x14ac:dyDescent="0.25">
      <c r="A116" s="504"/>
      <c r="B116" s="503"/>
      <c r="C116" s="408"/>
      <c r="D116" s="408"/>
      <c r="E116" s="515"/>
      <c r="F116" s="515"/>
      <c r="G116" s="515"/>
      <c r="H116" s="515"/>
      <c r="I116" s="515"/>
      <c r="J116" s="515"/>
      <c r="K116" s="515"/>
      <c r="L116" s="515"/>
      <c r="M116" s="515"/>
      <c r="N116" s="515"/>
      <c r="O116" s="515"/>
      <c r="P116" s="503"/>
      <c r="Q116" s="479"/>
      <c r="R116" s="479"/>
      <c r="S116" s="479"/>
      <c r="T116" s="479"/>
      <c r="U116" s="479"/>
      <c r="V116" s="479"/>
      <c r="W116" s="479"/>
      <c r="X116" s="479"/>
      <c r="Y116" s="479"/>
      <c r="Z116" s="479"/>
      <c r="AA116" s="2"/>
      <c r="AB116" s="2"/>
      <c r="AC116" s="2"/>
      <c r="AD116" s="2"/>
      <c r="AE116" s="2"/>
      <c r="AF116" s="2"/>
      <c r="AG116" s="2"/>
      <c r="AH116" s="2"/>
      <c r="AI116" s="2"/>
    </row>
    <row r="117" spans="1:35" ht="18" customHeight="1" x14ac:dyDescent="0.25">
      <c r="A117" s="505"/>
      <c r="B117" s="601"/>
      <c r="C117" s="101" t="s">
        <v>162</v>
      </c>
      <c r="D117" s="100"/>
      <c r="E117" s="100"/>
      <c r="F117" s="100"/>
      <c r="G117" s="100"/>
      <c r="H117" s="408"/>
      <c r="I117" s="408"/>
      <c r="J117" s="515"/>
      <c r="K117" s="515"/>
      <c r="L117" s="515"/>
      <c r="M117" s="515"/>
      <c r="N117" s="515"/>
      <c r="O117" s="515"/>
      <c r="P117" s="503"/>
      <c r="Q117" s="479"/>
      <c r="R117" s="479"/>
      <c r="S117" s="479"/>
      <c r="T117" s="479"/>
      <c r="U117" s="479"/>
      <c r="V117" s="479"/>
      <c r="W117" s="479"/>
      <c r="X117" s="479"/>
      <c r="Y117" s="479"/>
      <c r="Z117" s="479"/>
      <c r="AA117" s="2"/>
      <c r="AB117" s="2"/>
      <c r="AC117" s="2"/>
      <c r="AD117" s="2"/>
      <c r="AE117" s="2"/>
      <c r="AF117" s="2"/>
      <c r="AG117" s="2"/>
      <c r="AH117" s="2"/>
      <c r="AI117" s="2"/>
    </row>
    <row r="118" spans="1:35" ht="18" customHeight="1" x14ac:dyDescent="0.25">
      <c r="A118" s="511"/>
      <c r="B118" s="511"/>
      <c r="C118" s="618"/>
      <c r="D118" s="619" t="s">
        <v>64</v>
      </c>
      <c r="E118" s="620"/>
      <c r="F118" s="515"/>
      <c r="G118" s="515"/>
      <c r="H118" s="234"/>
      <c r="I118" s="143" t="s">
        <v>238</v>
      </c>
      <c r="J118" s="233"/>
      <c r="K118" s="515"/>
      <c r="L118" s="515"/>
      <c r="M118" s="515"/>
      <c r="N118" s="515"/>
      <c r="O118" s="515"/>
      <c r="P118" s="503"/>
      <c r="Q118" s="479"/>
      <c r="R118" s="479"/>
      <c r="S118" s="479"/>
      <c r="T118" s="479"/>
      <c r="U118" s="479"/>
      <c r="V118" s="479"/>
      <c r="W118" s="479"/>
      <c r="X118" s="479"/>
      <c r="Y118" s="479"/>
      <c r="Z118" s="479"/>
      <c r="AA118" s="2"/>
      <c r="AB118" s="2"/>
      <c r="AC118" s="2"/>
      <c r="AD118" s="2"/>
      <c r="AE118" s="2"/>
      <c r="AF118" s="2"/>
      <c r="AG118" s="2"/>
      <c r="AH118" s="2"/>
      <c r="AI118" s="2"/>
    </row>
    <row r="119" spans="1:35" ht="18" customHeight="1" x14ac:dyDescent="0.25">
      <c r="A119" s="504"/>
      <c r="B119" s="503"/>
      <c r="C119" s="450"/>
      <c r="D119" s="109" t="s">
        <v>163</v>
      </c>
      <c r="E119" s="186">
        <f>N94</f>
        <v>163.69782051282056</v>
      </c>
      <c r="F119" s="515"/>
      <c r="G119" s="515"/>
      <c r="H119" s="551"/>
      <c r="I119" s="534" t="s">
        <v>164</v>
      </c>
      <c r="J119" s="624">
        <f>IF(AND(E122="Rota atual",E123="Disp. Inadequada"),100,0)</f>
        <v>0</v>
      </c>
      <c r="K119" s="515"/>
      <c r="L119" s="234"/>
      <c r="M119" s="135"/>
      <c r="N119" s="117" t="s">
        <v>165</v>
      </c>
      <c r="O119" s="233"/>
      <c r="P119" s="503"/>
      <c r="Q119" s="479"/>
      <c r="R119" s="479"/>
      <c r="S119" s="479"/>
      <c r="T119" s="479"/>
      <c r="U119" s="479"/>
      <c r="V119" s="479"/>
      <c r="W119" s="479"/>
      <c r="X119" s="479"/>
      <c r="Y119" s="479"/>
      <c r="Z119" s="479"/>
      <c r="AA119" s="2"/>
      <c r="AB119" s="2"/>
      <c r="AC119" s="2"/>
      <c r="AD119" s="2"/>
      <c r="AE119" s="2"/>
      <c r="AF119" s="2"/>
      <c r="AG119" s="2"/>
      <c r="AH119" s="2"/>
      <c r="AI119" s="2"/>
    </row>
    <row r="120" spans="1:35" ht="18" customHeight="1" x14ac:dyDescent="0.25">
      <c r="A120" s="504"/>
      <c r="B120" s="503"/>
      <c r="C120" s="408"/>
      <c r="D120" s="401"/>
      <c r="E120" s="515"/>
      <c r="F120" s="515"/>
      <c r="G120" s="515"/>
      <c r="H120" s="450"/>
      <c r="I120" s="109" t="s">
        <v>166</v>
      </c>
      <c r="J120" s="455">
        <f>IF(J119=0,100-J121-J119,0)</f>
        <v>100</v>
      </c>
      <c r="K120" s="515"/>
      <c r="L120" s="137"/>
      <c r="M120" s="137"/>
      <c r="N120" s="109" t="s">
        <v>167</v>
      </c>
      <c r="O120" s="617" t="s">
        <v>7</v>
      </c>
      <c r="P120" s="503"/>
      <c r="Q120" s="479"/>
      <c r="R120" s="479" t="s">
        <v>168</v>
      </c>
      <c r="S120" s="479" t="s">
        <v>169</v>
      </c>
      <c r="T120" s="479" t="s">
        <v>170</v>
      </c>
      <c r="U120" s="479"/>
      <c r="V120" s="479"/>
      <c r="W120" s="479"/>
      <c r="X120" s="479"/>
      <c r="Y120" s="479"/>
      <c r="Z120" s="479"/>
      <c r="AA120" s="2"/>
      <c r="AB120" s="2"/>
      <c r="AC120" s="2"/>
      <c r="AD120" s="2"/>
      <c r="AE120" s="2"/>
      <c r="AF120" s="2"/>
      <c r="AG120" s="2"/>
      <c r="AH120" s="2"/>
      <c r="AI120" s="2"/>
    </row>
    <row r="121" spans="1:35" ht="18" customHeight="1" x14ac:dyDescent="0.25">
      <c r="A121" s="504"/>
      <c r="B121" s="503"/>
      <c r="C121" s="450"/>
      <c r="D121" s="109" t="s">
        <v>483</v>
      </c>
      <c r="E121" s="617" t="s">
        <v>168</v>
      </c>
      <c r="F121" s="515"/>
      <c r="G121" s="515"/>
      <c r="H121" s="450"/>
      <c r="I121" s="109" t="s">
        <v>171</v>
      </c>
      <c r="J121" s="625">
        <v>0</v>
      </c>
      <c r="K121" s="515"/>
      <c r="L121" s="611"/>
      <c r="M121" s="552"/>
      <c r="N121" s="109" t="s">
        <v>172</v>
      </c>
      <c r="O121" s="625">
        <v>120</v>
      </c>
      <c r="P121" s="503"/>
      <c r="Q121" s="479"/>
      <c r="R121" s="479" t="s">
        <v>173</v>
      </c>
      <c r="S121" s="479" t="s">
        <v>174</v>
      </c>
      <c r="T121" s="479" t="s">
        <v>64</v>
      </c>
      <c r="U121" s="479"/>
      <c r="V121" s="479"/>
      <c r="W121" s="479"/>
      <c r="X121" s="479"/>
      <c r="Y121" s="479"/>
      <c r="Z121" s="479"/>
      <c r="AA121" s="2"/>
      <c r="AB121" s="2"/>
      <c r="AC121" s="2"/>
      <c r="AD121" s="2"/>
      <c r="AE121" s="2"/>
      <c r="AF121" s="2"/>
      <c r="AG121" s="2"/>
      <c r="AH121" s="2"/>
      <c r="AI121" s="2"/>
    </row>
    <row r="122" spans="1:35" ht="18" customHeight="1" x14ac:dyDescent="0.25">
      <c r="A122" s="504"/>
      <c r="B122" s="503"/>
      <c r="C122" s="450"/>
      <c r="D122" s="109" t="s">
        <v>446</v>
      </c>
      <c r="E122" s="617" t="s">
        <v>174</v>
      </c>
      <c r="F122" s="515"/>
      <c r="G122" s="515"/>
      <c r="H122" s="408"/>
      <c r="I122" s="790" t="str">
        <f>IF(AND((J119+J121)&gt;100,J119=100),"                   Erro: rever valor! J121 deve ser zero","")</f>
        <v/>
      </c>
      <c r="J122" s="515"/>
      <c r="K122" s="515"/>
      <c r="L122" s="137"/>
      <c r="M122" s="137"/>
      <c r="N122" s="109" t="s">
        <v>175</v>
      </c>
      <c r="O122" s="625">
        <v>100</v>
      </c>
      <c r="P122" s="503"/>
      <c r="Q122" s="479"/>
      <c r="R122" s="479"/>
      <c r="S122" s="479"/>
      <c r="T122" s="479"/>
      <c r="U122" s="479"/>
      <c r="V122" s="479"/>
      <c r="W122" s="479"/>
      <c r="X122" s="479"/>
      <c r="Y122" s="479"/>
      <c r="Z122" s="479"/>
      <c r="AA122" s="2"/>
      <c r="AB122" s="2"/>
      <c r="AC122" s="2"/>
      <c r="AD122" s="2"/>
      <c r="AE122" s="2"/>
      <c r="AF122" s="2"/>
      <c r="AG122" s="2"/>
      <c r="AH122" s="2"/>
      <c r="AI122" s="2"/>
    </row>
    <row r="123" spans="1:35" ht="18" customHeight="1" x14ac:dyDescent="0.25">
      <c r="A123" s="504"/>
      <c r="B123" s="503"/>
      <c r="C123" s="408"/>
      <c r="D123" s="496" t="str">
        <f>IF(E122="Rota Atual","qual o tipo de disposição final atual? ","")</f>
        <v/>
      </c>
      <c r="E123" s="842" t="s">
        <v>170</v>
      </c>
      <c r="F123" s="515"/>
      <c r="G123" s="515"/>
      <c r="H123" s="450"/>
      <c r="I123" s="109" t="s">
        <v>124</v>
      </c>
      <c r="J123" s="625" t="s">
        <v>7</v>
      </c>
      <c r="K123" s="515"/>
      <c r="L123" s="550"/>
      <c r="M123" s="550"/>
      <c r="N123" s="550"/>
      <c r="O123" s="550"/>
      <c r="P123" s="503"/>
      <c r="Q123" s="479"/>
      <c r="R123" s="479" t="s">
        <v>176</v>
      </c>
      <c r="S123" s="479"/>
      <c r="T123" s="479"/>
      <c r="U123" s="479"/>
      <c r="V123" s="479"/>
      <c r="W123" s="479"/>
      <c r="X123" s="479"/>
      <c r="Y123" s="479"/>
      <c r="Z123" s="479"/>
      <c r="AA123" s="2"/>
      <c r="AB123" s="2"/>
      <c r="AC123" s="2"/>
      <c r="AD123" s="2"/>
      <c r="AE123" s="2"/>
      <c r="AF123" s="2"/>
      <c r="AG123" s="2"/>
      <c r="AH123" s="2"/>
      <c r="AI123" s="2"/>
    </row>
    <row r="124" spans="1:35" ht="18" customHeight="1" x14ac:dyDescent="0.25">
      <c r="A124" s="504"/>
      <c r="B124" s="503"/>
      <c r="C124" s="408"/>
      <c r="D124" s="401"/>
      <c r="E124" s="515"/>
      <c r="F124" s="515"/>
      <c r="G124" s="515"/>
      <c r="H124" s="450"/>
      <c r="I124" s="109" t="s">
        <v>122</v>
      </c>
      <c r="J124" s="624" t="str">
        <f>IF(J123="Não","Sim","Não")</f>
        <v>Sim</v>
      </c>
      <c r="K124" s="515"/>
      <c r="L124" s="611"/>
      <c r="M124" s="552"/>
      <c r="N124" s="109" t="s">
        <v>177</v>
      </c>
      <c r="O124" s="186">
        <f>IF(O120&lt;&gt;"Sim",0,IF(AND(O122=0,O120="Sim"),E119,E119*O122/100))</f>
        <v>0</v>
      </c>
      <c r="P124" s="503"/>
      <c r="Q124" s="479"/>
      <c r="R124" s="479" t="s">
        <v>118</v>
      </c>
      <c r="S124" s="479"/>
      <c r="T124" s="479"/>
      <c r="U124" s="479"/>
      <c r="V124" s="479"/>
      <c r="W124" s="479"/>
      <c r="X124" s="479"/>
      <c r="Y124" s="479"/>
      <c r="Z124" s="479"/>
      <c r="AA124" s="2"/>
      <c r="AB124" s="2"/>
      <c r="AC124" s="2"/>
      <c r="AD124" s="2"/>
      <c r="AE124" s="2"/>
      <c r="AF124" s="2"/>
      <c r="AG124" s="2"/>
      <c r="AH124" s="2"/>
      <c r="AI124" s="2"/>
    </row>
    <row r="125" spans="1:35" ht="18" customHeight="1" x14ac:dyDescent="0.25">
      <c r="A125" s="504"/>
      <c r="B125" s="503"/>
      <c r="C125" s="450"/>
      <c r="D125" s="109" t="s">
        <v>178</v>
      </c>
      <c r="E125" s="621">
        <f>D94*'R-Avançado'!E37+E94*'R-Avançado'!F37+F94*'R-Avançado'!G37+G94*'R-Avançado'!H37+H94*'R-Avançado'!I37+I94*'R-Avançado'!J37+J94*'R-Avançado'!K37+K94*'R-Avançado'!L37+L94*'R-Avançado'!M37+M94*'R-Avançado'!N37</f>
        <v>0</v>
      </c>
      <c r="F125" s="515"/>
      <c r="G125" s="515"/>
      <c r="H125" s="408"/>
      <c r="I125" s="408"/>
      <c r="J125" s="515"/>
      <c r="K125" s="515"/>
      <c r="L125" s="515"/>
      <c r="M125" s="515"/>
      <c r="N125" s="496"/>
      <c r="O125" s="515"/>
      <c r="P125" s="503"/>
      <c r="Q125" s="479"/>
      <c r="R125" s="479" t="s">
        <v>88</v>
      </c>
      <c r="S125" s="479"/>
      <c r="T125" s="479"/>
      <c r="U125" s="479"/>
      <c r="V125" s="479"/>
      <c r="W125" s="479"/>
      <c r="X125" s="479"/>
      <c r="Y125" s="479"/>
      <c r="Z125" s="479"/>
      <c r="AA125" s="2"/>
      <c r="AB125" s="2"/>
      <c r="AC125" s="2"/>
      <c r="AD125" s="2"/>
      <c r="AE125" s="2"/>
      <c r="AF125" s="2"/>
      <c r="AG125" s="2"/>
      <c r="AH125" s="2"/>
      <c r="AI125" s="2"/>
    </row>
    <row r="126" spans="1:35" ht="18" customHeight="1" x14ac:dyDescent="0.25">
      <c r="A126" s="504"/>
      <c r="B126" s="503"/>
      <c r="C126" s="450"/>
      <c r="D126" s="109" t="s">
        <v>179</v>
      </c>
      <c r="E126" s="553">
        <f>D94*'R-Avançado'!E38+E94*'R-Avançado'!F38+F94*'R-Avançado'!G38+G94*'R-Avançado'!H38+H94*'R-Avançado'!I38+I94*'R-Avançado'!J38+J94*'R-Avançado'!K38+K94*'R-Avançado'!L38+L94*'R-Avançado'!M38+M94*'R-Avançado'!N38</f>
        <v>110.40501282051285</v>
      </c>
      <c r="F126" s="515"/>
      <c r="G126" s="515"/>
      <c r="H126" s="234"/>
      <c r="I126" s="143" t="s">
        <v>150</v>
      </c>
      <c r="J126" s="233"/>
      <c r="K126" s="515"/>
      <c r="L126" s="515"/>
      <c r="M126" s="515"/>
      <c r="N126" s="496"/>
      <c r="O126" s="515"/>
      <c r="P126" s="503"/>
      <c r="Q126" s="479"/>
      <c r="R126" s="479" t="s">
        <v>180</v>
      </c>
      <c r="S126" s="479"/>
      <c r="T126" s="479"/>
      <c r="U126" s="479"/>
      <c r="V126" s="479"/>
      <c r="W126" s="479"/>
      <c r="X126" s="479"/>
      <c r="Y126" s="479"/>
      <c r="Z126" s="479"/>
      <c r="AA126" s="2"/>
      <c r="AB126" s="2"/>
      <c r="AC126" s="2"/>
      <c r="AD126" s="2"/>
      <c r="AE126" s="2"/>
      <c r="AF126" s="2"/>
      <c r="AG126" s="2"/>
      <c r="AH126" s="2"/>
      <c r="AI126" s="2"/>
    </row>
    <row r="127" spans="1:35" ht="18" customHeight="1" x14ac:dyDescent="0.25">
      <c r="A127" s="504"/>
      <c r="B127" s="503"/>
      <c r="C127" s="514"/>
      <c r="D127" s="790" t="str">
        <f>IF(OR(AND(F128=0,AND(E122="Rota atual",E123&lt;&gt;"Disp. Inadequada")), AND(F128=0,E122="Rota futura")),"Atenção, escolha eficiência de captação Alta, Média ou Baixa!","")</f>
        <v/>
      </c>
      <c r="E127" s="515"/>
      <c r="F127" s="515"/>
      <c r="G127" s="515"/>
      <c r="H127" s="450"/>
      <c r="I127" s="109" t="s">
        <v>134</v>
      </c>
      <c r="J127" s="615">
        <f>IF(AND(J123&lt;&gt;"Não",J121&gt;0,J119&lt;&gt;100),E129*'R-Avançado'!O28*'R-Avançado'!O29/100*J121/100*0.2777778,0)</f>
        <v>0</v>
      </c>
      <c r="K127" s="515"/>
      <c r="L127" s="515"/>
      <c r="M127" s="515"/>
      <c r="N127" s="515"/>
      <c r="O127" s="515"/>
      <c r="P127" s="503"/>
      <c r="Q127" s="479"/>
      <c r="R127" s="479"/>
      <c r="S127" s="479"/>
      <c r="T127" s="479"/>
      <c r="U127" s="479"/>
      <c r="V127" s="479"/>
      <c r="W127" s="479"/>
      <c r="X127" s="479"/>
      <c r="Y127" s="479"/>
      <c r="Z127" s="479"/>
      <c r="AA127" s="2"/>
      <c r="AB127" s="2"/>
      <c r="AC127" s="2"/>
      <c r="AD127" s="2"/>
      <c r="AE127" s="2"/>
      <c r="AF127" s="2"/>
      <c r="AG127" s="2"/>
      <c r="AH127" s="2"/>
      <c r="AI127" s="2"/>
    </row>
    <row r="128" spans="1:35" ht="18" customHeight="1" x14ac:dyDescent="0.25">
      <c r="A128" s="504"/>
      <c r="B128" s="503"/>
      <c r="C128" s="450"/>
      <c r="D128" s="109" t="s">
        <v>181</v>
      </c>
      <c r="E128" s="140" t="s">
        <v>118</v>
      </c>
      <c r="F128" s="250">
        <f>IF(E128="Alta",'R-Avançado'!H29/100,IF(E128="Baixa",'R-Avançado'!J29/100,IF(E128="Sem captação",0,'R-Avançado'!I29/100)))</f>
        <v>0.3</v>
      </c>
      <c r="G128" s="133"/>
      <c r="H128" s="450"/>
      <c r="I128" s="109" t="s">
        <v>182</v>
      </c>
      <c r="J128" s="615">
        <f>IF(AND(J124&lt;&gt;"Não",J121&gt;0,J119&lt;&gt;100),E129*'R-Avançado'!O30/100*J121/100*0.2777778,0)</f>
        <v>0</v>
      </c>
      <c r="K128" s="515"/>
      <c r="L128" s="515"/>
      <c r="M128" s="515"/>
      <c r="N128" s="515"/>
      <c r="O128" s="515"/>
      <c r="P128" s="503"/>
      <c r="Q128" s="479"/>
      <c r="R128" s="479"/>
      <c r="S128" s="479"/>
      <c r="T128" s="479"/>
      <c r="U128" s="479"/>
      <c r="V128" s="479"/>
      <c r="W128" s="479"/>
      <c r="X128" s="479"/>
      <c r="Y128" s="479"/>
      <c r="Z128" s="479"/>
      <c r="AA128" s="2"/>
      <c r="AB128" s="2"/>
      <c r="AC128" s="2"/>
      <c r="AD128" s="2"/>
      <c r="AE128" s="2"/>
      <c r="AF128" s="2"/>
      <c r="AG128" s="2"/>
      <c r="AH128" s="2"/>
      <c r="AI128" s="2"/>
    </row>
    <row r="129" spans="1:35" ht="18" customHeight="1" x14ac:dyDescent="0.25">
      <c r="A129" s="504"/>
      <c r="B129" s="503"/>
      <c r="C129" s="623"/>
      <c r="D129" s="109" t="s">
        <v>183</v>
      </c>
      <c r="E129" s="188">
        <f>E125*F128</f>
        <v>0</v>
      </c>
      <c r="F129" s="622"/>
      <c r="G129" s="503"/>
      <c r="H129" s="503"/>
      <c r="I129" s="555"/>
      <c r="J129" s="503"/>
      <c r="K129" s="503"/>
      <c r="L129" s="503"/>
      <c r="M129" s="503"/>
      <c r="N129" s="503"/>
      <c r="O129" s="503"/>
      <c r="P129" s="503"/>
      <c r="Q129" s="479"/>
      <c r="R129" s="479"/>
      <c r="S129" s="479"/>
      <c r="T129" s="479"/>
      <c r="U129" s="479"/>
      <c r="V129" s="479"/>
      <c r="W129" s="479"/>
      <c r="X129" s="479"/>
      <c r="Y129" s="479"/>
      <c r="Z129" s="479"/>
      <c r="AA129" s="2"/>
      <c r="AB129" s="2"/>
      <c r="AC129" s="2"/>
      <c r="AD129" s="2"/>
      <c r="AE129" s="2"/>
      <c r="AF129" s="2"/>
      <c r="AG129" s="2"/>
      <c r="AH129" s="2"/>
      <c r="AI129" s="2"/>
    </row>
    <row r="130" spans="1:35" ht="18" customHeight="1" x14ac:dyDescent="0.25">
      <c r="A130" s="504"/>
      <c r="B130" s="503"/>
      <c r="C130" s="503"/>
      <c r="D130" s="503"/>
      <c r="E130" s="503"/>
      <c r="F130" s="503"/>
      <c r="G130" s="503"/>
      <c r="H130" s="503"/>
      <c r="I130" s="503"/>
      <c r="J130" s="503"/>
      <c r="K130" s="503"/>
      <c r="L130" s="503"/>
      <c r="M130" s="503"/>
      <c r="N130" s="503"/>
      <c r="O130" s="503"/>
      <c r="P130" s="503"/>
      <c r="Q130" s="479"/>
      <c r="R130" s="479"/>
      <c r="S130" s="479"/>
      <c r="T130" s="479"/>
      <c r="U130" s="479"/>
      <c r="V130" s="479"/>
      <c r="W130" s="479"/>
      <c r="X130" s="479"/>
      <c r="Y130" s="479"/>
      <c r="Z130" s="479"/>
      <c r="AA130" s="2"/>
      <c r="AB130" s="2"/>
      <c r="AC130" s="2"/>
      <c r="AD130" s="2"/>
      <c r="AE130" s="2"/>
      <c r="AF130" s="2"/>
      <c r="AG130" s="2"/>
      <c r="AH130" s="2"/>
      <c r="AI130" s="2"/>
    </row>
    <row r="131" spans="1:35" ht="25.9" customHeight="1" x14ac:dyDescent="0.25">
      <c r="A131" s="504"/>
      <c r="B131" s="503"/>
      <c r="C131" s="503"/>
      <c r="D131" s="512"/>
      <c r="E131" s="503"/>
      <c r="F131" s="503"/>
      <c r="G131" s="503"/>
      <c r="H131" s="503"/>
      <c r="I131" s="503"/>
      <c r="J131" s="503"/>
      <c r="K131" s="503"/>
      <c r="L131" s="503"/>
      <c r="M131" s="503"/>
      <c r="N131" s="503"/>
      <c r="O131" s="503"/>
      <c r="P131" s="503"/>
      <c r="Q131" s="479"/>
      <c r="R131" s="479"/>
      <c r="S131" s="479"/>
      <c r="T131" s="479"/>
      <c r="U131" s="479"/>
      <c r="V131" s="479"/>
      <c r="W131" s="479"/>
      <c r="X131" s="479"/>
      <c r="Y131" s="479"/>
      <c r="Z131" s="479"/>
      <c r="AA131" s="2"/>
      <c r="AB131" s="2"/>
      <c r="AC131" s="2"/>
      <c r="AD131" s="2"/>
      <c r="AE131" s="2"/>
      <c r="AF131" s="2"/>
      <c r="AG131" s="2"/>
      <c r="AH131" s="2"/>
      <c r="AI131" s="2"/>
    </row>
    <row r="132" spans="1:35" ht="25.9" customHeight="1" x14ac:dyDescent="0.25">
      <c r="A132" s="504"/>
      <c r="B132" s="503"/>
      <c r="C132" s="630" t="s">
        <v>689</v>
      </c>
      <c r="D132" s="631"/>
      <c r="E132" s="631"/>
      <c r="F132" s="626"/>
      <c r="G132" s="503"/>
      <c r="H132" s="503"/>
      <c r="I132" s="503"/>
      <c r="J132" s="503"/>
      <c r="K132" s="503"/>
      <c r="L132" s="503"/>
      <c r="M132" s="503"/>
      <c r="N132" s="503"/>
      <c r="O132" s="503"/>
      <c r="P132" s="503"/>
      <c r="Q132" s="479"/>
      <c r="R132" s="479"/>
      <c r="S132" s="479"/>
      <c r="T132" s="479"/>
      <c r="U132" s="479"/>
      <c r="V132" s="479"/>
      <c r="W132" s="479"/>
      <c r="X132" s="479"/>
      <c r="Y132" s="479"/>
      <c r="Z132" s="479"/>
      <c r="AA132" s="2"/>
      <c r="AB132" s="2"/>
      <c r="AC132" s="2"/>
      <c r="AD132" s="2"/>
      <c r="AE132" s="2"/>
      <c r="AF132" s="2"/>
      <c r="AG132" s="2"/>
      <c r="AH132" s="2"/>
      <c r="AI132" s="2"/>
    </row>
    <row r="133" spans="1:35" ht="12.4" customHeight="1" x14ac:dyDescent="0.25">
      <c r="A133" s="504"/>
      <c r="B133" s="503"/>
      <c r="C133" s="626"/>
      <c r="D133" s="626"/>
      <c r="E133" s="626"/>
      <c r="F133" s="626"/>
      <c r="G133" s="503"/>
      <c r="H133" s="503"/>
      <c r="I133" s="503"/>
      <c r="J133" s="503"/>
      <c r="K133" s="503"/>
      <c r="L133" s="503"/>
      <c r="M133" s="503"/>
      <c r="N133" s="503"/>
      <c r="O133" s="503"/>
      <c r="P133" s="503"/>
      <c r="Q133" s="479"/>
      <c r="R133" s="479"/>
      <c r="S133" s="479"/>
      <c r="T133" s="479"/>
      <c r="U133" s="479"/>
      <c r="V133" s="479"/>
      <c r="W133" s="479"/>
      <c r="X133" s="479"/>
      <c r="Y133" s="479"/>
      <c r="Z133" s="479"/>
      <c r="AA133" s="2"/>
      <c r="AB133" s="2"/>
      <c r="AC133" s="2"/>
      <c r="AD133" s="2"/>
      <c r="AE133" s="2"/>
      <c r="AF133" s="2"/>
      <c r="AG133" s="2"/>
      <c r="AH133" s="2"/>
      <c r="AI133" s="2"/>
    </row>
    <row r="134" spans="1:35" ht="25.9" customHeight="1" x14ac:dyDescent="0.25">
      <c r="A134" s="504"/>
      <c r="B134" s="503"/>
      <c r="C134" s="626"/>
      <c r="D134" s="632" t="s">
        <v>690</v>
      </c>
      <c r="E134" s="626"/>
      <c r="F134" s="626"/>
      <c r="G134" s="503"/>
      <c r="H134" s="503"/>
      <c r="I134" s="503"/>
      <c r="J134" s="503"/>
      <c r="K134" s="503"/>
      <c r="L134" s="503"/>
      <c r="M134" s="503"/>
      <c r="N134" s="503"/>
      <c r="O134" s="503"/>
      <c r="P134" s="503"/>
      <c r="Q134" s="479"/>
      <c r="R134" s="479"/>
      <c r="S134" s="479"/>
      <c r="T134" s="479"/>
      <c r="U134" s="479"/>
      <c r="V134" s="479"/>
      <c r="W134" s="479"/>
      <c r="X134" s="479"/>
      <c r="Y134" s="479"/>
      <c r="Z134" s="479"/>
      <c r="AA134" s="2"/>
      <c r="AB134" s="2"/>
      <c r="AC134" s="2"/>
      <c r="AD134" s="2"/>
      <c r="AE134" s="2"/>
      <c r="AF134" s="2"/>
      <c r="AG134" s="2"/>
      <c r="AH134" s="2"/>
      <c r="AI134" s="2"/>
    </row>
    <row r="135" spans="1:35" ht="6.4" customHeight="1" x14ac:dyDescent="0.25">
      <c r="A135" s="504"/>
      <c r="B135" s="503"/>
      <c r="C135" s="626"/>
      <c r="D135" s="626"/>
      <c r="E135" s="626"/>
      <c r="F135" s="626"/>
      <c r="G135" s="503"/>
      <c r="H135" s="503"/>
      <c r="I135" s="503"/>
      <c r="J135" s="503"/>
      <c r="K135" s="503"/>
      <c r="L135" s="503"/>
      <c r="M135" s="503"/>
      <c r="N135" s="503"/>
      <c r="O135" s="503"/>
      <c r="P135" s="503"/>
      <c r="Q135" s="479"/>
      <c r="R135" s="479"/>
      <c r="S135" s="479"/>
      <c r="T135" s="479"/>
      <c r="U135" s="479"/>
      <c r="V135" s="479"/>
      <c r="W135" s="479"/>
      <c r="X135" s="479"/>
      <c r="Y135" s="479"/>
      <c r="Z135" s="479"/>
      <c r="AA135" s="2"/>
      <c r="AB135" s="2"/>
      <c r="AC135" s="2"/>
      <c r="AD135" s="2"/>
      <c r="AE135" s="2"/>
      <c r="AF135" s="2"/>
      <c r="AG135" s="2"/>
      <c r="AH135" s="2"/>
      <c r="AI135" s="2"/>
    </row>
    <row r="136" spans="1:35" ht="25.9" customHeight="1" x14ac:dyDescent="0.25">
      <c r="A136" s="504"/>
      <c r="B136" s="503"/>
      <c r="C136" s="513"/>
      <c r="D136" s="632" t="s">
        <v>691</v>
      </c>
      <c r="E136" s="626"/>
      <c r="F136" s="513"/>
      <c r="G136" s="503"/>
      <c r="H136" s="503"/>
      <c r="I136" s="503"/>
      <c r="J136" s="503"/>
      <c r="K136" s="503"/>
      <c r="L136" s="503"/>
      <c r="M136" s="503"/>
      <c r="N136" s="503"/>
      <c r="O136" s="503"/>
      <c r="P136" s="503"/>
      <c r="Q136" s="479"/>
      <c r="R136" s="479"/>
      <c r="S136" s="479"/>
      <c r="T136" s="479"/>
      <c r="U136" s="479"/>
      <c r="V136" s="479"/>
      <c r="W136" s="479"/>
      <c r="X136" s="479"/>
      <c r="Y136" s="479"/>
      <c r="Z136" s="479"/>
      <c r="AA136" s="2"/>
      <c r="AB136" s="2"/>
      <c r="AC136" s="2"/>
      <c r="AD136" s="2"/>
      <c r="AE136" s="2"/>
      <c r="AF136" s="2"/>
      <c r="AG136" s="2"/>
      <c r="AH136" s="2"/>
      <c r="AI136" s="2"/>
    </row>
    <row r="137" spans="1:35" ht="25.9" customHeight="1" x14ac:dyDescent="0.25">
      <c r="A137" s="503" t="str">
        <f>IF(AND(SUM(A116:A124)&lt;&gt;100)*(SUM(A116:A124)&lt;&gt;0)," Atenção: O total deve fechar 100%"," ")</f>
        <v xml:space="preserve"> </v>
      </c>
      <c r="B137" s="503"/>
      <c r="C137" s="503"/>
      <c r="D137" s="503"/>
      <c r="E137" s="503"/>
      <c r="F137" s="503"/>
      <c r="G137" s="503"/>
      <c r="H137" s="503"/>
      <c r="I137" s="503"/>
      <c r="J137" s="503"/>
      <c r="K137" s="503"/>
      <c r="L137" s="503"/>
      <c r="M137" s="503"/>
      <c r="N137" s="503"/>
      <c r="O137" s="503"/>
      <c r="P137" s="503"/>
      <c r="Q137" s="503"/>
      <c r="R137" s="503"/>
      <c r="S137" s="503"/>
      <c r="T137" s="503"/>
      <c r="U137" s="503"/>
      <c r="V137" s="503"/>
      <c r="W137" s="503"/>
      <c r="X137" s="503"/>
      <c r="Y137" s="503"/>
      <c r="Z137" s="503"/>
      <c r="AA137" s="2"/>
      <c r="AB137" s="2"/>
      <c r="AC137" s="2"/>
      <c r="AD137" s="2"/>
      <c r="AE137" s="2"/>
      <c r="AF137" s="2"/>
      <c r="AG137" s="2"/>
      <c r="AH137" s="2"/>
      <c r="AI137" s="2"/>
    </row>
    <row r="138" spans="1:35" ht="12.75" customHeight="1" x14ac:dyDescent="0.25">
      <c r="A138" s="503"/>
      <c r="B138" s="503"/>
      <c r="C138" s="503"/>
      <c r="D138" s="503"/>
      <c r="E138" s="503"/>
      <c r="F138" s="503"/>
      <c r="G138" s="503"/>
      <c r="H138" s="503"/>
      <c r="I138" s="503"/>
      <c r="J138" s="503"/>
      <c r="K138" s="503"/>
      <c r="L138" s="503"/>
      <c r="M138" s="503"/>
      <c r="N138" s="503"/>
      <c r="O138" s="503"/>
      <c r="P138" s="503"/>
      <c r="Q138" s="503"/>
      <c r="R138" s="503"/>
      <c r="S138" s="503"/>
      <c r="T138" s="503"/>
      <c r="U138" s="503"/>
      <c r="V138" s="503"/>
      <c r="W138" s="503"/>
      <c r="X138" s="503"/>
      <c r="Y138" s="503"/>
      <c r="Z138" s="503"/>
      <c r="AA138" s="2"/>
      <c r="AB138" s="2"/>
      <c r="AC138" s="2"/>
      <c r="AD138" s="2"/>
      <c r="AE138" s="2"/>
      <c r="AF138" s="2"/>
      <c r="AG138" s="2"/>
      <c r="AH138" s="2"/>
      <c r="AI138" s="2"/>
    </row>
    <row r="139" spans="1:35" ht="12.75" customHeight="1" x14ac:dyDescent="0.25">
      <c r="A139" s="503"/>
      <c r="B139" s="503"/>
      <c r="C139" s="503"/>
      <c r="D139" s="503"/>
      <c r="E139" s="503"/>
      <c r="F139" s="503"/>
      <c r="G139" s="503"/>
      <c r="H139" s="503"/>
      <c r="I139" s="503"/>
      <c r="J139" s="503"/>
      <c r="K139" s="503"/>
      <c r="L139" s="503"/>
      <c r="M139" s="503"/>
      <c r="N139" s="503"/>
      <c r="O139" s="503"/>
      <c r="P139" s="503"/>
      <c r="Q139" s="503"/>
      <c r="R139" s="503"/>
      <c r="S139" s="503"/>
      <c r="T139" s="503"/>
      <c r="U139" s="503"/>
      <c r="V139" s="503"/>
      <c r="W139" s="503"/>
      <c r="X139" s="503"/>
      <c r="Y139" s="503"/>
      <c r="Z139" s="503"/>
      <c r="AA139" s="2"/>
      <c r="AB139" s="2"/>
      <c r="AC139" s="2"/>
      <c r="AD139" s="2"/>
      <c r="AE139" s="2"/>
      <c r="AF139" s="2"/>
      <c r="AG139" s="2"/>
      <c r="AH139" s="2"/>
      <c r="AI139" s="2"/>
    </row>
    <row r="140" spans="1:35" ht="12.75" customHeight="1" x14ac:dyDescent="0.25">
      <c r="A140" s="503"/>
      <c r="B140" s="503"/>
      <c r="C140" s="503"/>
      <c r="D140" s="503"/>
      <c r="E140" s="503"/>
      <c r="F140" s="503"/>
      <c r="G140" s="503"/>
      <c r="H140" s="503"/>
      <c r="I140" s="503"/>
      <c r="J140" s="503"/>
      <c r="K140" s="503"/>
      <c r="L140" s="503"/>
      <c r="M140" s="503"/>
      <c r="N140" s="503"/>
      <c r="O140" s="503"/>
      <c r="P140" s="503"/>
      <c r="Q140" s="503"/>
      <c r="R140" s="503"/>
      <c r="S140" s="503"/>
      <c r="T140" s="503"/>
      <c r="U140" s="503"/>
      <c r="V140" s="503"/>
      <c r="W140" s="503"/>
      <c r="X140" s="503"/>
      <c r="Y140" s="503"/>
      <c r="Z140" s="503"/>
      <c r="AA140" s="2"/>
      <c r="AB140" s="2"/>
      <c r="AC140" s="2"/>
      <c r="AD140" s="2"/>
      <c r="AE140" s="2"/>
      <c r="AF140" s="2"/>
      <c r="AG140" s="2"/>
      <c r="AH140" s="2"/>
      <c r="AI140" s="2"/>
    </row>
    <row r="141" spans="1:35" ht="12.75" customHeight="1" x14ac:dyDescent="0.25">
      <c r="A141" s="503"/>
      <c r="B141" s="503"/>
      <c r="C141" s="503"/>
      <c r="D141" s="503"/>
      <c r="E141" s="503"/>
      <c r="F141" s="503"/>
      <c r="G141" s="503"/>
      <c r="H141" s="503"/>
      <c r="I141" s="503"/>
      <c r="J141" s="503"/>
      <c r="K141" s="503"/>
      <c r="L141" s="503"/>
      <c r="M141" s="503"/>
      <c r="N141" s="503"/>
      <c r="O141" s="503"/>
      <c r="P141" s="503"/>
      <c r="Q141" s="503"/>
      <c r="R141" s="503"/>
      <c r="S141" s="503"/>
      <c r="T141" s="503"/>
      <c r="U141" s="503"/>
      <c r="V141" s="503"/>
      <c r="W141" s="503"/>
      <c r="X141" s="503"/>
      <c r="Y141" s="503"/>
      <c r="Z141" s="503"/>
      <c r="AA141" s="2"/>
      <c r="AB141" s="2"/>
      <c r="AC141" s="2"/>
      <c r="AD141" s="2"/>
      <c r="AE141" s="2"/>
      <c r="AF141" s="2"/>
      <c r="AG141" s="2"/>
      <c r="AH141" s="2"/>
      <c r="AI141" s="2"/>
    </row>
    <row r="142" spans="1:35" ht="12.75" customHeight="1" x14ac:dyDescent="0.25">
      <c r="A142" s="503"/>
      <c r="B142" s="503"/>
      <c r="C142" s="503"/>
      <c r="D142" s="503"/>
      <c r="E142" s="503"/>
      <c r="F142" s="503"/>
      <c r="G142" s="503"/>
      <c r="H142" s="503"/>
      <c r="I142" s="503"/>
      <c r="J142" s="503"/>
      <c r="K142" s="503"/>
      <c r="L142" s="503"/>
      <c r="M142" s="503"/>
      <c r="N142" s="503"/>
      <c r="O142" s="503"/>
      <c r="P142" s="503"/>
      <c r="Q142" s="503"/>
      <c r="R142" s="503"/>
      <c r="S142" s="503"/>
      <c r="T142" s="503"/>
      <c r="U142" s="503"/>
      <c r="V142" s="503"/>
      <c r="W142" s="503"/>
      <c r="X142" s="503"/>
      <c r="Y142" s="503"/>
      <c r="Z142" s="503"/>
      <c r="AA142" s="2"/>
      <c r="AB142" s="2"/>
      <c r="AC142" s="2"/>
      <c r="AD142" s="2"/>
      <c r="AE142" s="2"/>
      <c r="AF142" s="2"/>
      <c r="AG142" s="2"/>
      <c r="AH142" s="2"/>
      <c r="AI142" s="2"/>
    </row>
    <row r="143" spans="1:35" ht="12.75" customHeight="1" x14ac:dyDescent="0.25">
      <c r="A143" s="503"/>
      <c r="B143" s="503"/>
      <c r="C143" s="503"/>
      <c r="D143" s="503"/>
      <c r="E143" s="503"/>
      <c r="F143" s="503"/>
      <c r="G143" s="503"/>
      <c r="H143" s="503"/>
      <c r="I143" s="503"/>
      <c r="J143" s="503"/>
      <c r="K143" s="503"/>
      <c r="L143" s="503"/>
      <c r="M143" s="503"/>
      <c r="N143" s="503"/>
      <c r="O143" s="503"/>
      <c r="P143" s="503"/>
      <c r="Q143" s="503"/>
      <c r="R143" s="503"/>
      <c r="S143" s="503"/>
      <c r="T143" s="503"/>
      <c r="U143" s="503"/>
      <c r="V143" s="503"/>
      <c r="W143" s="503"/>
      <c r="X143" s="503"/>
      <c r="Y143" s="503"/>
      <c r="Z143" s="503"/>
      <c r="AA143" s="2"/>
      <c r="AB143" s="2"/>
      <c r="AC143" s="2"/>
      <c r="AD143" s="2"/>
      <c r="AE143" s="2"/>
      <c r="AF143" s="2"/>
      <c r="AG143" s="2"/>
      <c r="AH143" s="2"/>
      <c r="AI143" s="2"/>
    </row>
    <row r="144" spans="1:35" ht="12.75" customHeight="1" x14ac:dyDescent="0.25">
      <c r="A144" s="503"/>
      <c r="B144" s="503"/>
      <c r="C144" s="503"/>
      <c r="D144" s="503"/>
      <c r="E144" s="503"/>
      <c r="F144" s="503"/>
      <c r="G144" s="503"/>
      <c r="H144" s="503"/>
      <c r="I144" s="503"/>
      <c r="J144" s="503"/>
      <c r="K144" s="503"/>
      <c r="L144" s="503"/>
      <c r="M144" s="503"/>
      <c r="N144" s="503"/>
      <c r="O144" s="503"/>
      <c r="P144" s="503"/>
      <c r="Q144" s="503"/>
      <c r="R144" s="503"/>
      <c r="S144" s="503"/>
      <c r="T144" s="503"/>
      <c r="U144" s="503"/>
      <c r="V144" s="503"/>
      <c r="W144" s="503"/>
      <c r="X144" s="503"/>
      <c r="Y144" s="503"/>
      <c r="Z144" s="503"/>
      <c r="AA144" s="2"/>
      <c r="AB144" s="2"/>
      <c r="AC144" s="2"/>
      <c r="AD144" s="2"/>
      <c r="AE144" s="2"/>
      <c r="AF144" s="2"/>
      <c r="AG144" s="2"/>
      <c r="AH144" s="2"/>
      <c r="AI144" s="2"/>
    </row>
    <row r="145" spans="1:35" ht="14.25" customHeight="1" x14ac:dyDescent="0.25">
      <c r="A145" s="503"/>
      <c r="B145" s="503"/>
      <c r="C145" s="503"/>
      <c r="D145" s="503"/>
      <c r="E145" s="503"/>
      <c r="F145" s="503"/>
      <c r="G145" s="503"/>
      <c r="H145" s="503"/>
      <c r="I145" s="503"/>
      <c r="J145" s="503"/>
      <c r="K145" s="503"/>
      <c r="L145" s="503"/>
      <c r="M145" s="503"/>
      <c r="N145" s="503"/>
      <c r="O145" s="503"/>
      <c r="P145" s="503"/>
      <c r="Q145" s="503"/>
      <c r="R145" s="503"/>
      <c r="S145" s="503"/>
      <c r="T145" s="503"/>
      <c r="U145" s="503"/>
      <c r="V145" s="503"/>
      <c r="W145" s="503"/>
      <c r="X145" s="503"/>
      <c r="Y145" s="503"/>
      <c r="Z145" s="503"/>
      <c r="AA145" s="2"/>
      <c r="AB145" s="2"/>
      <c r="AC145" s="2"/>
      <c r="AD145" s="2"/>
      <c r="AE145" s="2"/>
      <c r="AF145" s="2"/>
      <c r="AG145" s="2"/>
      <c r="AH145" s="2"/>
      <c r="AI145" s="2"/>
    </row>
    <row r="146" spans="1:35" ht="12.75" customHeight="1" x14ac:dyDescent="0.25">
      <c r="A146" s="503"/>
      <c r="B146" s="503"/>
      <c r="C146" s="503"/>
      <c r="D146" s="503"/>
      <c r="E146" s="503"/>
      <c r="F146" s="503"/>
      <c r="G146" s="503"/>
      <c r="H146" s="503"/>
      <c r="I146" s="503"/>
      <c r="J146" s="503"/>
      <c r="K146" s="503"/>
      <c r="L146" s="503"/>
      <c r="M146" s="503"/>
      <c r="N146" s="503"/>
      <c r="O146" s="503"/>
      <c r="P146" s="503"/>
      <c r="Q146" s="503"/>
      <c r="R146" s="503"/>
      <c r="S146" s="503"/>
      <c r="T146" s="503"/>
      <c r="U146" s="503"/>
      <c r="V146" s="503"/>
      <c r="W146" s="503"/>
      <c r="X146" s="503"/>
      <c r="Y146" s="503"/>
      <c r="Z146" s="503"/>
      <c r="AA146" s="2"/>
      <c r="AB146" s="2"/>
      <c r="AC146" s="2"/>
      <c r="AD146" s="2"/>
      <c r="AE146" s="2"/>
      <c r="AF146" s="2"/>
      <c r="AG146" s="2"/>
      <c r="AH146" s="2"/>
      <c r="AI146" s="2"/>
    </row>
    <row r="147" spans="1:35" ht="12.75" customHeight="1" x14ac:dyDescent="0.25">
      <c r="A147" s="503"/>
      <c r="B147" s="503"/>
      <c r="C147" s="503"/>
      <c r="D147" s="503"/>
      <c r="E147" s="503"/>
      <c r="F147" s="503"/>
      <c r="G147" s="503"/>
      <c r="H147" s="503"/>
      <c r="I147" s="503"/>
      <c r="J147" s="503"/>
      <c r="K147" s="503"/>
      <c r="L147" s="503"/>
      <c r="M147" s="503"/>
      <c r="N147" s="503"/>
      <c r="O147" s="503"/>
      <c r="P147" s="503"/>
      <c r="Q147" s="503"/>
      <c r="R147" s="503"/>
      <c r="S147" s="503"/>
      <c r="T147" s="503"/>
      <c r="U147" s="503"/>
      <c r="V147" s="503"/>
      <c r="W147" s="503"/>
      <c r="X147" s="503"/>
      <c r="Y147" s="503"/>
      <c r="Z147" s="503"/>
      <c r="AA147" s="2"/>
      <c r="AB147" s="2"/>
      <c r="AC147" s="2"/>
      <c r="AD147" s="2"/>
      <c r="AE147" s="2"/>
      <c r="AF147" s="2"/>
      <c r="AG147" s="2"/>
      <c r="AH147" s="2"/>
      <c r="AI147" s="2"/>
    </row>
    <row r="148" spans="1:35" ht="12.75" customHeight="1" x14ac:dyDescent="0.25">
      <c r="A148" s="503"/>
      <c r="B148" s="503"/>
      <c r="C148" s="503"/>
      <c r="D148" s="503"/>
      <c r="E148" s="503"/>
      <c r="F148" s="503"/>
      <c r="G148" s="503"/>
      <c r="H148" s="503"/>
      <c r="I148" s="503"/>
      <c r="J148" s="503"/>
      <c r="K148" s="503"/>
      <c r="L148" s="503"/>
      <c r="M148" s="503"/>
      <c r="N148" s="503"/>
      <c r="O148" s="503"/>
      <c r="P148" s="503"/>
      <c r="Q148" s="503"/>
      <c r="R148" s="503"/>
      <c r="S148" s="503"/>
      <c r="T148" s="503"/>
      <c r="U148" s="503"/>
      <c r="V148" s="503"/>
      <c r="W148" s="503"/>
      <c r="X148" s="503"/>
      <c r="Y148" s="503"/>
      <c r="Z148" s="503"/>
      <c r="AA148" s="2"/>
      <c r="AB148" s="2"/>
      <c r="AC148" s="2"/>
      <c r="AD148" s="2"/>
      <c r="AE148" s="2"/>
      <c r="AF148" s="2"/>
      <c r="AG148" s="2"/>
      <c r="AH148" s="2"/>
      <c r="AI148" s="2"/>
    </row>
    <row r="149" spans="1:35" ht="12.75" customHeight="1" x14ac:dyDescent="0.25">
      <c r="A149" s="503"/>
      <c r="B149" s="503"/>
      <c r="C149" s="503"/>
      <c r="D149" s="503"/>
      <c r="E149" s="503"/>
      <c r="F149" s="503"/>
      <c r="G149" s="503"/>
      <c r="H149" s="503"/>
      <c r="I149" s="503"/>
      <c r="J149" s="503"/>
      <c r="K149" s="503"/>
      <c r="L149" s="503"/>
      <c r="M149" s="503"/>
      <c r="N149" s="503"/>
      <c r="O149" s="503"/>
      <c r="P149" s="503"/>
      <c r="Q149" s="503"/>
      <c r="R149" s="503"/>
      <c r="S149" s="503"/>
      <c r="T149" s="503"/>
      <c r="U149" s="503"/>
      <c r="V149" s="503"/>
      <c r="W149" s="503"/>
      <c r="X149" s="503"/>
      <c r="Y149" s="503"/>
      <c r="Z149" s="503"/>
      <c r="AA149" s="2"/>
      <c r="AB149" s="2"/>
      <c r="AC149" s="2"/>
      <c r="AD149" s="2"/>
      <c r="AE149" s="2"/>
      <c r="AF149" s="2"/>
      <c r="AG149" s="2"/>
      <c r="AH149" s="2"/>
      <c r="AI149" s="2"/>
    </row>
    <row r="150" spans="1:35" ht="12.75" customHeight="1" x14ac:dyDescent="0.25">
      <c r="A150" s="503"/>
      <c r="B150" s="503"/>
      <c r="C150" s="503"/>
      <c r="D150" s="503"/>
      <c r="E150" s="503"/>
      <c r="F150" s="503"/>
      <c r="G150" s="503"/>
      <c r="H150" s="503"/>
      <c r="I150" s="503"/>
      <c r="J150" s="503"/>
      <c r="K150" s="503"/>
      <c r="L150" s="503"/>
      <c r="M150" s="503"/>
      <c r="N150" s="503"/>
      <c r="O150" s="503"/>
      <c r="P150" s="503"/>
      <c r="Q150" s="503"/>
      <c r="R150" s="503"/>
      <c r="S150" s="503"/>
      <c r="T150" s="503"/>
      <c r="U150" s="503"/>
      <c r="V150" s="503"/>
      <c r="W150" s="503"/>
      <c r="X150" s="503"/>
      <c r="Y150" s="503"/>
      <c r="Z150" s="503"/>
      <c r="AA150" s="2"/>
      <c r="AB150" s="2"/>
      <c r="AC150" s="2"/>
      <c r="AD150" s="2"/>
      <c r="AE150" s="2"/>
      <c r="AF150" s="2"/>
      <c r="AG150" s="2"/>
      <c r="AH150" s="2"/>
      <c r="AI150" s="2"/>
    </row>
    <row r="151" spans="1:35" ht="12.75" customHeight="1" x14ac:dyDescent="0.25">
      <c r="A151" s="2"/>
      <c r="Q151" s="2"/>
      <c r="R151" s="2"/>
      <c r="S151" s="2"/>
      <c r="T151" s="2"/>
      <c r="U151" s="2"/>
      <c r="V151" s="2"/>
      <c r="W151" s="2"/>
      <c r="X151" s="2"/>
      <c r="Y151" s="2"/>
      <c r="Z151" s="2"/>
      <c r="AA151" s="2"/>
      <c r="AB151" s="2"/>
      <c r="AC151" s="2"/>
      <c r="AD151" s="2"/>
      <c r="AE151" s="2"/>
      <c r="AF151" s="2"/>
      <c r="AG151" s="2"/>
      <c r="AH151" s="2"/>
      <c r="AI151" s="2"/>
    </row>
    <row r="152" spans="1:35" ht="12.75" customHeight="1" x14ac:dyDescent="0.25">
      <c r="A152" s="2"/>
      <c r="Q152" s="2"/>
      <c r="R152" s="2"/>
      <c r="S152" s="2"/>
      <c r="T152" s="2"/>
      <c r="U152" s="2"/>
      <c r="V152" s="2"/>
      <c r="W152" s="2"/>
      <c r="X152" s="2"/>
      <c r="Y152" s="2"/>
      <c r="Z152" s="2"/>
      <c r="AA152" s="2"/>
      <c r="AB152" s="2"/>
      <c r="AC152" s="2"/>
      <c r="AD152" s="2"/>
      <c r="AE152" s="2"/>
      <c r="AF152" s="2"/>
      <c r="AG152" s="2"/>
      <c r="AH152" s="2"/>
      <c r="AI152" s="2"/>
    </row>
    <row r="153" spans="1:35" ht="12.75" customHeight="1" x14ac:dyDescent="0.25">
      <c r="A153" s="2"/>
      <c r="Q153" s="2"/>
      <c r="R153" s="2"/>
      <c r="S153" s="2"/>
      <c r="T153" s="2"/>
      <c r="U153" s="2"/>
      <c r="V153" s="2"/>
      <c r="W153" s="2"/>
      <c r="X153" s="2"/>
      <c r="Y153" s="2"/>
      <c r="Z153" s="2"/>
      <c r="AA153" s="2"/>
      <c r="AB153" s="2"/>
      <c r="AC153" s="2"/>
      <c r="AD153" s="2"/>
      <c r="AE153" s="2"/>
      <c r="AF153" s="2"/>
      <c r="AG153" s="2"/>
      <c r="AH153" s="2"/>
      <c r="AI153" s="2"/>
    </row>
    <row r="154" spans="1:35" ht="12.75" customHeight="1" x14ac:dyDescent="0.25">
      <c r="A154" s="2"/>
      <c r="Q154" s="2"/>
      <c r="R154" s="2"/>
      <c r="S154" s="2"/>
      <c r="T154" s="2"/>
      <c r="U154" s="2"/>
      <c r="V154" s="2"/>
      <c r="W154" s="2"/>
      <c r="X154" s="2"/>
      <c r="Y154" s="2"/>
      <c r="Z154" s="2"/>
      <c r="AA154" s="2"/>
      <c r="AB154" s="2"/>
      <c r="AC154" s="2"/>
      <c r="AD154" s="2"/>
      <c r="AE154" s="2"/>
      <c r="AF154" s="2"/>
      <c r="AG154" s="2"/>
      <c r="AH154" s="2"/>
      <c r="AI154" s="2"/>
    </row>
    <row r="155" spans="1:35" ht="12.75" customHeight="1" x14ac:dyDescent="0.25">
      <c r="A155" s="2"/>
      <c r="Q155" s="2"/>
      <c r="R155" s="2"/>
      <c r="S155" s="2"/>
      <c r="T155" s="2"/>
      <c r="U155" s="2"/>
      <c r="V155" s="2"/>
      <c r="W155" s="2"/>
      <c r="X155" s="2"/>
      <c r="Y155" s="2"/>
      <c r="Z155" s="2"/>
      <c r="AA155" s="2"/>
      <c r="AB155" s="2"/>
      <c r="AC155" s="2"/>
      <c r="AD155" s="2"/>
      <c r="AE155" s="2"/>
      <c r="AF155" s="2"/>
      <c r="AG155" s="2"/>
      <c r="AH155" s="2"/>
      <c r="AI155" s="2"/>
    </row>
    <row r="156" spans="1:35" ht="12.75" customHeight="1" x14ac:dyDescent="0.25">
      <c r="A156" s="2"/>
      <c r="Q156" s="2"/>
      <c r="R156" s="2"/>
      <c r="S156" s="2"/>
      <c r="T156" s="2"/>
      <c r="U156" s="2"/>
      <c r="V156" s="2"/>
      <c r="W156" s="2"/>
      <c r="X156" s="2"/>
      <c r="Y156" s="2"/>
      <c r="Z156" s="2"/>
      <c r="AA156" s="2"/>
      <c r="AB156" s="2"/>
      <c r="AC156" s="2"/>
      <c r="AD156" s="2"/>
      <c r="AE156" s="2"/>
      <c r="AF156" s="2"/>
      <c r="AG156" s="2"/>
      <c r="AH156" s="2"/>
      <c r="AI156" s="2"/>
    </row>
    <row r="157" spans="1:35" ht="12.75" customHeight="1" x14ac:dyDescent="0.25">
      <c r="A157" s="2"/>
      <c r="Q157" s="2"/>
      <c r="R157" s="2"/>
      <c r="S157" s="2"/>
      <c r="T157" s="2"/>
      <c r="U157" s="2"/>
      <c r="V157" s="2"/>
      <c r="W157" s="2"/>
      <c r="X157" s="2"/>
      <c r="Y157" s="2"/>
      <c r="Z157" s="2"/>
      <c r="AA157" s="2"/>
      <c r="AB157" s="2"/>
      <c r="AC157" s="2"/>
      <c r="AD157" s="2"/>
      <c r="AE157" s="2"/>
      <c r="AF157" s="2"/>
      <c r="AG157" s="2"/>
      <c r="AH157" s="2"/>
      <c r="AI157" s="2"/>
    </row>
    <row r="158" spans="1:35" ht="12.75" customHeight="1" x14ac:dyDescent="0.25">
      <c r="A158" s="2"/>
      <c r="Q158" s="2"/>
      <c r="R158" s="2"/>
      <c r="S158" s="2"/>
      <c r="T158" s="2"/>
      <c r="U158" s="2"/>
      <c r="V158" s="2"/>
      <c r="W158" s="2"/>
      <c r="X158" s="2"/>
      <c r="Y158" s="2"/>
      <c r="Z158" s="2"/>
      <c r="AA158" s="2"/>
      <c r="AB158" s="2"/>
      <c r="AC158" s="2"/>
      <c r="AD158" s="2"/>
      <c r="AE158" s="2"/>
      <c r="AF158" s="2"/>
      <c r="AG158" s="2"/>
      <c r="AH158" s="2"/>
      <c r="AI158" s="2"/>
    </row>
    <row r="159" spans="1:35" ht="12.75" customHeight="1" x14ac:dyDescent="0.25">
      <c r="A159" s="2"/>
      <c r="Q159" s="2"/>
      <c r="R159" s="2"/>
      <c r="S159" s="2"/>
      <c r="T159" s="2"/>
      <c r="U159" s="2"/>
      <c r="V159" s="2"/>
      <c r="W159" s="2"/>
      <c r="X159" s="2"/>
      <c r="Y159" s="2"/>
      <c r="Z159" s="2"/>
      <c r="AA159" s="2"/>
      <c r="AB159" s="2"/>
      <c r="AC159" s="2"/>
      <c r="AD159" s="2"/>
      <c r="AE159" s="2"/>
      <c r="AF159" s="2"/>
      <c r="AG159" s="2"/>
      <c r="AH159" s="2"/>
      <c r="AI159" s="2"/>
    </row>
    <row r="160" spans="1:35" ht="12.75" customHeight="1" x14ac:dyDescent="0.25">
      <c r="A160" s="2"/>
      <c r="Q160" s="2"/>
      <c r="R160" s="2"/>
      <c r="S160" s="2"/>
      <c r="T160" s="2"/>
      <c r="U160" s="2"/>
      <c r="V160" s="2"/>
      <c r="W160" s="2"/>
      <c r="X160" s="2"/>
      <c r="Y160" s="2"/>
      <c r="Z160" s="2"/>
      <c r="AA160" s="2"/>
      <c r="AB160" s="2"/>
      <c r="AC160" s="2"/>
      <c r="AD160" s="2"/>
      <c r="AE160" s="2"/>
      <c r="AF160" s="2"/>
      <c r="AG160" s="2"/>
      <c r="AH160" s="2"/>
      <c r="AI160" s="2"/>
    </row>
    <row r="161" spans="1:35" ht="12.75" customHeight="1" x14ac:dyDescent="0.25">
      <c r="A161" s="2"/>
      <c r="Q161" s="2"/>
      <c r="R161" s="2"/>
      <c r="S161" s="2"/>
      <c r="T161" s="2"/>
      <c r="U161" s="2"/>
      <c r="V161" s="2"/>
      <c r="W161" s="2"/>
      <c r="X161" s="2"/>
      <c r="Y161" s="2"/>
      <c r="Z161" s="2"/>
      <c r="AA161" s="2"/>
      <c r="AB161" s="2"/>
      <c r="AC161" s="2"/>
      <c r="AD161" s="2"/>
      <c r="AE161" s="2"/>
      <c r="AF161" s="2"/>
      <c r="AG161" s="2"/>
      <c r="AH161" s="2"/>
      <c r="AI161" s="2"/>
    </row>
    <row r="162" spans="1:35" ht="13.5" customHeight="1" x14ac:dyDescent="0.25">
      <c r="A162" s="2"/>
      <c r="Q162" s="2"/>
      <c r="R162" s="2"/>
      <c r="S162" s="2"/>
      <c r="T162" s="2"/>
      <c r="U162" s="2"/>
      <c r="V162" s="2"/>
      <c r="W162" s="2"/>
      <c r="X162" s="2"/>
      <c r="Y162" s="2"/>
      <c r="Z162" s="2"/>
      <c r="AA162" s="2"/>
      <c r="AB162" s="2"/>
      <c r="AC162" s="2"/>
      <c r="AD162" s="2"/>
      <c r="AE162" s="2"/>
      <c r="AF162" s="2"/>
      <c r="AG162" s="2"/>
      <c r="AH162" s="2"/>
      <c r="AI162" s="2"/>
    </row>
    <row r="163" spans="1:35" ht="12.75" customHeight="1" x14ac:dyDescent="0.25">
      <c r="A163" s="2"/>
      <c r="Q163" s="2"/>
      <c r="R163" s="2"/>
      <c r="S163" s="2"/>
      <c r="T163" s="2"/>
      <c r="U163" s="2"/>
      <c r="V163" s="2"/>
      <c r="W163" s="2"/>
      <c r="X163" s="2"/>
      <c r="Y163" s="2"/>
      <c r="Z163" s="2"/>
      <c r="AA163" s="2"/>
      <c r="AB163" s="2"/>
      <c r="AC163" s="2"/>
      <c r="AD163" s="2"/>
      <c r="AE163" s="2"/>
      <c r="AF163" s="2"/>
      <c r="AG163" s="2"/>
      <c r="AH163" s="2"/>
      <c r="AI163" s="2"/>
    </row>
    <row r="164" spans="1:35" ht="12.75" customHeight="1" x14ac:dyDescent="0.25">
      <c r="A164" s="2"/>
      <c r="Q164" s="2"/>
      <c r="R164" s="2"/>
      <c r="S164" s="2"/>
      <c r="T164" s="2"/>
      <c r="U164" s="2"/>
      <c r="V164" s="2"/>
      <c r="W164" s="2"/>
      <c r="X164" s="2"/>
      <c r="Y164" s="2"/>
      <c r="Z164" s="2"/>
      <c r="AA164" s="2"/>
      <c r="AB164" s="2"/>
      <c r="AC164" s="2"/>
      <c r="AD164" s="2"/>
      <c r="AE164" s="2"/>
      <c r="AF164" s="2"/>
      <c r="AG164" s="2"/>
      <c r="AH164" s="2"/>
      <c r="AI164" s="2"/>
    </row>
    <row r="165" spans="1:35" ht="12.75" customHeight="1" x14ac:dyDescent="0.25">
      <c r="A165" s="2"/>
      <c r="Q165" s="2"/>
      <c r="R165" s="2"/>
      <c r="S165" s="2"/>
      <c r="T165" s="2"/>
      <c r="U165" s="2"/>
      <c r="V165" s="2"/>
      <c r="W165" s="2"/>
      <c r="X165" s="2"/>
      <c r="Y165" s="2"/>
      <c r="Z165" s="2"/>
      <c r="AA165" s="2"/>
      <c r="AB165" s="2"/>
      <c r="AC165" s="2"/>
      <c r="AD165" s="2"/>
      <c r="AE165" s="2"/>
      <c r="AF165" s="2"/>
      <c r="AG165" s="2"/>
      <c r="AH165" s="2"/>
      <c r="AI165" s="2"/>
    </row>
    <row r="166" spans="1:35" ht="12.75" customHeight="1" x14ac:dyDescent="0.25">
      <c r="A166" s="2"/>
      <c r="Q166" s="2"/>
      <c r="R166" s="2"/>
      <c r="S166" s="2"/>
      <c r="T166" s="2"/>
      <c r="U166" s="2"/>
      <c r="V166" s="2"/>
      <c r="W166" s="2"/>
      <c r="X166" s="2"/>
      <c r="Y166" s="2"/>
      <c r="Z166" s="2"/>
      <c r="AA166" s="2"/>
      <c r="AB166" s="2"/>
      <c r="AC166" s="2"/>
      <c r="AD166" s="2"/>
      <c r="AE166" s="2"/>
      <c r="AF166" s="2"/>
      <c r="AG166" s="2"/>
      <c r="AH166" s="2"/>
      <c r="AI166" s="2"/>
    </row>
    <row r="167" spans="1:35" ht="12.75" customHeight="1" x14ac:dyDescent="0.25">
      <c r="A167" s="2"/>
      <c r="Q167" s="2"/>
      <c r="R167" s="2"/>
      <c r="S167" s="2"/>
      <c r="T167" s="2"/>
      <c r="U167" s="2"/>
      <c r="V167" s="2"/>
      <c r="W167" s="2"/>
      <c r="X167" s="2"/>
      <c r="Y167" s="2"/>
      <c r="Z167" s="2"/>
      <c r="AA167" s="2"/>
      <c r="AB167" s="2"/>
      <c r="AC167" s="2"/>
      <c r="AD167" s="2"/>
      <c r="AE167" s="2"/>
      <c r="AF167" s="2"/>
      <c r="AG167" s="2"/>
      <c r="AH167" s="2"/>
      <c r="AI167" s="2"/>
    </row>
    <row r="168" spans="1:35" ht="12.75" customHeight="1" x14ac:dyDescent="0.25">
      <c r="A168" s="2"/>
      <c r="Q168" s="2"/>
      <c r="R168" s="2"/>
      <c r="S168" s="2"/>
      <c r="T168" s="2"/>
      <c r="U168" s="2"/>
      <c r="V168" s="2"/>
      <c r="W168" s="2"/>
      <c r="X168" s="2"/>
      <c r="Y168" s="2"/>
      <c r="Z168" s="2"/>
      <c r="AA168" s="2"/>
      <c r="AB168" s="2"/>
      <c r="AC168" s="2"/>
      <c r="AD168" s="2"/>
      <c r="AE168" s="2"/>
      <c r="AF168" s="2"/>
      <c r="AG168" s="2"/>
      <c r="AH168" s="2"/>
      <c r="AI168" s="2"/>
    </row>
    <row r="169" spans="1:35" ht="12.75" customHeight="1" x14ac:dyDescent="0.25">
      <c r="A169" s="2"/>
      <c r="Q169" s="2"/>
      <c r="R169" s="2"/>
      <c r="S169" s="2"/>
      <c r="T169" s="2"/>
      <c r="U169" s="2"/>
      <c r="V169" s="2"/>
      <c r="W169" s="2"/>
      <c r="X169" s="2"/>
      <c r="Y169" s="2"/>
      <c r="Z169" s="2"/>
      <c r="AA169" s="2"/>
      <c r="AB169" s="2"/>
      <c r="AC169" s="2"/>
      <c r="AD169" s="2"/>
      <c r="AE169" s="2"/>
      <c r="AF169" s="2"/>
      <c r="AG169" s="2"/>
      <c r="AH169" s="2"/>
      <c r="AI169" s="2"/>
    </row>
    <row r="170" spans="1:35" ht="12.75" customHeight="1" x14ac:dyDescent="0.25">
      <c r="A170" s="2"/>
      <c r="Q170" s="2"/>
      <c r="R170" s="2"/>
      <c r="S170" s="2"/>
      <c r="T170" s="2"/>
      <c r="U170" s="2"/>
      <c r="V170" s="2"/>
      <c r="W170" s="2"/>
      <c r="X170" s="2"/>
      <c r="Y170" s="2"/>
      <c r="Z170" s="2"/>
      <c r="AA170" s="2"/>
      <c r="AB170" s="2"/>
      <c r="AC170" s="2"/>
      <c r="AD170" s="2"/>
      <c r="AE170" s="2"/>
      <c r="AF170" s="2"/>
      <c r="AG170" s="2"/>
      <c r="AH170" s="2"/>
      <c r="AI170" s="2"/>
    </row>
    <row r="171" spans="1:35" ht="12.75" customHeight="1" x14ac:dyDescent="0.25">
      <c r="A171" s="2"/>
      <c r="Q171" s="2"/>
      <c r="R171" s="2"/>
      <c r="S171" s="2"/>
      <c r="T171" s="2"/>
      <c r="U171" s="2"/>
      <c r="V171" s="2"/>
      <c r="W171" s="2"/>
      <c r="X171" s="2"/>
      <c r="Y171" s="2"/>
      <c r="Z171" s="2"/>
      <c r="AA171" s="2"/>
      <c r="AB171" s="2"/>
      <c r="AC171" s="2"/>
      <c r="AD171" s="2"/>
      <c r="AE171" s="2"/>
      <c r="AF171" s="2"/>
      <c r="AG171" s="2"/>
      <c r="AH171" s="2"/>
      <c r="AI171" s="2"/>
    </row>
    <row r="172" spans="1:35" ht="13.5" customHeight="1" x14ac:dyDescent="0.25">
      <c r="A172" s="2"/>
      <c r="Q172" s="2"/>
      <c r="R172" s="2"/>
      <c r="S172" s="2"/>
      <c r="T172" s="2"/>
      <c r="U172" s="2"/>
      <c r="V172" s="2"/>
      <c r="W172" s="2"/>
      <c r="X172" s="2"/>
      <c r="Y172" s="2"/>
      <c r="Z172" s="2"/>
      <c r="AA172" s="2"/>
      <c r="AB172" s="2"/>
      <c r="AC172" s="2"/>
      <c r="AD172" s="2"/>
      <c r="AE172" s="2"/>
      <c r="AF172" s="2"/>
      <c r="AG172" s="2"/>
      <c r="AH172" s="2"/>
      <c r="AI172" s="2"/>
    </row>
    <row r="173" spans="1:35" ht="12.75" customHeight="1" x14ac:dyDescent="0.25">
      <c r="A173" s="2"/>
      <c r="Q173" s="2"/>
      <c r="R173" s="2"/>
      <c r="S173" s="2"/>
      <c r="T173" s="2"/>
      <c r="U173" s="2"/>
      <c r="V173" s="2"/>
      <c r="W173" s="2"/>
      <c r="X173" s="2"/>
      <c r="Y173" s="2"/>
      <c r="Z173" s="2"/>
      <c r="AA173" s="2"/>
      <c r="AB173" s="2"/>
      <c r="AC173" s="2"/>
      <c r="AD173" s="2"/>
      <c r="AE173" s="2"/>
      <c r="AF173" s="2"/>
      <c r="AG173" s="2"/>
      <c r="AH173" s="2"/>
      <c r="AI173" s="2"/>
    </row>
    <row r="174" spans="1:35" ht="12.75" customHeight="1" x14ac:dyDescent="0.25">
      <c r="A174" s="2"/>
      <c r="Q174" s="2"/>
      <c r="R174" s="2"/>
      <c r="S174" s="2"/>
      <c r="T174" s="2"/>
      <c r="U174" s="2"/>
      <c r="V174" s="2"/>
      <c r="W174" s="2"/>
      <c r="X174" s="2"/>
      <c r="Y174" s="2"/>
      <c r="Z174" s="2"/>
      <c r="AA174" s="2"/>
      <c r="AB174" s="2"/>
      <c r="AC174" s="2"/>
      <c r="AD174" s="2"/>
      <c r="AE174" s="2"/>
      <c r="AF174" s="2"/>
      <c r="AG174" s="2"/>
      <c r="AH174" s="2"/>
      <c r="AI174" s="2"/>
    </row>
    <row r="175" spans="1:35" ht="13.5" customHeight="1" x14ac:dyDescent="0.25">
      <c r="A175" s="2"/>
      <c r="Q175" s="2"/>
      <c r="R175" s="2"/>
      <c r="S175" s="2"/>
      <c r="T175" s="2"/>
      <c r="U175" s="2"/>
      <c r="V175" s="2"/>
      <c r="W175" s="2"/>
      <c r="X175" s="2"/>
      <c r="Y175" s="2"/>
      <c r="Z175" s="2"/>
      <c r="AA175" s="2"/>
      <c r="AB175" s="2"/>
      <c r="AC175" s="2"/>
      <c r="AD175" s="2"/>
      <c r="AE175" s="2"/>
      <c r="AF175" s="2"/>
      <c r="AG175" s="2"/>
      <c r="AH175" s="2"/>
      <c r="AI175" s="2"/>
    </row>
    <row r="176" spans="1:35" ht="12.75" customHeight="1" x14ac:dyDescent="0.25">
      <c r="A176" s="2"/>
      <c r="Q176" s="2"/>
      <c r="R176" s="2"/>
      <c r="S176" s="2"/>
      <c r="T176" s="2"/>
      <c r="U176" s="2"/>
      <c r="V176" s="2"/>
      <c r="W176" s="2"/>
      <c r="X176" s="2"/>
      <c r="Y176" s="2"/>
      <c r="Z176" s="2"/>
      <c r="AA176" s="2"/>
      <c r="AB176" s="2"/>
      <c r="AC176" s="2"/>
      <c r="AD176" s="2"/>
      <c r="AE176" s="2"/>
      <c r="AF176" s="2"/>
      <c r="AG176" s="2"/>
      <c r="AH176" s="2"/>
      <c r="AI176" s="2"/>
    </row>
    <row r="177" spans="1:35" ht="12.75" customHeight="1" x14ac:dyDescent="0.25">
      <c r="A177" s="2"/>
      <c r="Q177" s="2"/>
      <c r="R177" s="2"/>
      <c r="S177" s="2"/>
      <c r="T177" s="2"/>
      <c r="U177" s="2"/>
      <c r="V177" s="2"/>
      <c r="W177" s="2"/>
      <c r="X177" s="2"/>
      <c r="Y177" s="2"/>
      <c r="Z177" s="2"/>
      <c r="AA177" s="2"/>
      <c r="AB177" s="2"/>
      <c r="AC177" s="2"/>
      <c r="AD177" s="2"/>
      <c r="AE177" s="2"/>
      <c r="AF177" s="2"/>
      <c r="AG177" s="2"/>
      <c r="AH177" s="2"/>
      <c r="AI177" s="2"/>
    </row>
    <row r="178" spans="1:35" ht="12.75" customHeight="1" x14ac:dyDescent="0.25">
      <c r="A178" s="2"/>
      <c r="Q178" s="2"/>
      <c r="R178" s="2"/>
      <c r="S178" s="2"/>
      <c r="T178" s="2"/>
      <c r="U178" s="2"/>
      <c r="V178" s="2"/>
      <c r="W178" s="2"/>
      <c r="X178" s="2"/>
      <c r="Y178" s="2"/>
      <c r="Z178" s="2"/>
      <c r="AA178" s="2"/>
      <c r="AB178" s="2"/>
      <c r="AC178" s="2"/>
      <c r="AD178" s="2"/>
      <c r="AE178" s="2"/>
      <c r="AF178" s="2"/>
      <c r="AG178" s="2"/>
      <c r="AH178" s="2"/>
      <c r="AI178" s="2"/>
    </row>
    <row r="179" spans="1:35" ht="12.75" customHeight="1" x14ac:dyDescent="0.25">
      <c r="A179" s="2"/>
      <c r="Q179" s="2"/>
      <c r="R179" s="2"/>
      <c r="S179" s="2"/>
      <c r="T179" s="2"/>
      <c r="U179" s="2"/>
      <c r="V179" s="2"/>
      <c r="W179" s="2"/>
      <c r="X179" s="2"/>
      <c r="Y179" s="2"/>
      <c r="Z179" s="2"/>
      <c r="AA179" s="2"/>
      <c r="AB179" s="2"/>
      <c r="AC179" s="2"/>
      <c r="AD179" s="2"/>
      <c r="AE179" s="2"/>
      <c r="AF179" s="2"/>
      <c r="AG179" s="2"/>
      <c r="AH179" s="2"/>
      <c r="AI179" s="2"/>
    </row>
    <row r="180" spans="1:35" ht="12.75" customHeight="1" x14ac:dyDescent="0.25">
      <c r="A180" s="2"/>
      <c r="Q180" s="2"/>
      <c r="R180" s="2"/>
      <c r="S180" s="2"/>
      <c r="T180" s="2"/>
      <c r="U180" s="2"/>
      <c r="V180" s="2"/>
      <c r="W180" s="2"/>
      <c r="X180" s="2"/>
      <c r="Y180" s="2"/>
      <c r="Z180" s="2"/>
      <c r="AA180" s="2"/>
      <c r="AB180" s="2"/>
      <c r="AC180" s="2"/>
      <c r="AD180" s="2"/>
      <c r="AE180" s="2"/>
      <c r="AF180" s="2"/>
      <c r="AG180" s="2"/>
      <c r="AH180" s="2"/>
      <c r="AI180" s="2"/>
    </row>
    <row r="181" spans="1:35" ht="12.75" customHeight="1" x14ac:dyDescent="0.25">
      <c r="A181" s="2"/>
      <c r="Q181" s="2"/>
      <c r="R181" s="2"/>
      <c r="S181" s="2"/>
      <c r="T181" s="2"/>
      <c r="U181" s="2"/>
      <c r="V181" s="2"/>
      <c r="W181" s="2"/>
      <c r="X181" s="2"/>
      <c r="Y181" s="2"/>
      <c r="Z181" s="2"/>
      <c r="AA181" s="2"/>
      <c r="AB181" s="2"/>
      <c r="AC181" s="2"/>
      <c r="AD181" s="2"/>
      <c r="AE181" s="2"/>
      <c r="AF181" s="2"/>
      <c r="AG181" s="2"/>
      <c r="AH181" s="2"/>
      <c r="AI181" s="2"/>
    </row>
    <row r="182" spans="1:35" ht="12.75" customHeight="1" x14ac:dyDescent="0.25">
      <c r="A182" s="2"/>
      <c r="Q182" s="2"/>
      <c r="R182" s="2"/>
      <c r="S182" s="2"/>
      <c r="T182" s="2"/>
      <c r="U182" s="2"/>
      <c r="V182" s="2"/>
      <c r="W182" s="2"/>
      <c r="X182" s="2"/>
      <c r="Y182" s="2"/>
      <c r="Z182" s="2"/>
      <c r="AA182" s="2"/>
      <c r="AB182" s="2"/>
      <c r="AC182" s="2"/>
      <c r="AD182" s="2"/>
      <c r="AE182" s="2"/>
      <c r="AF182" s="2"/>
      <c r="AG182" s="2"/>
      <c r="AH182" s="2"/>
      <c r="AI182" s="2"/>
    </row>
    <row r="183" spans="1:35" ht="13.5" customHeight="1" x14ac:dyDescent="0.25">
      <c r="A183" s="2"/>
      <c r="Q183" s="2"/>
      <c r="R183" s="2"/>
      <c r="S183" s="2"/>
      <c r="T183" s="2"/>
      <c r="U183" s="2"/>
      <c r="V183" s="2"/>
      <c r="W183" s="2"/>
      <c r="X183" s="2"/>
      <c r="Y183" s="2"/>
      <c r="Z183" s="2"/>
      <c r="AA183" s="2"/>
      <c r="AB183" s="2"/>
      <c r="AC183" s="2"/>
      <c r="AD183" s="2"/>
      <c r="AE183" s="2"/>
      <c r="AF183" s="2"/>
      <c r="AG183" s="2"/>
      <c r="AH183" s="2"/>
      <c r="AI183" s="2"/>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2578125" defaultRowHeight="15" customHeight="1" x14ac:dyDescent="0.25"/>
  <cols>
    <col min="1" max="1" width="0.28515625" style="152" customWidth="1"/>
    <col min="2" max="2" width="4.42578125" style="152" customWidth="1"/>
    <col min="3" max="3" width="8.42578125" style="152" customWidth="1"/>
    <col min="4" max="4" width="17.28515625" style="152" customWidth="1"/>
    <col min="5" max="6" width="18.42578125" style="152" customWidth="1"/>
    <col min="7" max="13" width="15.7109375" style="152" customWidth="1"/>
    <col min="14" max="14" width="17.28515625" style="152" customWidth="1"/>
    <col min="15" max="15" width="15.7109375" style="152" customWidth="1"/>
    <col min="16" max="16" width="3.42578125" style="152" customWidth="1"/>
  </cols>
  <sheetData>
    <row r="1" spans="1:21" ht="15" customHeight="1" x14ac:dyDescent="0.25">
      <c r="B1" s="433"/>
      <c r="C1" s="433"/>
      <c r="D1" s="433"/>
      <c r="E1" s="433"/>
      <c r="F1" s="433"/>
      <c r="G1" s="433"/>
      <c r="H1" s="433"/>
      <c r="I1" s="433"/>
      <c r="J1" s="433"/>
      <c r="K1" s="433"/>
      <c r="L1" s="433"/>
      <c r="M1" s="433"/>
      <c r="N1" s="433"/>
      <c r="O1" s="433"/>
      <c r="P1" s="433"/>
      <c r="Q1" s="433"/>
      <c r="R1" s="433"/>
      <c r="S1" s="433"/>
      <c r="T1" s="433"/>
      <c r="U1" s="433"/>
    </row>
    <row r="2" spans="1:21" ht="15" customHeight="1" x14ac:dyDescent="0.25">
      <c r="B2" s="433"/>
      <c r="C2" s="193" t="s">
        <v>436</v>
      </c>
      <c r="D2" s="2708" t="str">
        <f>IF('R-Entrada'!D2&lt;&gt;0,'R-Entrada'!D2,"")</f>
        <v>CIRSOP - Consórcio RSU Oeste Paulista</v>
      </c>
      <c r="E2" s="2709"/>
      <c r="F2" s="433"/>
      <c r="G2" s="433"/>
      <c r="H2" s="433"/>
      <c r="I2" s="433"/>
      <c r="J2" s="433"/>
      <c r="K2" s="433"/>
      <c r="L2" s="433"/>
      <c r="M2" s="433"/>
      <c r="N2" s="433"/>
      <c r="O2" s="433"/>
      <c r="P2" s="433"/>
      <c r="Q2" s="433"/>
      <c r="R2" s="433"/>
      <c r="S2" s="433"/>
      <c r="T2" s="433"/>
      <c r="U2" s="433"/>
    </row>
    <row r="3" spans="1:21" ht="15" customHeight="1" x14ac:dyDescent="0.25">
      <c r="B3" s="433"/>
      <c r="C3" s="415" t="s">
        <v>437</v>
      </c>
      <c r="D3" s="2708" t="str">
        <f>IF('R-Entrada'!D3&lt;&gt;0,'R-Entrada'!D3,"")</f>
        <v>Biodigestão c/ Prod. E. Elétrica</v>
      </c>
      <c r="E3" s="2709"/>
      <c r="F3" s="433"/>
      <c r="G3" s="433"/>
      <c r="H3" s="433"/>
      <c r="I3" s="433"/>
      <c r="J3" s="433"/>
      <c r="K3" s="433"/>
      <c r="L3" s="433"/>
      <c r="M3" s="433"/>
      <c r="N3" s="433"/>
      <c r="O3" s="433"/>
      <c r="P3" s="433"/>
      <c r="Q3" s="433"/>
      <c r="R3" s="433"/>
      <c r="S3" s="433"/>
      <c r="T3" s="433"/>
      <c r="U3" s="433"/>
    </row>
    <row r="4" spans="1:21" ht="14.25" customHeight="1" x14ac:dyDescent="0.25">
      <c r="A4" s="433"/>
      <c r="B4" s="433"/>
      <c r="C4" s="433"/>
      <c r="D4" s="433"/>
      <c r="E4" s="433"/>
      <c r="F4" s="433"/>
      <c r="G4" s="433"/>
      <c r="H4" s="433"/>
      <c r="I4" s="433"/>
      <c r="J4" s="433"/>
      <c r="K4" s="433"/>
      <c r="L4" s="433"/>
      <c r="M4" s="433"/>
      <c r="N4" s="433"/>
      <c r="O4" s="433"/>
      <c r="P4" s="433"/>
      <c r="Q4" s="433"/>
      <c r="R4" s="433"/>
      <c r="S4" s="433"/>
      <c r="T4" s="433"/>
      <c r="U4" s="433"/>
    </row>
    <row r="5" spans="1:21" ht="25.5" customHeight="1" x14ac:dyDescent="0.25">
      <c r="A5" s="641"/>
      <c r="B5" s="189"/>
      <c r="C5" s="190" t="s">
        <v>485</v>
      </c>
      <c r="D5" s="189"/>
      <c r="E5" s="189"/>
      <c r="F5" s="189"/>
      <c r="G5" s="189"/>
      <c r="H5" s="189"/>
      <c r="I5" s="191"/>
      <c r="J5" s="655"/>
      <c r="K5" s="433"/>
      <c r="L5" s="433"/>
      <c r="M5" s="433"/>
      <c r="N5" s="2710" t="s">
        <v>424</v>
      </c>
      <c r="O5" s="2711"/>
      <c r="P5" s="433"/>
      <c r="Q5" s="433"/>
      <c r="R5" s="433"/>
      <c r="S5" s="433"/>
      <c r="T5" s="433"/>
      <c r="U5" s="433"/>
    </row>
    <row r="6" spans="1:21" ht="18.399999999999999" customHeight="1" x14ac:dyDescent="0.25">
      <c r="A6" s="433"/>
      <c r="B6" s="433"/>
      <c r="C6" s="433"/>
      <c r="D6" s="433"/>
      <c r="E6" s="433"/>
      <c r="F6" s="433"/>
      <c r="G6" s="433"/>
      <c r="H6" s="433"/>
      <c r="I6" s="433"/>
      <c r="J6" s="433"/>
      <c r="K6" s="433"/>
      <c r="L6" s="433"/>
      <c r="M6" s="433"/>
      <c r="N6" s="2663" t="str">
        <f>Apresentação!I2</f>
        <v>RC-RSU V.1.0 - 15/10/2020</v>
      </c>
      <c r="O6" s="2711"/>
      <c r="P6" s="433"/>
      <c r="Q6" s="433"/>
      <c r="R6" s="433"/>
      <c r="S6" s="433"/>
      <c r="T6" s="433"/>
      <c r="U6" s="433"/>
    </row>
    <row r="7" spans="1:21" ht="18" customHeight="1" x14ac:dyDescent="0.25">
      <c r="A7" s="616"/>
      <c r="B7" s="639"/>
      <c r="C7" s="1382" t="s">
        <v>184</v>
      </c>
      <c r="D7" s="643"/>
      <c r="E7" s="655"/>
      <c r="F7" s="655"/>
      <c r="G7" s="655"/>
      <c r="H7" s="655"/>
      <c r="I7" s="433"/>
      <c r="J7" s="644" t="s">
        <v>99</v>
      </c>
      <c r="K7" s="393"/>
      <c r="L7" s="394"/>
      <c r="M7" s="448"/>
      <c r="N7" s="433"/>
      <c r="O7" s="433"/>
      <c r="P7" s="433"/>
      <c r="Q7" s="433"/>
      <c r="R7" s="433"/>
      <c r="S7" s="433"/>
      <c r="T7" s="433"/>
      <c r="U7" s="433"/>
    </row>
    <row r="8" spans="1:21" ht="18" customHeight="1" x14ac:dyDescent="0.25">
      <c r="A8" s="616"/>
      <c r="B8" s="1411"/>
      <c r="C8" s="1412"/>
      <c r="D8" s="643"/>
      <c r="E8" s="2723" t="s">
        <v>864</v>
      </c>
      <c r="F8" s="2724"/>
      <c r="G8" s="2724"/>
      <c r="H8" s="2725"/>
      <c r="I8" s="433"/>
      <c r="J8" s="2728"/>
      <c r="K8" s="2729"/>
      <c r="L8" s="2726" t="s">
        <v>185</v>
      </c>
      <c r="M8" s="2726" t="s">
        <v>486</v>
      </c>
      <c r="N8" s="433"/>
      <c r="O8" s="433"/>
      <c r="P8" s="433"/>
      <c r="Q8" s="433"/>
      <c r="R8" s="433"/>
      <c r="S8" s="433"/>
      <c r="T8" s="433"/>
      <c r="U8" s="433"/>
    </row>
    <row r="9" spans="1:21" ht="18" customHeight="1" x14ac:dyDescent="0.25">
      <c r="A9" s="433"/>
      <c r="B9" s="433"/>
      <c r="C9" s="433"/>
      <c r="D9" s="2734"/>
      <c r="E9" s="675" t="s">
        <v>25</v>
      </c>
      <c r="F9" s="2723" t="s">
        <v>865</v>
      </c>
      <c r="G9" s="2724"/>
      <c r="H9" s="2725"/>
      <c r="I9" s="433"/>
      <c r="J9" s="2730"/>
      <c r="K9" s="2731"/>
      <c r="L9" s="2727"/>
      <c r="M9" s="2727"/>
      <c r="N9" s="433"/>
      <c r="O9" s="433"/>
      <c r="P9" s="433"/>
      <c r="Q9" s="433"/>
      <c r="R9" s="433"/>
      <c r="S9" s="433"/>
      <c r="T9" s="433"/>
      <c r="U9" s="433"/>
    </row>
    <row r="10" spans="1:21" ht="18" customHeight="1" x14ac:dyDescent="0.25">
      <c r="A10" s="433"/>
      <c r="B10" s="433"/>
      <c r="C10" s="433"/>
      <c r="D10" s="2735"/>
      <c r="E10" s="456" t="s">
        <v>679</v>
      </c>
      <c r="F10" s="456" t="s">
        <v>679</v>
      </c>
      <c r="G10" s="456" t="s">
        <v>680</v>
      </c>
      <c r="H10" s="456" t="s">
        <v>508</v>
      </c>
      <c r="I10" s="433"/>
      <c r="J10" s="2732"/>
      <c r="K10" s="2733"/>
      <c r="L10" s="2727"/>
      <c r="M10" s="2727"/>
      <c r="N10" s="433"/>
      <c r="O10" s="433"/>
      <c r="P10" s="433"/>
      <c r="Q10" s="433"/>
      <c r="R10" s="433"/>
      <c r="S10" s="433"/>
      <c r="T10" s="433"/>
      <c r="U10" s="433"/>
    </row>
    <row r="11" spans="1:21" ht="18" customHeight="1" x14ac:dyDescent="0.25">
      <c r="A11" s="433"/>
      <c r="B11" s="433"/>
      <c r="C11" s="433"/>
      <c r="D11" s="109" t="s">
        <v>186</v>
      </c>
      <c r="E11" s="836">
        <f>IF('R-Definição'!I35="Alta",E12,E13)</f>
        <v>85</v>
      </c>
      <c r="F11" s="836">
        <f>IF('R-Definição'!I34="Alta",F12,F13)</f>
        <v>25</v>
      </c>
      <c r="G11" s="836">
        <f>IF('R-Definição'!I33="Alta",G12,G13)</f>
        <v>50</v>
      </c>
      <c r="H11" s="836">
        <f>IF('R-Definição'!I32="Alta",H12,H13)</f>
        <v>35</v>
      </c>
      <c r="I11" s="433"/>
      <c r="J11" s="2718" t="s">
        <v>487</v>
      </c>
      <c r="K11" s="2718"/>
      <c r="L11" s="195">
        <v>2.5</v>
      </c>
      <c r="M11" s="195">
        <v>50</v>
      </c>
      <c r="N11" s="433"/>
      <c r="O11" s="433"/>
      <c r="P11" s="433"/>
      <c r="Q11" s="433"/>
      <c r="R11" s="433"/>
      <c r="S11" s="433"/>
      <c r="T11" s="433"/>
      <c r="U11" s="433"/>
    </row>
    <row r="12" spans="1:21" ht="18" customHeight="1" x14ac:dyDescent="0.25">
      <c r="A12" s="433"/>
      <c r="B12" s="433"/>
      <c r="C12" s="433"/>
      <c r="D12" s="109" t="s">
        <v>176</v>
      </c>
      <c r="E12" s="195">
        <v>97.5</v>
      </c>
      <c r="F12" s="195">
        <v>50</v>
      </c>
      <c r="G12" s="195">
        <v>90</v>
      </c>
      <c r="H12" s="195">
        <v>70</v>
      </c>
      <c r="I12" s="433"/>
      <c r="J12" s="2718" t="s">
        <v>488</v>
      </c>
      <c r="K12" s="2718"/>
      <c r="L12" s="195">
        <v>27.5</v>
      </c>
      <c r="M12" s="195">
        <v>30</v>
      </c>
      <c r="N12" s="433"/>
      <c r="O12" s="433"/>
      <c r="P12" s="433"/>
      <c r="Q12" s="433"/>
      <c r="R12" s="433"/>
      <c r="S12" s="433"/>
      <c r="T12" s="433"/>
      <c r="U12" s="433"/>
    </row>
    <row r="13" spans="1:21" ht="18" customHeight="1" x14ac:dyDescent="0.25">
      <c r="A13" s="433"/>
      <c r="B13" s="433"/>
      <c r="C13" s="433"/>
      <c r="D13" s="109" t="s">
        <v>88</v>
      </c>
      <c r="E13" s="195">
        <v>85</v>
      </c>
      <c r="F13" s="195">
        <v>25</v>
      </c>
      <c r="G13" s="195">
        <v>50</v>
      </c>
      <c r="H13" s="195">
        <v>35</v>
      </c>
      <c r="I13" s="433"/>
      <c r="J13" s="433"/>
      <c r="K13" s="433"/>
      <c r="L13" s="433"/>
      <c r="N13" s="433"/>
      <c r="O13" s="433"/>
      <c r="P13" s="433"/>
      <c r="Q13" s="433"/>
      <c r="R13" s="433"/>
      <c r="S13" s="433"/>
      <c r="T13" s="433"/>
      <c r="U13" s="433"/>
    </row>
    <row r="14" spans="1:21" ht="18" customHeight="1" x14ac:dyDescent="0.25">
      <c r="A14" s="433"/>
      <c r="B14" s="433"/>
      <c r="C14" s="433"/>
      <c r="E14" s="433"/>
      <c r="F14" s="433"/>
      <c r="G14" s="650"/>
      <c r="H14" s="433"/>
      <c r="I14" s="433"/>
      <c r="J14" s="433"/>
      <c r="K14" s="433"/>
      <c r="L14" s="433"/>
      <c r="M14" s="433"/>
      <c r="N14" s="433"/>
      <c r="O14" s="433"/>
      <c r="P14" s="433"/>
      <c r="Q14" s="433"/>
      <c r="R14" s="433"/>
      <c r="S14" s="433"/>
      <c r="T14" s="433"/>
      <c r="U14" s="433"/>
    </row>
    <row r="15" spans="1:21" ht="18" customHeight="1" x14ac:dyDescent="0.25">
      <c r="A15" s="616"/>
      <c r="B15" s="639"/>
      <c r="C15" s="394" t="s">
        <v>187</v>
      </c>
      <c r="D15" s="452"/>
      <c r="E15" s="658"/>
      <c r="F15" s="658"/>
      <c r="G15" s="648"/>
      <c r="H15" s="433"/>
      <c r="I15" s="433"/>
      <c r="J15" s="433"/>
      <c r="K15" s="433"/>
      <c r="L15" s="433"/>
      <c r="M15" s="433"/>
      <c r="N15" s="433"/>
      <c r="O15" s="433"/>
      <c r="P15" s="433"/>
      <c r="Q15" s="433"/>
      <c r="R15" s="433"/>
      <c r="S15" s="433"/>
      <c r="T15" s="433"/>
      <c r="U15" s="433"/>
    </row>
    <row r="16" spans="1:21" ht="18" customHeight="1" x14ac:dyDescent="0.25">
      <c r="A16" s="433"/>
      <c r="B16" s="652"/>
      <c r="C16" s="656"/>
      <c r="D16" s="654" t="s">
        <v>188</v>
      </c>
      <c r="E16" s="393"/>
      <c r="F16" s="645"/>
      <c r="G16" s="433"/>
      <c r="H16" s="644" t="s">
        <v>189</v>
      </c>
      <c r="I16" s="393"/>
      <c r="J16" s="645"/>
      <c r="K16" s="433"/>
      <c r="L16" s="644" t="s">
        <v>131</v>
      </c>
      <c r="M16" s="448"/>
      <c r="N16" s="433"/>
      <c r="O16" s="433"/>
      <c r="P16" s="433"/>
      <c r="Q16" s="433"/>
      <c r="R16" s="433"/>
      <c r="S16" s="433"/>
      <c r="T16" s="433"/>
      <c r="U16" s="433"/>
    </row>
    <row r="17" spans="1:21" ht="18" customHeight="1" x14ac:dyDescent="0.25">
      <c r="A17" s="433"/>
      <c r="B17" s="433"/>
      <c r="C17" s="657"/>
      <c r="D17" s="2736" t="s">
        <v>190</v>
      </c>
      <c r="E17" s="453" t="s">
        <v>191</v>
      </c>
      <c r="F17" s="453" t="s">
        <v>905</v>
      </c>
      <c r="G17" s="433"/>
      <c r="H17" s="2738"/>
      <c r="I17" s="2738" t="s">
        <v>192</v>
      </c>
      <c r="J17" s="2690"/>
      <c r="K17" s="433"/>
      <c r="L17" s="2737" t="s">
        <v>692</v>
      </c>
      <c r="M17" s="2702"/>
      <c r="N17" s="433"/>
      <c r="O17" s="433"/>
      <c r="P17" s="433"/>
      <c r="Q17" s="433"/>
      <c r="R17" s="433"/>
      <c r="S17" s="433"/>
      <c r="T17" s="433"/>
      <c r="U17" s="433"/>
    </row>
    <row r="18" spans="1:21" ht="18" customHeight="1" x14ac:dyDescent="0.25">
      <c r="A18" s="433"/>
      <c r="B18" s="433"/>
      <c r="C18" s="657"/>
      <c r="D18" s="2690"/>
      <c r="E18" s="453" t="s">
        <v>968</v>
      </c>
      <c r="F18" s="453" t="s">
        <v>904</v>
      </c>
      <c r="G18" s="433"/>
      <c r="H18" s="2690"/>
      <c r="I18" s="453" t="s">
        <v>188</v>
      </c>
      <c r="J18" s="646" t="s">
        <v>131</v>
      </c>
      <c r="K18" s="433"/>
      <c r="L18" s="2702"/>
      <c r="M18" s="2702"/>
      <c r="N18" s="433"/>
      <c r="O18" s="433"/>
      <c r="P18" s="433"/>
      <c r="Q18" s="433"/>
      <c r="R18" s="433"/>
      <c r="S18" s="433"/>
      <c r="T18" s="433"/>
      <c r="U18" s="433"/>
    </row>
    <row r="19" spans="1:21" ht="18" customHeight="1" x14ac:dyDescent="0.25">
      <c r="A19" s="433"/>
      <c r="B19" s="433"/>
      <c r="C19" s="1537"/>
      <c r="D19" s="109" t="s">
        <v>193</v>
      </c>
      <c r="E19" s="1374">
        <v>120</v>
      </c>
      <c r="F19" s="1374">
        <v>425</v>
      </c>
      <c r="G19" s="1537"/>
      <c r="H19" s="109" t="s">
        <v>176</v>
      </c>
      <c r="I19" s="195">
        <v>25</v>
      </c>
      <c r="J19" s="195">
        <v>50</v>
      </c>
      <c r="K19" s="433"/>
      <c r="L19" s="109" t="s">
        <v>193</v>
      </c>
      <c r="M19" s="195">
        <v>25</v>
      </c>
      <c r="N19" s="433"/>
      <c r="O19" s="433"/>
      <c r="P19" s="433"/>
      <c r="Q19" s="433"/>
      <c r="R19" s="433"/>
      <c r="S19" s="433"/>
      <c r="T19" s="433"/>
      <c r="U19" s="433"/>
    </row>
    <row r="20" spans="1:21" ht="18" customHeight="1" x14ac:dyDescent="0.25">
      <c r="A20" s="433"/>
      <c r="B20" s="433"/>
      <c r="C20" s="1537"/>
      <c r="D20" s="109" t="s">
        <v>121</v>
      </c>
      <c r="E20" s="1486">
        <v>100</v>
      </c>
      <c r="F20" s="1486">
        <v>400</v>
      </c>
      <c r="G20" s="1537"/>
      <c r="H20" s="109" t="s">
        <v>118</v>
      </c>
      <c r="I20" s="195">
        <v>20</v>
      </c>
      <c r="J20" s="195">
        <v>40</v>
      </c>
      <c r="K20" s="433"/>
      <c r="L20" s="109" t="s">
        <v>137</v>
      </c>
      <c r="M20" s="195">
        <v>10</v>
      </c>
      <c r="N20" s="433"/>
      <c r="O20" s="433"/>
      <c r="P20" s="433"/>
      <c r="Q20" s="433"/>
      <c r="R20" s="433"/>
      <c r="S20" s="433"/>
      <c r="T20" s="433"/>
      <c r="U20" s="433"/>
    </row>
    <row r="21" spans="1:21" ht="18" customHeight="1" x14ac:dyDescent="0.25">
      <c r="A21" s="433"/>
      <c r="B21" s="433"/>
      <c r="C21" s="1537"/>
      <c r="D21" s="109" t="s">
        <v>137</v>
      </c>
      <c r="E21" s="1486">
        <v>80</v>
      </c>
      <c r="F21" s="1486">
        <v>375</v>
      </c>
      <c r="G21" s="1537"/>
      <c r="H21" s="109" t="s">
        <v>88</v>
      </c>
      <c r="I21" s="195">
        <v>15</v>
      </c>
      <c r="J21" s="195">
        <v>30</v>
      </c>
      <c r="K21" s="433"/>
      <c r="L21" s="433"/>
      <c r="M21" s="650"/>
      <c r="N21" s="648"/>
      <c r="O21" s="433"/>
      <c r="P21" s="433"/>
      <c r="Q21" s="433"/>
      <c r="R21" s="433"/>
      <c r="S21" s="433"/>
      <c r="T21" s="433"/>
      <c r="U21" s="433"/>
    </row>
    <row r="22" spans="1:21" ht="18" customHeight="1" x14ac:dyDescent="0.25">
      <c r="A22" s="433"/>
      <c r="B22" s="433"/>
      <c r="C22" s="433"/>
      <c r="D22" s="433"/>
      <c r="E22" s="433"/>
      <c r="F22" s="433"/>
      <c r="G22" s="433"/>
      <c r="H22" s="433"/>
      <c r="I22" s="433"/>
      <c r="J22" s="433"/>
      <c r="K22" s="433"/>
      <c r="L22" s="433"/>
      <c r="M22" s="650"/>
      <c r="N22" s="648"/>
      <c r="O22" s="433"/>
      <c r="P22" s="433"/>
      <c r="Q22" s="433"/>
      <c r="R22" s="433"/>
      <c r="S22" s="433"/>
      <c r="T22" s="433"/>
      <c r="U22" s="433"/>
    </row>
    <row r="23" spans="1:21" ht="18" customHeight="1" x14ac:dyDescent="0.25">
      <c r="A23" s="433"/>
      <c r="B23" s="433"/>
      <c r="C23" s="433"/>
      <c r="D23" s="2716" t="s">
        <v>693</v>
      </c>
      <c r="E23" s="2717"/>
      <c r="F23" s="1375">
        <v>65</v>
      </c>
      <c r="G23" s="433"/>
      <c r="H23" s="433"/>
      <c r="I23" s="433"/>
      <c r="J23" s="433"/>
      <c r="K23" s="433"/>
      <c r="L23" s="433"/>
      <c r="M23" s="650"/>
      <c r="N23" s="648"/>
      <c r="O23" s="433"/>
      <c r="P23" s="433"/>
      <c r="Q23" s="433"/>
      <c r="R23" s="433"/>
      <c r="S23" s="433"/>
      <c r="T23" s="433"/>
      <c r="U23" s="433"/>
    </row>
    <row r="24" spans="1:21" ht="18" customHeight="1" x14ac:dyDescent="0.25">
      <c r="A24" s="433"/>
      <c r="B24" s="433"/>
      <c r="C24" s="433"/>
      <c r="D24" s="2716" t="s">
        <v>489</v>
      </c>
      <c r="E24" s="2717"/>
      <c r="F24" s="1375">
        <v>96.5</v>
      </c>
      <c r="G24" s="433"/>
      <c r="H24" s="433"/>
      <c r="I24" s="433"/>
      <c r="J24" s="433"/>
      <c r="K24" s="433"/>
      <c r="L24" s="433"/>
      <c r="M24" s="650"/>
      <c r="N24" s="648"/>
      <c r="O24" s="433"/>
      <c r="P24" s="433"/>
      <c r="Q24" s="433"/>
      <c r="R24" s="433"/>
      <c r="S24" s="433"/>
      <c r="T24" s="433"/>
      <c r="U24" s="433"/>
    </row>
    <row r="25" spans="1:21" ht="18" customHeight="1" x14ac:dyDescent="0.25">
      <c r="A25" s="433"/>
      <c r="B25" s="433"/>
      <c r="C25" s="433"/>
      <c r="D25" s="194"/>
      <c r="E25" s="648"/>
      <c r="F25" s="650"/>
      <c r="G25" s="433"/>
      <c r="H25" s="433"/>
      <c r="I25" s="433"/>
      <c r="J25" s="650"/>
      <c r="K25" s="433"/>
      <c r="L25" s="433"/>
      <c r="M25" s="433"/>
      <c r="N25" s="648"/>
      <c r="O25" s="433"/>
      <c r="P25" s="433"/>
      <c r="Q25" s="433"/>
      <c r="R25" s="433"/>
      <c r="S25" s="433"/>
      <c r="T25" s="433"/>
      <c r="U25" s="433"/>
    </row>
    <row r="26" spans="1:21" ht="18" customHeight="1" x14ac:dyDescent="0.25">
      <c r="A26" s="642"/>
      <c r="B26" s="647"/>
      <c r="C26" s="394" t="s">
        <v>63</v>
      </c>
      <c r="D26" s="448"/>
      <c r="E26" s="433"/>
      <c r="F26" s="433"/>
      <c r="G26" s="433"/>
      <c r="H26" s="644" t="s">
        <v>64</v>
      </c>
      <c r="I26" s="393"/>
      <c r="J26" s="645"/>
      <c r="K26" s="433"/>
      <c r="L26" s="644" t="s">
        <v>64</v>
      </c>
      <c r="M26" s="393"/>
      <c r="N26" s="394"/>
      <c r="O26" s="645"/>
      <c r="P26" s="433"/>
      <c r="Q26" s="433"/>
      <c r="R26" s="433"/>
      <c r="S26" s="433"/>
      <c r="T26" s="433"/>
      <c r="U26" s="433"/>
    </row>
    <row r="27" spans="1:21" ht="18" customHeight="1" x14ac:dyDescent="0.25">
      <c r="A27" s="433"/>
      <c r="B27" s="652"/>
      <c r="C27" s="2720"/>
      <c r="D27" s="2721"/>
      <c r="E27" s="2721"/>
      <c r="F27" s="306" t="s">
        <v>194</v>
      </c>
      <c r="G27" s="433"/>
      <c r="H27" s="2722" t="s">
        <v>490</v>
      </c>
      <c r="I27" s="2702"/>
      <c r="J27" s="2702"/>
      <c r="K27" s="433"/>
      <c r="L27" s="2719"/>
      <c r="M27" s="2690"/>
      <c r="N27" s="2690"/>
      <c r="O27" s="453" t="s">
        <v>240</v>
      </c>
      <c r="P27" s="433"/>
      <c r="Q27" s="433"/>
      <c r="R27" s="433"/>
      <c r="S27" s="433"/>
      <c r="T27" s="433"/>
      <c r="U27" s="433"/>
    </row>
    <row r="28" spans="1:21" ht="18" customHeight="1" x14ac:dyDescent="0.25">
      <c r="A28" s="433"/>
      <c r="B28" s="433"/>
      <c r="C28" s="2716" t="s">
        <v>694</v>
      </c>
      <c r="D28" s="2717"/>
      <c r="E28" s="2717"/>
      <c r="F28" s="1484">
        <f>((0.54+0.09)/2.5)*100*1</f>
        <v>25.2</v>
      </c>
      <c r="G28" s="433"/>
      <c r="H28" s="200" t="s">
        <v>176</v>
      </c>
      <c r="I28" s="200" t="s">
        <v>118</v>
      </c>
      <c r="J28" s="200" t="s">
        <v>88</v>
      </c>
      <c r="K28" s="433"/>
      <c r="L28" s="109"/>
      <c r="M28" s="217"/>
      <c r="N28" s="109" t="s">
        <v>491</v>
      </c>
      <c r="O28" s="1376">
        <v>16.8</v>
      </c>
      <c r="P28" s="433"/>
      <c r="Q28" s="433"/>
      <c r="R28" s="433"/>
      <c r="S28" s="433"/>
      <c r="T28" s="433"/>
      <c r="U28" s="433"/>
    </row>
    <row r="29" spans="1:21" ht="18" customHeight="1" x14ac:dyDescent="0.25">
      <c r="A29" s="433"/>
      <c r="B29" s="433"/>
      <c r="C29" s="2716" t="s">
        <v>195</v>
      </c>
      <c r="D29" s="2717"/>
      <c r="E29" s="2717"/>
      <c r="F29" s="199">
        <v>20</v>
      </c>
      <c r="G29" s="433"/>
      <c r="H29" s="199">
        <v>50</v>
      </c>
      <c r="I29" s="199">
        <v>30</v>
      </c>
      <c r="J29" s="199">
        <v>10</v>
      </c>
      <c r="K29" s="433"/>
      <c r="L29" s="2718" t="s">
        <v>492</v>
      </c>
      <c r="M29" s="2713"/>
      <c r="N29" s="2713"/>
      <c r="O29" s="1376">
        <v>35</v>
      </c>
      <c r="P29" s="433"/>
      <c r="Q29" s="433"/>
      <c r="R29" s="433"/>
      <c r="S29" s="433"/>
      <c r="T29" s="433"/>
      <c r="U29" s="433"/>
    </row>
    <row r="30" spans="1:21" ht="18" customHeight="1" x14ac:dyDescent="0.25">
      <c r="A30" s="433"/>
      <c r="B30" s="433"/>
      <c r="C30" s="2716" t="s">
        <v>158</v>
      </c>
      <c r="D30" s="2717"/>
      <c r="E30" s="2717"/>
      <c r="F30" s="199">
        <v>90</v>
      </c>
      <c r="G30" s="433"/>
      <c r="H30" s="158"/>
      <c r="I30" s="198"/>
      <c r="J30" s="158"/>
      <c r="K30" s="433"/>
      <c r="L30" s="2718" t="s">
        <v>695</v>
      </c>
      <c r="M30" s="2713"/>
      <c r="N30" s="2713"/>
      <c r="O30" s="1377">
        <v>60</v>
      </c>
      <c r="P30" s="433"/>
      <c r="Q30" s="433"/>
      <c r="R30" s="433"/>
      <c r="S30" s="433"/>
      <c r="T30" s="433"/>
      <c r="U30" s="433"/>
    </row>
    <row r="31" spans="1:21" ht="18" customHeight="1" x14ac:dyDescent="0.25">
      <c r="A31" s="433"/>
      <c r="B31" s="433"/>
      <c r="C31" s="649"/>
      <c r="D31" s="649"/>
      <c r="E31" s="649"/>
      <c r="F31" s="650"/>
      <c r="G31" s="433"/>
      <c r="H31" s="433"/>
      <c r="I31" s="433"/>
      <c r="J31" s="433"/>
      <c r="K31" s="433"/>
      <c r="L31" s="651"/>
      <c r="M31" s="651"/>
      <c r="N31" s="651"/>
      <c r="O31" s="648"/>
      <c r="P31" s="433"/>
      <c r="Q31" s="433"/>
      <c r="R31" s="433"/>
      <c r="S31" s="433"/>
      <c r="T31" s="433"/>
      <c r="U31" s="433"/>
    </row>
    <row r="32" spans="1:21" ht="18" customHeight="1" x14ac:dyDescent="0.25">
      <c r="A32" s="433"/>
      <c r="B32" s="647"/>
      <c r="C32" s="394" t="s">
        <v>196</v>
      </c>
      <c r="D32" s="393"/>
      <c r="E32" s="393"/>
      <c r="F32" s="393"/>
      <c r="G32" s="393"/>
      <c r="H32" s="393"/>
      <c r="I32" s="393"/>
      <c r="J32" s="393"/>
      <c r="K32" s="393"/>
      <c r="L32" s="393"/>
      <c r="M32" s="393"/>
      <c r="N32" s="448"/>
      <c r="O32" s="433"/>
      <c r="P32" s="433"/>
      <c r="Q32" s="433"/>
      <c r="R32" s="433"/>
      <c r="S32" s="433"/>
      <c r="T32" s="433"/>
      <c r="U32" s="433"/>
    </row>
    <row r="33" spans="1:21" ht="18" customHeight="1" x14ac:dyDescent="0.25">
      <c r="A33" s="433"/>
      <c r="B33" s="2714"/>
      <c r="C33" s="2715"/>
      <c r="D33" s="2715"/>
      <c r="E33" s="2664" t="s">
        <v>197</v>
      </c>
      <c r="F33" s="2702"/>
      <c r="G33" s="2702"/>
      <c r="H33" s="2702"/>
      <c r="I33" s="2702"/>
      <c r="J33" s="2702"/>
      <c r="K33" s="2702"/>
      <c r="L33" s="2702"/>
      <c r="M33" s="2702"/>
      <c r="N33" s="2702"/>
      <c r="O33" s="433"/>
      <c r="P33" s="433"/>
      <c r="Q33" s="433"/>
      <c r="R33" s="433"/>
      <c r="S33" s="433"/>
      <c r="T33" s="433"/>
      <c r="U33" s="433"/>
    </row>
    <row r="34" spans="1:21" ht="18" customHeight="1" x14ac:dyDescent="0.25">
      <c r="A34" s="433"/>
      <c r="B34" s="2715"/>
      <c r="C34" s="2715"/>
      <c r="D34" s="2715"/>
      <c r="E34" s="2664" t="s">
        <v>25</v>
      </c>
      <c r="F34" s="2702"/>
      <c r="G34" s="2679" t="s">
        <v>49</v>
      </c>
      <c r="H34" s="2664" t="s">
        <v>426</v>
      </c>
      <c r="I34" s="2702"/>
      <c r="J34" s="2664" t="s">
        <v>427</v>
      </c>
      <c r="K34" s="2664" t="s">
        <v>51</v>
      </c>
      <c r="L34" s="2702"/>
      <c r="M34" s="2664" t="s">
        <v>428</v>
      </c>
      <c r="N34" s="2702"/>
      <c r="O34" s="433"/>
      <c r="P34" s="433"/>
      <c r="Q34" s="433"/>
      <c r="R34" s="433"/>
      <c r="S34" s="433"/>
      <c r="T34" s="433"/>
      <c r="U34" s="433"/>
    </row>
    <row r="35" spans="1:21" ht="18" customHeight="1" x14ac:dyDescent="0.25">
      <c r="A35" s="433"/>
      <c r="B35" s="2715"/>
      <c r="C35" s="2715"/>
      <c r="D35" s="2715"/>
      <c r="E35" s="441" t="s">
        <v>53</v>
      </c>
      <c r="F35" s="441" t="s">
        <v>430</v>
      </c>
      <c r="G35" s="2702"/>
      <c r="H35" s="441" t="s">
        <v>55</v>
      </c>
      <c r="I35" s="441" t="s">
        <v>56</v>
      </c>
      <c r="J35" s="2702"/>
      <c r="K35" s="441" t="s">
        <v>57</v>
      </c>
      <c r="L35" s="441" t="s">
        <v>461</v>
      </c>
      <c r="M35" s="441" t="s">
        <v>429</v>
      </c>
      <c r="N35" s="441" t="s">
        <v>460</v>
      </c>
      <c r="O35" s="433"/>
      <c r="P35" s="433"/>
      <c r="Q35" s="433"/>
      <c r="R35" s="433"/>
      <c r="S35" s="433"/>
      <c r="T35" s="433"/>
      <c r="U35" s="433"/>
    </row>
    <row r="36" spans="1:21" ht="18" customHeight="1" x14ac:dyDescent="0.25">
      <c r="A36" s="433"/>
      <c r="B36" s="2718" t="s">
        <v>431</v>
      </c>
      <c r="C36" s="2713"/>
      <c r="D36" s="2713"/>
      <c r="E36" s="201">
        <v>5.5</v>
      </c>
      <c r="F36" s="201">
        <v>3.7</v>
      </c>
      <c r="G36" s="201">
        <v>16.899999999999999</v>
      </c>
      <c r="H36" s="201">
        <v>25</v>
      </c>
      <c r="I36" s="201">
        <v>28</v>
      </c>
      <c r="J36" s="201">
        <v>0</v>
      </c>
      <c r="K36" s="201">
        <v>0</v>
      </c>
      <c r="L36" s="201">
        <v>0</v>
      </c>
      <c r="M36" s="201">
        <v>12.5</v>
      </c>
      <c r="N36" s="201">
        <v>0</v>
      </c>
      <c r="O36" s="433"/>
      <c r="P36" s="433"/>
      <c r="Q36" s="433"/>
      <c r="R36" s="433"/>
      <c r="S36" s="433"/>
      <c r="T36" s="433"/>
      <c r="U36" s="433"/>
    </row>
    <row r="37" spans="1:21" ht="18" customHeight="1" x14ac:dyDescent="0.25">
      <c r="A37" s="433"/>
      <c r="B37" s="2718" t="s">
        <v>696</v>
      </c>
      <c r="C37" s="2713"/>
      <c r="D37" s="2713"/>
      <c r="E37" s="201">
        <v>250</v>
      </c>
      <c r="F37" s="201">
        <v>250</v>
      </c>
      <c r="G37" s="201">
        <v>150</v>
      </c>
      <c r="H37" s="201">
        <v>0</v>
      </c>
      <c r="I37" s="201">
        <v>0</v>
      </c>
      <c r="J37" s="201">
        <v>0</v>
      </c>
      <c r="K37" s="201">
        <v>0</v>
      </c>
      <c r="L37" s="201">
        <v>0</v>
      </c>
      <c r="M37" s="201">
        <v>100</v>
      </c>
      <c r="N37" s="201">
        <v>0</v>
      </c>
      <c r="O37" s="433"/>
      <c r="P37" s="433"/>
      <c r="Q37" s="433"/>
      <c r="R37" s="433"/>
      <c r="S37" s="433"/>
      <c r="T37" s="433"/>
      <c r="U37" s="433"/>
    </row>
    <row r="38" spans="1:21" ht="18" customHeight="1" x14ac:dyDescent="0.25">
      <c r="A38" s="433"/>
      <c r="B38" s="2712" t="s">
        <v>741</v>
      </c>
      <c r="C38" s="2713"/>
      <c r="D38" s="2713"/>
      <c r="E38" s="202">
        <v>1.1100000000000001</v>
      </c>
      <c r="F38" s="202">
        <v>1.1100000000000001</v>
      </c>
      <c r="G38" s="202">
        <v>1.05</v>
      </c>
      <c r="H38" s="202">
        <v>1.04</v>
      </c>
      <c r="I38" s="202">
        <v>1.04</v>
      </c>
      <c r="J38" s="202">
        <v>0.51</v>
      </c>
      <c r="K38" s="202">
        <v>0.32</v>
      </c>
      <c r="L38" s="202">
        <v>0.93</v>
      </c>
      <c r="M38" s="202">
        <v>1.1100000000000001</v>
      </c>
      <c r="N38" s="202">
        <v>0.7</v>
      </c>
      <c r="O38" s="433"/>
      <c r="P38" s="433"/>
      <c r="Q38" s="433"/>
      <c r="R38" s="433"/>
      <c r="S38" s="433"/>
      <c r="T38" s="433"/>
      <c r="U38" s="433"/>
    </row>
    <row r="39" spans="1:21" ht="18" customHeight="1" x14ac:dyDescent="0.25">
      <c r="A39" s="433"/>
      <c r="B39" s="433"/>
      <c r="C39" s="433"/>
      <c r="D39" s="433" t="s">
        <v>432</v>
      </c>
      <c r="E39" s="433"/>
      <c r="F39" s="433"/>
      <c r="G39" s="433"/>
      <c r="H39" s="433"/>
      <c r="I39" s="433"/>
      <c r="J39" s="433"/>
      <c r="K39" s="433"/>
      <c r="L39" s="433"/>
      <c r="M39" s="433"/>
      <c r="N39" s="433"/>
      <c r="O39" s="433"/>
      <c r="P39" s="433"/>
      <c r="Q39" s="433"/>
      <c r="R39" s="433"/>
      <c r="S39" s="433"/>
      <c r="T39" s="433"/>
      <c r="U39" s="433"/>
    </row>
    <row r="40" spans="1:21" ht="18" customHeight="1" x14ac:dyDescent="0.25">
      <c r="A40" s="433"/>
      <c r="B40" s="433"/>
      <c r="C40" s="433"/>
      <c r="D40" s="433"/>
      <c r="E40" s="433"/>
      <c r="F40" s="433"/>
      <c r="G40" s="433"/>
      <c r="H40" s="433"/>
      <c r="I40" s="433"/>
      <c r="J40" s="433"/>
      <c r="K40" s="433"/>
      <c r="L40" s="433"/>
      <c r="M40" s="433"/>
      <c r="N40" s="433"/>
      <c r="O40" s="433"/>
      <c r="P40" s="433"/>
      <c r="Q40" s="433"/>
      <c r="R40" s="433"/>
      <c r="S40" s="433"/>
      <c r="T40" s="433"/>
      <c r="U40" s="433"/>
    </row>
    <row r="41" spans="1:21" ht="14.25" customHeight="1" x14ac:dyDescent="0.25">
      <c r="A41" s="433"/>
      <c r="B41" s="433"/>
      <c r="C41" s="433"/>
      <c r="D41" s="433"/>
      <c r="E41" s="433"/>
      <c r="F41" s="433"/>
      <c r="G41" s="433"/>
      <c r="H41" s="433"/>
      <c r="I41" s="433"/>
      <c r="J41" s="433"/>
      <c r="K41" s="433"/>
      <c r="L41" s="433"/>
      <c r="M41" s="433"/>
      <c r="N41" s="433"/>
      <c r="O41" s="433"/>
      <c r="P41" s="433"/>
      <c r="Q41" s="433"/>
      <c r="R41" s="433"/>
      <c r="S41" s="433"/>
      <c r="T41" s="433"/>
      <c r="U41" s="433"/>
    </row>
    <row r="42" spans="1:21" ht="14.25" customHeight="1" x14ac:dyDescent="0.25">
      <c r="A42" s="433"/>
      <c r="B42" s="433"/>
      <c r="C42" s="433"/>
      <c r="D42" s="433"/>
      <c r="E42" s="433"/>
      <c r="F42" s="433"/>
      <c r="G42" s="433"/>
      <c r="H42" s="433"/>
      <c r="I42" s="433"/>
      <c r="J42" s="433"/>
      <c r="K42" s="433"/>
      <c r="L42" s="433"/>
      <c r="M42" s="433"/>
      <c r="N42" s="433"/>
      <c r="O42" s="433"/>
      <c r="P42" s="433"/>
      <c r="Q42" s="433"/>
      <c r="R42" s="433"/>
      <c r="S42" s="433"/>
      <c r="T42" s="433"/>
      <c r="U42" s="433"/>
    </row>
    <row r="43" spans="1:21" ht="14.25" customHeight="1" x14ac:dyDescent="0.25">
      <c r="A43" s="433"/>
      <c r="B43" s="433"/>
      <c r="C43" s="433"/>
      <c r="D43" s="433"/>
      <c r="E43" s="433"/>
      <c r="F43" s="433"/>
      <c r="G43" s="433"/>
      <c r="H43" s="433"/>
      <c r="I43" s="433"/>
      <c r="J43" s="433"/>
      <c r="K43" s="433"/>
      <c r="L43" s="433"/>
      <c r="M43" s="433"/>
      <c r="N43" s="433"/>
      <c r="O43" s="433"/>
      <c r="P43" s="433"/>
      <c r="Q43" s="433"/>
      <c r="R43" s="433"/>
      <c r="S43" s="433"/>
      <c r="T43" s="433"/>
      <c r="U43" s="433"/>
    </row>
    <row r="44" spans="1:21" ht="14.25" customHeight="1" x14ac:dyDescent="0.25">
      <c r="A44" s="433"/>
      <c r="B44" s="433"/>
      <c r="C44" s="433"/>
      <c r="D44" s="433"/>
      <c r="E44" s="433"/>
      <c r="F44" s="433"/>
      <c r="G44" s="433"/>
      <c r="H44" s="433"/>
      <c r="I44" s="433"/>
      <c r="J44" s="433"/>
      <c r="K44" s="433"/>
      <c r="L44" s="433"/>
      <c r="M44" s="433"/>
      <c r="N44" s="433"/>
      <c r="O44" s="433"/>
      <c r="P44" s="433"/>
      <c r="Q44" s="433"/>
      <c r="R44" s="433"/>
      <c r="S44" s="433"/>
      <c r="T44" s="433"/>
      <c r="U44" s="433"/>
    </row>
    <row r="45" spans="1:21" ht="14.25" customHeight="1" x14ac:dyDescent="0.25">
      <c r="A45" s="433"/>
      <c r="B45" s="433"/>
      <c r="C45" s="433"/>
      <c r="D45" s="433"/>
      <c r="E45" s="433"/>
      <c r="F45" s="433"/>
      <c r="G45" s="433"/>
      <c r="H45" s="433"/>
      <c r="I45" s="433"/>
      <c r="J45" s="433"/>
      <c r="K45" s="433"/>
      <c r="L45" s="433"/>
      <c r="M45" s="433"/>
      <c r="N45" s="433"/>
      <c r="O45" s="433"/>
      <c r="P45" s="433"/>
      <c r="Q45" s="433"/>
      <c r="R45" s="433"/>
      <c r="S45" s="433"/>
      <c r="T45" s="433"/>
      <c r="U45" s="433"/>
    </row>
    <row r="46" spans="1:21" ht="14.25" customHeight="1" x14ac:dyDescent="0.25">
      <c r="A46" s="433"/>
      <c r="B46" s="433"/>
      <c r="C46" s="433"/>
      <c r="D46" s="433"/>
      <c r="E46" s="433"/>
      <c r="F46" s="433"/>
      <c r="G46" s="433"/>
      <c r="H46" s="433"/>
      <c r="I46" s="433"/>
      <c r="J46" s="433"/>
      <c r="K46" s="433"/>
      <c r="L46" s="433"/>
      <c r="M46" s="433"/>
      <c r="N46" s="433"/>
      <c r="O46" s="433"/>
      <c r="P46" s="433"/>
      <c r="Q46" s="433"/>
    </row>
    <row r="47" spans="1:21" ht="14.25" customHeight="1" x14ac:dyDescent="0.25">
      <c r="A47" s="433"/>
      <c r="B47" s="433"/>
      <c r="C47" s="433"/>
      <c r="D47" s="433"/>
      <c r="E47" s="433"/>
      <c r="F47" s="433"/>
      <c r="G47" s="433"/>
      <c r="H47" s="433"/>
      <c r="I47" s="433"/>
      <c r="J47" s="433"/>
      <c r="K47" s="433"/>
      <c r="L47" s="433"/>
      <c r="M47" s="433"/>
      <c r="N47" s="433"/>
      <c r="O47" s="433"/>
      <c r="P47" s="433"/>
      <c r="Q47" s="433"/>
    </row>
    <row r="48" spans="1:21" ht="14.25" customHeight="1" x14ac:dyDescent="0.25">
      <c r="A48" s="433"/>
      <c r="B48" s="433"/>
      <c r="C48" s="433"/>
      <c r="D48" s="433"/>
      <c r="E48" s="433"/>
      <c r="F48" s="433"/>
      <c r="G48" s="433"/>
      <c r="H48" s="433"/>
      <c r="I48" s="433"/>
      <c r="J48" s="433"/>
      <c r="K48" s="433"/>
      <c r="L48" s="433"/>
      <c r="M48" s="433"/>
      <c r="N48" s="433"/>
      <c r="O48" s="433"/>
      <c r="P48" s="433"/>
      <c r="Q48" s="433"/>
    </row>
    <row r="49" spans="1:17" ht="14.25" customHeight="1" x14ac:dyDescent="0.25">
      <c r="A49" s="433"/>
      <c r="B49" s="433"/>
      <c r="C49" s="433"/>
      <c r="D49" s="433"/>
      <c r="E49" s="433"/>
      <c r="F49" s="433"/>
      <c r="G49" s="433"/>
      <c r="H49" s="433"/>
      <c r="I49" s="433"/>
      <c r="J49" s="433"/>
      <c r="K49" s="433"/>
      <c r="L49" s="433"/>
      <c r="M49" s="433"/>
      <c r="N49" s="433"/>
      <c r="O49" s="433"/>
      <c r="P49" s="433"/>
      <c r="Q49" s="433"/>
    </row>
    <row r="50" spans="1:17" ht="14.25" customHeight="1" x14ac:dyDescent="0.25">
      <c r="A50" s="433"/>
      <c r="B50" s="433"/>
      <c r="C50" s="433"/>
      <c r="D50" s="433"/>
      <c r="E50" s="433"/>
      <c r="F50" s="433"/>
      <c r="G50" s="433"/>
      <c r="H50" s="433"/>
      <c r="I50" s="433"/>
      <c r="J50" s="433"/>
      <c r="K50" s="433"/>
      <c r="L50" s="433"/>
      <c r="M50" s="433"/>
      <c r="N50" s="433"/>
      <c r="O50" s="433"/>
      <c r="P50" s="433"/>
      <c r="Q50" s="433"/>
    </row>
    <row r="51" spans="1:17" ht="14.25" customHeight="1" x14ac:dyDescent="0.25">
      <c r="A51" s="433"/>
      <c r="B51" s="433"/>
      <c r="C51" s="433"/>
      <c r="D51" s="433"/>
      <c r="E51" s="433"/>
      <c r="F51" s="433"/>
      <c r="G51" s="433"/>
      <c r="H51" s="433"/>
      <c r="I51" s="433"/>
      <c r="J51" s="433"/>
      <c r="K51" s="433"/>
      <c r="L51" s="433"/>
      <c r="M51" s="433"/>
      <c r="N51" s="433"/>
      <c r="O51" s="433"/>
      <c r="P51" s="433"/>
      <c r="Q51" s="433"/>
    </row>
    <row r="52" spans="1:17" ht="14.25" customHeight="1" x14ac:dyDescent="0.25">
      <c r="A52" s="433"/>
      <c r="B52" s="433"/>
      <c r="C52" s="433"/>
      <c r="D52" s="433"/>
      <c r="E52" s="433"/>
      <c r="F52" s="433"/>
      <c r="G52" s="433"/>
      <c r="H52" s="433"/>
      <c r="I52" s="433"/>
      <c r="J52" s="433"/>
      <c r="K52" s="433"/>
      <c r="L52" s="433"/>
      <c r="M52" s="433"/>
      <c r="N52" s="433"/>
      <c r="O52" s="433"/>
      <c r="P52" s="433"/>
      <c r="Q52" s="433"/>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2" customFormat="1" ht="24" customHeight="1" thickTop="1" x14ac:dyDescent="0.25">
      <c r="B1" s="2767" t="s">
        <v>744</v>
      </c>
      <c r="C1" s="2768"/>
      <c r="D1" s="2768"/>
      <c r="E1" s="2768"/>
      <c r="F1" s="2768"/>
      <c r="G1" s="2768"/>
      <c r="H1" s="2768"/>
      <c r="I1" s="2768"/>
      <c r="J1" s="2768"/>
      <c r="K1" s="2768"/>
      <c r="L1" s="2768"/>
      <c r="M1" s="2768"/>
      <c r="N1" s="2768"/>
      <c r="O1" s="2768"/>
      <c r="P1" s="2769"/>
      <c r="Q1" s="2769"/>
      <c r="R1" s="2754" t="s">
        <v>198</v>
      </c>
      <c r="S1" s="2755"/>
      <c r="T1" s="2755"/>
      <c r="U1" s="2755"/>
      <c r="V1" s="2760" t="str">
        <f>IF('R-Entrada'!D3&lt;&gt;0,'R-Entrada'!D3,"")</f>
        <v>Biodigestão c/ Prod. E. Elétrica</v>
      </c>
      <c r="W1" s="2761"/>
      <c r="X1" s="2761"/>
      <c r="Y1" s="2761"/>
      <c r="Z1" s="2761"/>
      <c r="AA1" s="2761"/>
      <c r="AB1" s="2762"/>
      <c r="AC1" s="2754" t="s">
        <v>4</v>
      </c>
      <c r="AD1" s="2755"/>
      <c r="AE1" s="2755"/>
      <c r="AF1" s="2755"/>
      <c r="AG1" s="2760" t="str">
        <f>IF('R-Entrada'!D2&lt;&gt;0,'R-Entrada'!D2,"")</f>
        <v>CIRSOP - Consórcio RSU Oeste Paulista</v>
      </c>
      <c r="AH1" s="2761"/>
      <c r="AI1" s="2761"/>
      <c r="AJ1" s="2761"/>
      <c r="AK1" s="2761"/>
      <c r="AL1" s="2761"/>
      <c r="AM1" s="2761"/>
      <c r="AN1" s="2761"/>
      <c r="AO1" s="2761"/>
      <c r="AP1" s="2761"/>
      <c r="AQ1" s="2761"/>
      <c r="AR1" s="2762"/>
      <c r="AS1" s="841" t="s">
        <v>738</v>
      </c>
      <c r="AT1" s="838"/>
      <c r="AV1" s="153"/>
    </row>
    <row r="2" spans="2:69" s="152" customFormat="1" ht="3" customHeight="1" x14ac:dyDescent="0.25">
      <c r="B2" s="2763"/>
      <c r="C2" s="2745"/>
      <c r="D2" s="2745"/>
      <c r="E2" s="2745"/>
      <c r="F2" s="2745"/>
      <c r="G2" s="2745"/>
      <c r="H2" s="2745"/>
      <c r="I2" s="2746"/>
      <c r="J2" s="154"/>
      <c r="K2" s="2758"/>
      <c r="L2" s="2745"/>
      <c r="M2" s="2745"/>
      <c r="N2" s="2745"/>
      <c r="O2" s="2745"/>
      <c r="P2" s="2745"/>
      <c r="Q2" s="2745"/>
      <c r="R2" s="2745"/>
      <c r="S2" s="2745"/>
      <c r="T2" s="2745"/>
      <c r="U2" s="2745"/>
      <c r="V2" s="2745"/>
      <c r="W2" s="2745"/>
      <c r="X2" s="2745"/>
      <c r="Y2" s="2745"/>
      <c r="Z2" s="2745"/>
      <c r="AA2" s="2745"/>
      <c r="AB2" s="2745"/>
      <c r="AC2" s="2745"/>
      <c r="AD2" s="2745"/>
      <c r="AE2" s="2745"/>
      <c r="AF2" s="2745"/>
      <c r="AG2" s="2745"/>
      <c r="AH2" s="2745"/>
      <c r="AI2" s="2745"/>
      <c r="AJ2" s="2746"/>
      <c r="AK2" s="2758"/>
      <c r="AL2" s="2745"/>
      <c r="AM2" s="2745"/>
      <c r="AN2" s="2745"/>
      <c r="AO2" s="2745"/>
      <c r="AP2" s="2745"/>
      <c r="AQ2" s="2745"/>
      <c r="AR2" s="2745"/>
      <c r="AS2" s="2745"/>
      <c r="AT2" s="2759"/>
      <c r="AU2" s="153"/>
    </row>
    <row r="3" spans="2:69" s="152" customFormat="1" ht="16.899999999999999" customHeight="1" x14ac:dyDescent="0.25">
      <c r="B3" s="155"/>
      <c r="C3" s="146">
        <f>'R-Entrada'!E14</f>
        <v>467.94871794871796</v>
      </c>
      <c r="D3" s="156"/>
      <c r="E3" s="2744" t="s">
        <v>199</v>
      </c>
      <c r="F3" s="2745"/>
      <c r="G3" s="2745"/>
      <c r="H3" s="2746"/>
      <c r="I3" s="156"/>
      <c r="J3" s="154"/>
      <c r="K3" s="156"/>
      <c r="L3" s="156"/>
      <c r="M3" s="154"/>
      <c r="N3" s="154"/>
      <c r="O3" s="154"/>
      <c r="P3" s="156"/>
      <c r="Q3" s="156"/>
      <c r="R3" s="156"/>
      <c r="S3" s="156"/>
      <c r="T3" s="156"/>
      <c r="U3" s="156"/>
      <c r="V3" s="156"/>
      <c r="W3" s="156"/>
      <c r="X3" s="156"/>
      <c r="Y3" s="156"/>
      <c r="Z3" s="156"/>
      <c r="AA3" s="156"/>
      <c r="AB3" s="156"/>
      <c r="AC3" s="156"/>
      <c r="AD3" s="156"/>
      <c r="AE3" s="156"/>
      <c r="AF3" s="156"/>
      <c r="AG3" s="156"/>
      <c r="AH3" s="156"/>
      <c r="AI3" s="156"/>
      <c r="AJ3" s="156"/>
      <c r="AK3" s="156"/>
      <c r="AL3" s="156"/>
      <c r="AM3" s="156"/>
      <c r="AN3" s="156"/>
      <c r="AO3" s="156"/>
      <c r="AP3" s="156"/>
      <c r="AQ3" s="156"/>
      <c r="AR3" s="156"/>
      <c r="AS3" s="156"/>
      <c r="AT3" s="157"/>
      <c r="AU3" s="153"/>
      <c r="AV3" s="158"/>
      <c r="AW3" s="158"/>
      <c r="AX3" s="158"/>
      <c r="AY3" s="158"/>
      <c r="AZ3" s="158"/>
      <c r="BA3" s="158"/>
    </row>
    <row r="4" spans="2:69" s="152" customFormat="1" ht="1.9" customHeight="1" x14ac:dyDescent="0.25">
      <c r="B4" s="155"/>
      <c r="C4" s="156"/>
      <c r="D4" s="156"/>
      <c r="E4" s="156"/>
      <c r="F4" s="156"/>
      <c r="G4" s="156"/>
      <c r="H4" s="156"/>
      <c r="I4" s="156"/>
      <c r="J4" s="154"/>
      <c r="K4" s="156"/>
      <c r="L4" s="156"/>
      <c r="M4" s="154"/>
      <c r="N4" s="154"/>
      <c r="O4" s="154"/>
      <c r="P4" s="156"/>
      <c r="Q4" s="156"/>
      <c r="R4" s="156"/>
      <c r="S4" s="156"/>
      <c r="T4" s="156"/>
      <c r="U4" s="156"/>
      <c r="V4" s="156"/>
      <c r="W4" s="156"/>
      <c r="X4" s="156"/>
      <c r="Y4" s="156"/>
      <c r="Z4" s="156"/>
      <c r="AA4" s="156"/>
      <c r="AB4" s="156"/>
      <c r="AC4" s="156"/>
      <c r="AD4" s="156"/>
      <c r="AE4" s="156"/>
      <c r="AF4" s="156"/>
      <c r="AG4" s="156"/>
      <c r="AH4" s="156"/>
      <c r="AI4" s="156"/>
      <c r="AJ4" s="156"/>
      <c r="AK4" s="156"/>
      <c r="AL4" s="156"/>
      <c r="AM4" s="156"/>
      <c r="AN4" s="156"/>
      <c r="AO4" s="156"/>
      <c r="AP4" s="156"/>
      <c r="AQ4" s="156"/>
      <c r="AR4" s="156"/>
      <c r="AS4" s="156"/>
      <c r="AT4" s="157"/>
      <c r="AU4" s="153"/>
      <c r="AV4" s="158"/>
      <c r="AW4" s="158"/>
      <c r="AX4" s="158"/>
      <c r="AY4" s="158"/>
      <c r="AZ4" s="158"/>
      <c r="BA4" s="158"/>
    </row>
    <row r="5" spans="2:69" s="152" customFormat="1" ht="16.899999999999999" customHeight="1" x14ac:dyDescent="0.25">
      <c r="B5" s="159"/>
      <c r="C5" s="146">
        <f>'R-Entrada'!E44</f>
        <v>0</v>
      </c>
      <c r="D5" s="154"/>
      <c r="E5" s="2744" t="s">
        <v>200</v>
      </c>
      <c r="F5" s="2745"/>
      <c r="G5" s="2745"/>
      <c r="H5" s="2746"/>
      <c r="I5" s="154"/>
      <c r="J5" s="154"/>
      <c r="K5" s="154"/>
      <c r="L5" s="154"/>
      <c r="M5" s="154"/>
      <c r="N5" s="154"/>
      <c r="O5" s="154"/>
      <c r="P5" s="154"/>
      <c r="Q5" s="154"/>
      <c r="R5" s="154"/>
      <c r="S5" s="154"/>
      <c r="T5" s="154"/>
      <c r="U5" s="154"/>
      <c r="V5" s="154"/>
      <c r="W5" s="154"/>
      <c r="X5" s="154"/>
      <c r="Y5" s="154"/>
      <c r="Z5" s="154"/>
      <c r="AA5" s="154"/>
      <c r="AB5" s="2764" t="s">
        <v>424</v>
      </c>
      <c r="AC5" s="2706"/>
      <c r="AD5" s="2706"/>
      <c r="AE5" s="2706"/>
      <c r="AF5" s="2706"/>
      <c r="AG5" s="2706"/>
      <c r="AH5" s="2706"/>
      <c r="AI5" s="2706"/>
      <c r="AJ5" s="2706"/>
      <c r="AK5" s="2706"/>
      <c r="AL5" s="154"/>
      <c r="AM5" s="154"/>
      <c r="AN5" s="154"/>
      <c r="AO5" s="154"/>
      <c r="AP5" s="154"/>
      <c r="AQ5" s="154"/>
      <c r="AR5" s="154"/>
      <c r="AS5" s="154"/>
      <c r="AT5" s="160"/>
      <c r="AU5" s="153"/>
      <c r="AV5" s="158"/>
      <c r="AW5" s="158"/>
      <c r="AX5" s="158"/>
      <c r="AY5" s="158"/>
      <c r="AZ5" s="158"/>
      <c r="BA5" s="158"/>
    </row>
    <row r="6" spans="2:69" s="152" customFormat="1" ht="1.9" customHeight="1" x14ac:dyDescent="0.25">
      <c r="B6" s="159"/>
      <c r="C6" s="154"/>
      <c r="D6" s="154"/>
      <c r="E6" s="154"/>
      <c r="F6" s="154"/>
      <c r="G6" s="154"/>
      <c r="H6" s="154"/>
      <c r="I6" s="154"/>
      <c r="J6" s="154"/>
      <c r="K6" s="154"/>
      <c r="L6" s="154"/>
      <c r="M6" s="154"/>
      <c r="N6" s="154"/>
      <c r="O6" s="154"/>
      <c r="P6" s="154"/>
      <c r="Q6" s="154"/>
      <c r="R6" s="154"/>
      <c r="S6" s="154"/>
      <c r="T6" s="154"/>
      <c r="U6" s="154"/>
      <c r="V6" s="154"/>
      <c r="W6" s="154"/>
      <c r="X6" s="154"/>
      <c r="Y6" s="154"/>
      <c r="Z6" s="154"/>
      <c r="AA6" s="154"/>
      <c r="AB6" s="777"/>
      <c r="AC6" s="777"/>
      <c r="AD6" s="777"/>
      <c r="AE6" s="777"/>
      <c r="AF6" s="777"/>
      <c r="AG6" s="777"/>
      <c r="AH6" s="777"/>
      <c r="AI6" s="777"/>
      <c r="AJ6" s="777"/>
      <c r="AK6" s="777"/>
      <c r="AL6" s="154"/>
      <c r="AM6" s="154"/>
      <c r="AN6" s="154"/>
      <c r="AO6" s="154"/>
      <c r="AP6" s="154"/>
      <c r="AQ6" s="154"/>
      <c r="AR6" s="154"/>
      <c r="AS6" s="154"/>
      <c r="AT6" s="160"/>
      <c r="AU6" s="153"/>
      <c r="AV6" s="161"/>
      <c r="AW6" s="162"/>
      <c r="AX6" s="158"/>
      <c r="AY6" s="158"/>
      <c r="AZ6" s="158"/>
      <c r="BA6" s="158"/>
    </row>
    <row r="7" spans="2:69" s="152" customFormat="1" ht="16.899999999999999" customHeight="1" x14ac:dyDescent="0.2">
      <c r="B7" s="159"/>
      <c r="C7" s="146">
        <f>'R-Entrada'!E45</f>
        <v>0</v>
      </c>
      <c r="D7" s="154"/>
      <c r="E7" s="2744" t="s">
        <v>58</v>
      </c>
      <c r="F7" s="2745"/>
      <c r="G7" s="2745"/>
      <c r="H7" s="2746"/>
      <c r="I7" s="154"/>
      <c r="J7" s="154"/>
      <c r="K7" s="154"/>
      <c r="L7" s="154"/>
      <c r="M7" s="154"/>
      <c r="N7" s="154"/>
      <c r="O7" s="154"/>
      <c r="P7" s="154"/>
      <c r="Q7" s="154"/>
      <c r="R7" s="154"/>
      <c r="S7" s="154"/>
      <c r="T7" s="154"/>
      <c r="U7" s="154"/>
      <c r="V7" s="154"/>
      <c r="W7" s="154"/>
      <c r="X7" s="154"/>
      <c r="Y7" s="154"/>
      <c r="Z7" s="154"/>
      <c r="AA7" s="154"/>
      <c r="AB7" s="2765" t="str">
        <f>Apresentação!I2</f>
        <v>RC-RSU V.1.0 - 15/10/2020</v>
      </c>
      <c r="AC7" s="2766"/>
      <c r="AD7" s="2766"/>
      <c r="AE7" s="2766"/>
      <c r="AF7" s="2766"/>
      <c r="AG7" s="2766"/>
      <c r="AH7" s="2766"/>
      <c r="AI7" s="2766"/>
      <c r="AJ7" s="2766"/>
      <c r="AK7" s="2766"/>
      <c r="AL7" s="154"/>
      <c r="AM7" s="154"/>
      <c r="AN7" s="154"/>
      <c r="AO7" s="154"/>
      <c r="AP7" s="154"/>
      <c r="AQ7" s="154"/>
      <c r="AR7" s="154"/>
      <c r="AS7" s="154"/>
      <c r="AT7" s="160"/>
      <c r="AU7" s="153"/>
      <c r="AV7" s="161"/>
      <c r="AW7" s="162"/>
      <c r="AX7" s="158"/>
      <c r="AY7" s="158"/>
      <c r="AZ7" s="158"/>
      <c r="BA7" s="158"/>
      <c r="BB7" s="158"/>
      <c r="BC7" s="158"/>
      <c r="BD7" s="158"/>
      <c r="BE7" s="158"/>
      <c r="BF7" s="158"/>
      <c r="BG7" s="158"/>
      <c r="BH7" s="158"/>
      <c r="BI7" s="158"/>
      <c r="BJ7" s="158"/>
      <c r="BK7" s="158"/>
      <c r="BL7" s="158"/>
      <c r="BM7" s="158"/>
      <c r="BN7" s="158"/>
      <c r="BO7" s="158"/>
      <c r="BP7" s="158"/>
      <c r="BQ7" s="158"/>
    </row>
    <row r="8" spans="2:69" s="152" customFormat="1" ht="1.1499999999999999" customHeight="1" x14ac:dyDescent="0.25">
      <c r="B8" s="159"/>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60"/>
      <c r="AU8" s="153"/>
      <c r="AV8" s="158"/>
      <c r="AW8" s="158"/>
      <c r="AX8" s="158"/>
      <c r="AY8" s="158"/>
      <c r="AZ8" s="158"/>
      <c r="BA8" s="158"/>
      <c r="BB8" s="158"/>
      <c r="BC8" s="158"/>
      <c r="BD8" s="158"/>
      <c r="BE8" s="158"/>
      <c r="BF8" s="158"/>
      <c r="BG8" s="158"/>
      <c r="BH8" s="158"/>
      <c r="BI8" s="158"/>
      <c r="BJ8" s="158"/>
      <c r="BK8" s="158"/>
      <c r="BL8" s="158"/>
      <c r="BM8" s="158"/>
      <c r="BN8" s="158"/>
      <c r="BO8" s="158"/>
      <c r="BP8" s="158"/>
      <c r="BQ8" s="158"/>
    </row>
    <row r="9" spans="2:69" s="152" customFormat="1" ht="16.899999999999999" customHeight="1" x14ac:dyDescent="0.25">
      <c r="B9" s="159"/>
      <c r="C9" s="146">
        <f>'R-Entrada'!E46</f>
        <v>467.94871794871796</v>
      </c>
      <c r="D9" s="154"/>
      <c r="E9" s="2744" t="s">
        <v>201</v>
      </c>
      <c r="F9" s="2745"/>
      <c r="G9" s="2745"/>
      <c r="H9" s="2746"/>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47"/>
      <c r="AO9" s="147"/>
      <c r="AP9" s="147"/>
      <c r="AQ9" s="147"/>
      <c r="AR9" s="147"/>
      <c r="AS9" s="147"/>
      <c r="AT9" s="160"/>
      <c r="AU9" s="153"/>
      <c r="AV9" s="158"/>
      <c r="AW9" s="158"/>
      <c r="AX9" s="158"/>
      <c r="AY9" s="158"/>
      <c r="AZ9" s="158"/>
      <c r="BA9" s="158"/>
      <c r="BB9" s="158"/>
      <c r="BC9" s="158"/>
      <c r="BD9" s="158"/>
      <c r="BE9" s="158"/>
      <c r="BF9" s="158"/>
      <c r="BG9" s="158"/>
      <c r="BH9" s="158"/>
      <c r="BI9" s="158"/>
      <c r="BJ9" s="158"/>
      <c r="BK9" s="158"/>
      <c r="BL9" s="158"/>
      <c r="BM9" s="158"/>
      <c r="BN9" s="158"/>
      <c r="BO9" s="158"/>
      <c r="BP9" s="158"/>
      <c r="BQ9" s="158"/>
    </row>
    <row r="10" spans="2:69" s="152" customFormat="1" ht="1.9" customHeight="1" x14ac:dyDescent="0.25">
      <c r="B10" s="159"/>
      <c r="C10" s="154"/>
      <c r="D10" s="154"/>
      <c r="E10" s="154"/>
      <c r="F10" s="154"/>
      <c r="G10" s="154"/>
      <c r="H10" s="154"/>
      <c r="I10" s="154"/>
      <c r="J10" s="154"/>
      <c r="K10" s="154"/>
      <c r="L10" s="154"/>
      <c r="M10" s="154"/>
      <c r="N10" s="154"/>
      <c r="O10" s="154"/>
      <c r="P10" s="154"/>
      <c r="Q10" s="154"/>
      <c r="R10" s="154"/>
      <c r="S10" s="154"/>
      <c r="T10" s="154"/>
      <c r="U10" s="154"/>
      <c r="V10" s="154"/>
      <c r="W10" s="154"/>
      <c r="X10" s="154"/>
      <c r="Y10" s="154"/>
      <c r="Z10" s="154"/>
      <c r="AA10" s="154"/>
      <c r="AB10" s="154"/>
      <c r="AC10" s="154"/>
      <c r="AD10" s="154"/>
      <c r="AE10" s="154"/>
      <c r="AF10" s="154"/>
      <c r="AG10" s="154"/>
      <c r="AH10" s="154"/>
      <c r="AI10" s="154"/>
      <c r="AJ10" s="154"/>
      <c r="AK10" s="154"/>
      <c r="AL10" s="154"/>
      <c r="AM10" s="154"/>
      <c r="AN10" s="147"/>
      <c r="AO10" s="147"/>
      <c r="AP10" s="147"/>
      <c r="AQ10" s="147"/>
      <c r="AR10" s="147"/>
      <c r="AS10" s="147"/>
      <c r="AT10" s="160"/>
      <c r="AU10" s="153"/>
      <c r="AV10" s="158"/>
      <c r="AW10" s="158"/>
      <c r="AX10" s="158"/>
      <c r="AY10" s="158"/>
      <c r="AZ10" s="158"/>
      <c r="BA10" s="158"/>
      <c r="BB10" s="158"/>
      <c r="BC10" s="158"/>
      <c r="BD10" s="158"/>
      <c r="BE10" s="158"/>
      <c r="BF10" s="158"/>
      <c r="BG10" s="158"/>
      <c r="BH10" s="158"/>
      <c r="BI10" s="158"/>
      <c r="BJ10" s="158"/>
      <c r="BK10" s="158"/>
      <c r="BL10" s="158"/>
      <c r="BM10" s="158"/>
      <c r="BN10" s="158"/>
      <c r="BO10" s="158"/>
      <c r="BP10" s="158"/>
      <c r="BQ10" s="158"/>
    </row>
    <row r="11" spans="2:69" s="152" customFormat="1" ht="16.899999999999999" customHeight="1" x14ac:dyDescent="0.25">
      <c r="B11" s="159"/>
      <c r="C11" s="146">
        <f>'R-Entrada'!E47</f>
        <v>467.94871794871796</v>
      </c>
      <c r="D11" s="154"/>
      <c r="E11" s="2756" t="s">
        <v>745</v>
      </c>
      <c r="F11" s="2757"/>
      <c r="G11" s="2757"/>
      <c r="H11" s="2757"/>
      <c r="I11" s="154"/>
      <c r="J11" s="154"/>
      <c r="K11" s="154"/>
      <c r="L11" s="154"/>
      <c r="M11" s="154"/>
      <c r="N11" s="154"/>
      <c r="O11" s="154"/>
      <c r="P11" s="154"/>
      <c r="Q11" s="154"/>
      <c r="R11" s="154"/>
      <c r="S11" s="154"/>
      <c r="T11" s="154"/>
      <c r="U11" s="154"/>
      <c r="V11" s="154"/>
      <c r="W11" s="154"/>
      <c r="X11" s="154"/>
      <c r="Y11" s="154"/>
      <c r="Z11" s="154"/>
      <c r="AA11" s="154"/>
      <c r="AB11" s="154"/>
      <c r="AC11" s="154"/>
      <c r="AD11" s="154"/>
      <c r="AE11" s="154"/>
      <c r="AF11" s="154"/>
      <c r="AG11" s="154"/>
      <c r="AH11" s="154"/>
      <c r="AI11" s="154"/>
      <c r="AJ11" s="154"/>
      <c r="AK11" s="154"/>
      <c r="AL11" s="154"/>
      <c r="AM11" s="154"/>
      <c r="AN11" s="147"/>
      <c r="AO11" s="2749" t="s">
        <v>202</v>
      </c>
      <c r="AP11" s="147"/>
      <c r="AQ11" s="2749" t="s">
        <v>203</v>
      </c>
      <c r="AR11" s="147"/>
      <c r="AS11" s="2749" t="s">
        <v>64</v>
      </c>
      <c r="AT11" s="160"/>
      <c r="AU11" s="153"/>
      <c r="AV11" s="161"/>
      <c r="AW11" s="162"/>
      <c r="AX11" s="161"/>
      <c r="AY11" s="162"/>
      <c r="AZ11" s="158"/>
      <c r="BA11" s="158"/>
      <c r="BB11" s="158"/>
      <c r="BC11" s="158"/>
      <c r="BD11" s="158"/>
      <c r="BE11" s="158"/>
      <c r="BF11" s="158"/>
      <c r="BG11" s="158"/>
      <c r="BH11" s="158"/>
      <c r="BI11" s="158"/>
      <c r="BJ11" s="158"/>
      <c r="BK11" s="158"/>
      <c r="BL11" s="158"/>
      <c r="BM11" s="158"/>
      <c r="BN11" s="158"/>
      <c r="BO11" s="158"/>
      <c r="BP11" s="158"/>
      <c r="BQ11" s="158"/>
    </row>
    <row r="12" spans="2:69" s="152" customFormat="1" ht="4.1500000000000004" customHeight="1" x14ac:dyDescent="0.25">
      <c r="B12" s="159"/>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4"/>
      <c r="AC12" s="154"/>
      <c r="AD12" s="154"/>
      <c r="AE12" s="154"/>
      <c r="AF12" s="154"/>
      <c r="AG12" s="154"/>
      <c r="AH12" s="154"/>
      <c r="AI12" s="154"/>
      <c r="AJ12" s="154"/>
      <c r="AK12" s="154"/>
      <c r="AL12" s="154"/>
      <c r="AM12" s="154"/>
      <c r="AN12" s="147"/>
      <c r="AO12" s="2752"/>
      <c r="AP12" s="147"/>
      <c r="AQ12" s="2750"/>
      <c r="AR12" s="147"/>
      <c r="AS12" s="2750"/>
      <c r="AT12" s="160"/>
      <c r="AU12" s="153"/>
      <c r="AV12" s="161"/>
      <c r="AW12" s="162"/>
      <c r="AX12" s="161"/>
      <c r="AY12" s="162"/>
      <c r="AZ12" s="158"/>
      <c r="BA12" s="158"/>
      <c r="BB12" s="158"/>
      <c r="BC12" s="158"/>
      <c r="BD12" s="158"/>
      <c r="BE12" s="158"/>
      <c r="BF12" s="158"/>
      <c r="BG12" s="158"/>
      <c r="BH12" s="158"/>
      <c r="BI12" s="158"/>
      <c r="BJ12" s="158"/>
      <c r="BK12" s="158"/>
      <c r="BL12" s="158"/>
      <c r="BM12" s="158"/>
      <c r="BN12" s="158"/>
      <c r="BO12" s="158"/>
      <c r="BP12" s="158"/>
      <c r="BQ12" s="158"/>
    </row>
    <row r="13" spans="2:69" s="152" customFormat="1" ht="6.4" customHeight="1" x14ac:dyDescent="0.25">
      <c r="B13" s="159"/>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c r="AK13" s="154"/>
      <c r="AL13" s="154"/>
      <c r="AM13" s="154"/>
      <c r="AN13" s="147"/>
      <c r="AO13" s="2753"/>
      <c r="AP13" s="147"/>
      <c r="AQ13" s="2751"/>
      <c r="AR13" s="147"/>
      <c r="AS13" s="2751"/>
      <c r="AT13" s="160"/>
      <c r="AU13" s="163"/>
      <c r="AV13" s="158"/>
      <c r="AW13" s="158"/>
      <c r="AX13" s="158"/>
      <c r="AY13" s="158"/>
      <c r="AZ13" s="158"/>
      <c r="BA13" s="158"/>
      <c r="BB13" s="158"/>
      <c r="BC13" s="158"/>
      <c r="BD13" s="158"/>
      <c r="BE13" s="158"/>
      <c r="BF13" s="158"/>
      <c r="BG13" s="158"/>
      <c r="BH13" s="158"/>
      <c r="BI13" s="158"/>
      <c r="BJ13" s="158"/>
      <c r="BK13" s="158"/>
      <c r="BL13" s="158"/>
      <c r="BM13" s="158"/>
      <c r="BN13" s="158"/>
      <c r="BO13" s="158"/>
      <c r="BP13" s="158"/>
      <c r="BQ13" s="158"/>
    </row>
    <row r="14" spans="2:69" s="152" customFormat="1" ht="7.15" customHeight="1" x14ac:dyDescent="0.25">
      <c r="B14" s="159"/>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4"/>
      <c r="AC14" s="154"/>
      <c r="AD14" s="154"/>
      <c r="AE14" s="154"/>
      <c r="AF14" s="154"/>
      <c r="AG14" s="154"/>
      <c r="AH14" s="154"/>
      <c r="AI14" s="154"/>
      <c r="AJ14" s="154"/>
      <c r="AK14" s="154"/>
      <c r="AL14" s="154"/>
      <c r="AM14" s="154"/>
      <c r="AN14" s="147"/>
      <c r="AO14" s="147"/>
      <c r="AP14" s="147"/>
      <c r="AQ14" s="147"/>
      <c r="AR14" s="147"/>
      <c r="AS14" s="147"/>
      <c r="AT14" s="160"/>
      <c r="AU14" s="153"/>
      <c r="AV14" s="158"/>
      <c r="AW14" s="158"/>
      <c r="AX14" s="158"/>
      <c r="AY14" s="158"/>
      <c r="AZ14" s="158"/>
      <c r="BA14" s="158"/>
      <c r="BB14" s="158"/>
      <c r="BC14" s="158"/>
      <c r="BD14" s="158"/>
      <c r="BE14" s="158"/>
      <c r="BF14" s="158"/>
      <c r="BG14" s="158"/>
      <c r="BH14" s="158"/>
      <c r="BI14" s="158"/>
      <c r="BJ14" s="158"/>
      <c r="BK14" s="158"/>
      <c r="BL14" s="158"/>
      <c r="BM14" s="158"/>
      <c r="BN14" s="158"/>
      <c r="BO14" s="158"/>
      <c r="BP14" s="158"/>
      <c r="BQ14" s="158"/>
    </row>
    <row r="15" spans="2:69" s="152" customFormat="1" ht="16.899999999999999" customHeight="1" x14ac:dyDescent="0.25">
      <c r="B15" s="159"/>
      <c r="C15" s="148"/>
      <c r="D15" s="154"/>
      <c r="E15" s="154"/>
      <c r="F15" s="146">
        <f>'R-Resumo Bal. Massa'!D19</f>
        <v>0</v>
      </c>
      <c r="G15" s="154"/>
      <c r="H15" s="154"/>
      <c r="I15" s="2747" t="s">
        <v>742</v>
      </c>
      <c r="J15" s="2745"/>
      <c r="K15" s="2745"/>
      <c r="L15" s="2745"/>
      <c r="M15" s="2745"/>
      <c r="N15" s="2745"/>
      <c r="O15" s="2746"/>
      <c r="P15" s="154"/>
      <c r="Q15" s="154"/>
      <c r="R15" s="154"/>
      <c r="S15" s="154"/>
      <c r="T15" s="154"/>
      <c r="U15" s="154"/>
      <c r="V15" s="154"/>
      <c r="W15" s="154"/>
      <c r="X15" s="154"/>
      <c r="Y15" s="154"/>
      <c r="Z15" s="154"/>
      <c r="AA15" s="154"/>
      <c r="AB15" s="154"/>
      <c r="AC15" s="154"/>
      <c r="AD15" s="154"/>
      <c r="AE15" s="154"/>
      <c r="AF15" s="154"/>
      <c r="AG15" s="154"/>
      <c r="AH15" s="154"/>
      <c r="AI15" s="154"/>
      <c r="AJ15" s="154"/>
      <c r="AK15" s="154"/>
      <c r="AL15" s="154"/>
      <c r="AM15" s="154"/>
      <c r="AN15" s="147"/>
      <c r="AO15" s="146">
        <f>'R-Resumo Bal. Massa'!E64</f>
        <v>0</v>
      </c>
      <c r="AP15" s="147"/>
      <c r="AQ15" s="147"/>
      <c r="AR15" s="147"/>
      <c r="AS15" s="147"/>
      <c r="AT15" s="160"/>
      <c r="AU15" s="153"/>
      <c r="AV15" s="158"/>
      <c r="AW15" s="158"/>
      <c r="AX15" s="158"/>
      <c r="AY15" s="158"/>
      <c r="AZ15" s="158"/>
      <c r="BA15" s="158"/>
      <c r="BB15" s="158"/>
      <c r="BC15" s="158"/>
      <c r="BD15" s="158"/>
      <c r="BE15" s="158"/>
      <c r="BF15" s="158"/>
      <c r="BG15" s="158"/>
      <c r="BH15" s="158"/>
      <c r="BI15" s="158"/>
      <c r="BJ15" s="158"/>
      <c r="BK15" s="158"/>
      <c r="BL15" s="158"/>
      <c r="BM15" s="158"/>
      <c r="BN15" s="158"/>
      <c r="BO15" s="158"/>
      <c r="BP15" s="158"/>
      <c r="BQ15" s="158"/>
    </row>
    <row r="16" spans="2:69" s="152" customFormat="1" ht="4.9000000000000004" customHeight="1" x14ac:dyDescent="0.25">
      <c r="B16" s="159"/>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4"/>
      <c r="AC16" s="154"/>
      <c r="AD16" s="154"/>
      <c r="AE16" s="154"/>
      <c r="AF16" s="154"/>
      <c r="AG16" s="154"/>
      <c r="AH16" s="154"/>
      <c r="AI16" s="154"/>
      <c r="AJ16" s="154"/>
      <c r="AK16" s="154"/>
      <c r="AL16" s="154"/>
      <c r="AM16" s="154"/>
      <c r="AN16" s="147"/>
      <c r="AO16" s="147"/>
      <c r="AP16" s="147"/>
      <c r="AQ16" s="147"/>
      <c r="AR16" s="147"/>
      <c r="AS16" s="147"/>
      <c r="AT16" s="160"/>
      <c r="AU16" s="153"/>
      <c r="AV16" s="158"/>
      <c r="AW16" s="158"/>
      <c r="AX16" s="158"/>
      <c r="AY16" s="158"/>
      <c r="AZ16" s="158"/>
      <c r="BA16" s="158"/>
      <c r="BB16" s="158"/>
      <c r="BC16" s="158"/>
      <c r="BD16" s="158"/>
      <c r="BE16" s="158"/>
      <c r="BF16" s="158"/>
      <c r="BG16" s="158"/>
      <c r="BH16" s="158"/>
      <c r="BI16" s="158"/>
      <c r="BJ16" s="158"/>
      <c r="BK16" s="158"/>
      <c r="BL16" s="158"/>
      <c r="BM16" s="158"/>
      <c r="BN16" s="158"/>
      <c r="BO16" s="158"/>
      <c r="BP16" s="158"/>
      <c r="BQ16" s="158"/>
    </row>
    <row r="17" spans="2:69" s="152" customFormat="1" ht="16.899999999999999" customHeight="1" x14ac:dyDescent="0.25">
      <c r="B17" s="159"/>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4"/>
      <c r="AC17" s="154"/>
      <c r="AD17" s="154"/>
      <c r="AE17" s="154"/>
      <c r="AF17" s="154"/>
      <c r="AG17" s="154"/>
      <c r="AH17" s="154"/>
      <c r="AI17" s="154"/>
      <c r="AJ17" s="154"/>
      <c r="AK17" s="154"/>
      <c r="AL17" s="154"/>
      <c r="AM17" s="154"/>
      <c r="AN17" s="147"/>
      <c r="AO17" s="147"/>
      <c r="AP17" s="147"/>
      <c r="AQ17" s="147"/>
      <c r="AR17" s="147"/>
      <c r="AS17" s="146">
        <f>'R-Definição'!N99</f>
        <v>0</v>
      </c>
      <c r="AT17" s="160"/>
      <c r="AU17" s="164"/>
      <c r="AV17" s="165"/>
      <c r="AW17" s="166"/>
      <c r="AX17" s="165"/>
      <c r="AY17" s="158"/>
      <c r="AZ17" s="158"/>
      <c r="BA17" s="158"/>
      <c r="BB17" s="158"/>
      <c r="BC17" s="158"/>
      <c r="BD17" s="158"/>
      <c r="BE17" s="158"/>
      <c r="BF17" s="158"/>
      <c r="BG17" s="158"/>
      <c r="BH17" s="158"/>
      <c r="BI17" s="158"/>
      <c r="BJ17" s="158"/>
      <c r="BK17" s="158"/>
      <c r="BL17" s="158"/>
      <c r="BM17" s="158"/>
      <c r="BN17" s="158"/>
      <c r="BO17" s="158"/>
      <c r="BP17" s="158"/>
      <c r="BQ17" s="158"/>
    </row>
    <row r="18" spans="2:69" s="152" customFormat="1" ht="3" customHeight="1" x14ac:dyDescent="0.25">
      <c r="B18" s="159"/>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4"/>
      <c r="AC18" s="154"/>
      <c r="AD18" s="154"/>
      <c r="AE18" s="154"/>
      <c r="AF18" s="154"/>
      <c r="AG18" s="154"/>
      <c r="AH18" s="154"/>
      <c r="AI18" s="154"/>
      <c r="AJ18" s="154"/>
      <c r="AK18" s="154"/>
      <c r="AL18" s="154"/>
      <c r="AM18" s="154"/>
      <c r="AN18" s="147"/>
      <c r="AO18" s="147"/>
      <c r="AP18" s="147"/>
      <c r="AQ18" s="147"/>
      <c r="AR18" s="147"/>
      <c r="AS18" s="147"/>
      <c r="AT18" s="160"/>
      <c r="AU18" s="153"/>
      <c r="AV18" s="158"/>
      <c r="AW18" s="158"/>
      <c r="AX18" s="158"/>
      <c r="AY18" s="158"/>
      <c r="AZ18" s="158"/>
      <c r="BA18" s="158"/>
      <c r="BB18" s="158"/>
      <c r="BC18" s="158"/>
      <c r="BD18" s="158"/>
      <c r="BE18" s="158"/>
      <c r="BF18" s="158"/>
      <c r="BG18" s="158"/>
      <c r="BH18" s="158"/>
      <c r="BI18" s="158"/>
      <c r="BJ18" s="158"/>
      <c r="BK18" s="158"/>
      <c r="BL18" s="158"/>
      <c r="BM18" s="158"/>
      <c r="BN18" s="158"/>
      <c r="BO18" s="158"/>
      <c r="BP18" s="158"/>
      <c r="BQ18" s="158"/>
    </row>
    <row r="19" spans="2:69" s="152" customFormat="1" ht="16.899999999999999" customHeight="1" x14ac:dyDescent="0.25">
      <c r="B19" s="159"/>
      <c r="C19" s="148"/>
      <c r="D19" s="154"/>
      <c r="E19" s="154"/>
      <c r="F19" s="146">
        <f>'R-Resumo Bal. Massa'!D20</f>
        <v>0</v>
      </c>
      <c r="G19" s="154"/>
      <c r="H19" s="154"/>
      <c r="I19" s="154"/>
      <c r="J19" s="154"/>
      <c r="K19" s="154"/>
      <c r="L19" s="2747" t="s">
        <v>743</v>
      </c>
      <c r="M19" s="2745"/>
      <c r="N19" s="2745"/>
      <c r="O19" s="2745"/>
      <c r="P19" s="2745"/>
      <c r="Q19" s="2745"/>
      <c r="R19" s="2746"/>
      <c r="S19" s="154"/>
      <c r="T19" s="154"/>
      <c r="U19" s="154"/>
      <c r="V19" s="154"/>
      <c r="W19" s="154"/>
      <c r="X19" s="154"/>
      <c r="Y19" s="154"/>
      <c r="Z19" s="154"/>
      <c r="AA19" s="154"/>
      <c r="AB19" s="154"/>
      <c r="AC19" s="154"/>
      <c r="AD19" s="154"/>
      <c r="AE19" s="154"/>
      <c r="AF19" s="154"/>
      <c r="AG19" s="154"/>
      <c r="AH19" s="154"/>
      <c r="AI19" s="154"/>
      <c r="AJ19" s="154"/>
      <c r="AK19" s="154"/>
      <c r="AL19" s="154"/>
      <c r="AM19" s="154"/>
      <c r="AN19" s="147"/>
      <c r="AO19" s="146">
        <f>'R-Resumo Bal. Massa'!F64</f>
        <v>0</v>
      </c>
      <c r="AP19" s="147"/>
      <c r="AQ19" s="147"/>
      <c r="AR19" s="147"/>
      <c r="AS19" s="147"/>
      <c r="AT19" s="160"/>
      <c r="AU19" s="153"/>
      <c r="AV19" s="161"/>
      <c r="AW19" s="162"/>
      <c r="AX19" s="161"/>
      <c r="AY19" s="162"/>
      <c r="AZ19" s="158"/>
      <c r="BA19" s="158"/>
      <c r="BB19" s="158"/>
      <c r="BC19" s="158"/>
      <c r="BD19" s="158"/>
      <c r="BE19" s="158"/>
      <c r="BF19" s="158"/>
      <c r="BG19" s="158"/>
      <c r="BH19" s="158"/>
      <c r="BI19" s="158"/>
      <c r="BJ19" s="158"/>
      <c r="BK19" s="158"/>
      <c r="BL19" s="158"/>
      <c r="BM19" s="158"/>
      <c r="BN19" s="158"/>
      <c r="BO19" s="158"/>
      <c r="BP19" s="158"/>
      <c r="BQ19" s="158"/>
    </row>
    <row r="20" spans="2:69" s="152" customFormat="1" ht="4.1500000000000004" customHeight="1" x14ac:dyDescent="0.25">
      <c r="B20" s="159"/>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4"/>
      <c r="AC20" s="154"/>
      <c r="AD20" s="154"/>
      <c r="AE20" s="154"/>
      <c r="AF20" s="154"/>
      <c r="AG20" s="154"/>
      <c r="AH20" s="154"/>
      <c r="AI20" s="154"/>
      <c r="AJ20" s="154"/>
      <c r="AK20" s="154"/>
      <c r="AL20" s="154"/>
      <c r="AM20" s="154"/>
      <c r="AN20" s="147"/>
      <c r="AO20" s="147"/>
      <c r="AP20" s="147"/>
      <c r="AQ20" s="147"/>
      <c r="AR20" s="147"/>
      <c r="AS20" s="147"/>
      <c r="AT20" s="160"/>
      <c r="AU20" s="153"/>
      <c r="AV20" s="161"/>
      <c r="AW20" s="162"/>
      <c r="AX20" s="161"/>
      <c r="AY20" s="162"/>
      <c r="AZ20" s="158"/>
      <c r="BA20" s="158"/>
      <c r="BB20" s="158"/>
      <c r="BC20" s="158"/>
      <c r="BD20" s="158"/>
      <c r="BE20" s="158"/>
      <c r="BF20" s="158"/>
      <c r="BG20" s="158"/>
      <c r="BH20" s="158"/>
      <c r="BI20" s="158"/>
      <c r="BJ20" s="158"/>
      <c r="BK20" s="158"/>
      <c r="BL20" s="158"/>
      <c r="BM20" s="158"/>
      <c r="BN20" s="158"/>
      <c r="BO20" s="158"/>
      <c r="BP20" s="158"/>
      <c r="BQ20" s="158"/>
    </row>
    <row r="21" spans="2:69" s="152" customFormat="1" ht="16.899999999999999" customHeight="1" x14ac:dyDescent="0.25">
      <c r="B21" s="159"/>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4"/>
      <c r="AC21" s="154"/>
      <c r="AD21" s="154"/>
      <c r="AE21" s="154"/>
      <c r="AF21" s="154"/>
      <c r="AG21" s="154"/>
      <c r="AH21" s="154"/>
      <c r="AI21" s="154"/>
      <c r="AJ21" s="154"/>
      <c r="AK21" s="154"/>
      <c r="AL21" s="154"/>
      <c r="AM21" s="154"/>
      <c r="AN21" s="147"/>
      <c r="AO21" s="147"/>
      <c r="AP21" s="147"/>
      <c r="AQ21" s="147"/>
      <c r="AR21" s="147"/>
      <c r="AS21" s="146">
        <f>'R-Definição'!N98</f>
        <v>0</v>
      </c>
      <c r="AT21" s="160"/>
      <c r="AU21" s="164"/>
      <c r="AV21" s="161"/>
      <c r="AW21" s="162"/>
      <c r="AX21" s="161"/>
      <c r="AY21" s="162"/>
      <c r="AZ21" s="158"/>
      <c r="BA21" s="158"/>
      <c r="BB21" s="158"/>
      <c r="BC21" s="158"/>
      <c r="BD21" s="158"/>
      <c r="BE21" s="158"/>
      <c r="BF21" s="158"/>
      <c r="BG21" s="158"/>
      <c r="BH21" s="158"/>
      <c r="BI21" s="158"/>
      <c r="BJ21" s="158"/>
      <c r="BK21" s="158"/>
      <c r="BL21" s="158"/>
      <c r="BM21" s="158"/>
      <c r="BN21" s="158"/>
      <c r="BO21" s="158"/>
      <c r="BP21" s="158"/>
      <c r="BQ21" s="158"/>
    </row>
    <row r="22" spans="2:69" s="152" customFormat="1" ht="4.1500000000000004" customHeight="1" x14ac:dyDescent="0.25">
      <c r="B22" s="159"/>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4"/>
      <c r="AC22" s="154"/>
      <c r="AD22" s="154"/>
      <c r="AE22" s="154"/>
      <c r="AF22" s="154"/>
      <c r="AG22" s="154"/>
      <c r="AH22" s="154"/>
      <c r="AI22" s="154"/>
      <c r="AJ22" s="154"/>
      <c r="AK22" s="154"/>
      <c r="AL22" s="154"/>
      <c r="AM22" s="154"/>
      <c r="AN22" s="147"/>
      <c r="AO22" s="147"/>
      <c r="AP22" s="147"/>
      <c r="AQ22" s="147"/>
      <c r="AR22" s="147"/>
      <c r="AS22" s="147"/>
      <c r="AT22" s="160"/>
      <c r="AU22" s="153"/>
      <c r="AV22" s="161"/>
      <c r="AW22" s="162"/>
      <c r="AX22" s="161"/>
      <c r="AY22" s="162"/>
      <c r="AZ22" s="158"/>
      <c r="BA22" s="158"/>
      <c r="BB22" s="158"/>
      <c r="BC22" s="162"/>
      <c r="BD22" s="158"/>
      <c r="BE22" s="158"/>
      <c r="BF22" s="158"/>
      <c r="BG22" s="158"/>
      <c r="BH22" s="158"/>
      <c r="BI22" s="158"/>
      <c r="BJ22" s="158"/>
      <c r="BK22" s="158"/>
      <c r="BL22" s="158"/>
      <c r="BM22" s="158"/>
      <c r="BN22" s="158"/>
      <c r="BO22" s="158"/>
      <c r="BP22" s="158"/>
      <c r="BQ22" s="158"/>
    </row>
    <row r="23" spans="2:69" s="152" customFormat="1" ht="16.899999999999999" customHeight="1" x14ac:dyDescent="0.25">
      <c r="B23" s="159"/>
      <c r="C23" s="148"/>
      <c r="D23" s="154"/>
      <c r="E23" s="154"/>
      <c r="F23" s="146">
        <f>'R-Resumo Bal. Massa'!D21</f>
        <v>467.94871794871801</v>
      </c>
      <c r="G23" s="154"/>
      <c r="H23" s="154"/>
      <c r="I23" s="154"/>
      <c r="J23" s="154"/>
      <c r="K23" s="154"/>
      <c r="L23" s="154"/>
      <c r="M23" s="154"/>
      <c r="N23" s="154"/>
      <c r="O23" s="154"/>
      <c r="P23" s="154"/>
      <c r="Q23" s="2747" t="s">
        <v>746</v>
      </c>
      <c r="R23" s="2745"/>
      <c r="S23" s="2745"/>
      <c r="T23" s="2745"/>
      <c r="U23" s="2745"/>
      <c r="V23" s="2745"/>
      <c r="W23" s="2746"/>
      <c r="X23" s="154"/>
      <c r="Y23" s="154"/>
      <c r="Z23" s="154"/>
      <c r="AA23" s="154"/>
      <c r="AB23" s="154"/>
      <c r="AC23" s="154"/>
      <c r="AD23" s="154"/>
      <c r="AE23" s="154"/>
      <c r="AF23" s="154"/>
      <c r="AG23" s="154"/>
      <c r="AH23" s="154"/>
      <c r="AI23" s="154"/>
      <c r="AJ23" s="154"/>
      <c r="AK23" s="154"/>
      <c r="AL23" s="154"/>
      <c r="AM23" s="154"/>
      <c r="AN23" s="147"/>
      <c r="AO23" s="146">
        <f>'R-Resumo Bal. Massa'!G64</f>
        <v>37.318910256410263</v>
      </c>
      <c r="AP23" s="147"/>
      <c r="AQ23" s="147"/>
      <c r="AR23" s="147"/>
      <c r="AS23" s="147"/>
      <c r="AT23" s="160"/>
      <c r="AU23" s="153"/>
      <c r="AV23" s="158"/>
      <c r="AW23" s="158"/>
      <c r="AX23" s="158"/>
      <c r="AY23" s="158"/>
      <c r="AZ23" s="158"/>
      <c r="BA23" s="158"/>
      <c r="BB23" s="158"/>
      <c r="BC23" s="158"/>
      <c r="BD23" s="158"/>
      <c r="BE23" s="158"/>
      <c r="BF23" s="158"/>
      <c r="BG23" s="158"/>
      <c r="BH23" s="158"/>
      <c r="BI23" s="158"/>
      <c r="BJ23" s="158"/>
      <c r="BK23" s="158"/>
      <c r="BL23" s="158"/>
      <c r="BM23" s="158"/>
      <c r="BN23" s="158"/>
      <c r="BO23" s="158"/>
      <c r="BP23" s="158"/>
      <c r="BQ23" s="158"/>
    </row>
    <row r="24" spans="2:69" s="152" customFormat="1" ht="7.15" customHeight="1" x14ac:dyDescent="0.25">
      <c r="B24" s="159"/>
      <c r="C24" s="148"/>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4"/>
      <c r="AC24" s="154"/>
      <c r="AD24" s="154"/>
      <c r="AE24" s="154"/>
      <c r="AF24" s="154"/>
      <c r="AG24" s="154"/>
      <c r="AH24" s="154"/>
      <c r="AI24" s="154"/>
      <c r="AJ24" s="154"/>
      <c r="AK24" s="154"/>
      <c r="AL24" s="154"/>
      <c r="AM24" s="154"/>
      <c r="AN24" s="147"/>
      <c r="AO24" s="147"/>
      <c r="AP24" s="147"/>
      <c r="AQ24" s="147"/>
      <c r="AR24" s="147"/>
      <c r="AS24" s="147"/>
      <c r="AT24" s="160"/>
      <c r="AU24" s="153"/>
      <c r="AV24" s="158"/>
      <c r="AW24" s="158"/>
      <c r="AX24" s="158"/>
      <c r="AY24" s="158"/>
      <c r="AZ24" s="158"/>
      <c r="BA24" s="158"/>
      <c r="BB24" s="158"/>
      <c r="BC24" s="158"/>
      <c r="BD24" s="158"/>
      <c r="BE24" s="158"/>
      <c r="BF24" s="158"/>
      <c r="BG24" s="158"/>
      <c r="BH24" s="158"/>
      <c r="BI24" s="158"/>
      <c r="BJ24" s="158"/>
      <c r="BK24" s="158"/>
      <c r="BL24" s="158"/>
      <c r="BM24" s="158"/>
      <c r="BN24" s="158"/>
      <c r="BO24" s="158"/>
      <c r="BP24" s="158"/>
      <c r="BQ24" s="158"/>
    </row>
    <row r="25" spans="2:69" s="152" customFormat="1" ht="16.899999999999999" customHeight="1" x14ac:dyDescent="0.25">
      <c r="B25" s="159"/>
      <c r="C25" s="148"/>
      <c r="D25" s="154"/>
      <c r="E25" s="154"/>
      <c r="F25" s="154"/>
      <c r="G25" s="154"/>
      <c r="H25" s="154"/>
      <c r="I25" s="154"/>
      <c r="J25" s="2748">
        <f>F15+F19+F23-AO15-AO19-AO23-AS17-AS21-AS25-S25</f>
        <v>176.88461538461542</v>
      </c>
      <c r="K25" s="2742"/>
      <c r="L25" s="2742"/>
      <c r="M25" s="2743"/>
      <c r="N25" s="154"/>
      <c r="O25" s="154"/>
      <c r="P25" s="154"/>
      <c r="Q25" s="154"/>
      <c r="R25" s="154"/>
      <c r="S25" s="2741">
        <f>IF('R-Definição'!I29&lt;&gt;"Aterro sanitário",'R-Resumo Bal. Massa'!F22,0)</f>
        <v>204.44679487179491</v>
      </c>
      <c r="T25" s="2743"/>
      <c r="U25" s="154"/>
      <c r="V25" s="154"/>
      <c r="W25" s="154"/>
      <c r="X25" s="154"/>
      <c r="Y25" s="154"/>
      <c r="Z25" s="154"/>
      <c r="AA25" s="154"/>
      <c r="AB25" s="154"/>
      <c r="AC25" s="154"/>
      <c r="AD25" s="154"/>
      <c r="AE25" s="154"/>
      <c r="AF25" s="154"/>
      <c r="AG25" s="154"/>
      <c r="AH25" s="154"/>
      <c r="AI25" s="154"/>
      <c r="AJ25" s="154"/>
      <c r="AK25" s="154"/>
      <c r="AL25" s="154"/>
      <c r="AM25" s="154"/>
      <c r="AN25" s="147"/>
      <c r="AO25" s="147"/>
      <c r="AP25" s="147"/>
      <c r="AQ25" s="147"/>
      <c r="AR25" s="147"/>
      <c r="AS25" s="146">
        <f>'R-Definição'!N96+'R-Definição'!N97</f>
        <v>49.298397435897442</v>
      </c>
      <c r="AT25" s="160"/>
      <c r="AU25" s="164"/>
      <c r="AV25" s="166"/>
      <c r="AW25" s="166"/>
      <c r="AX25" s="158"/>
      <c r="AY25" s="158"/>
      <c r="AZ25" s="158"/>
      <c r="BA25" s="158"/>
      <c r="BB25" s="158"/>
      <c r="BC25" s="158"/>
      <c r="BD25" s="158"/>
      <c r="BE25" s="158"/>
      <c r="BF25" s="158"/>
      <c r="BG25" s="158"/>
      <c r="BH25" s="158"/>
      <c r="BI25" s="158"/>
      <c r="BJ25" s="158"/>
      <c r="BK25" s="158"/>
      <c r="BL25" s="158"/>
      <c r="BM25" s="158"/>
      <c r="BN25" s="158"/>
      <c r="BO25" s="158"/>
      <c r="BP25" s="158"/>
      <c r="BQ25" s="158"/>
    </row>
    <row r="26" spans="2:69" s="152" customFormat="1" ht="4.9000000000000004" customHeight="1" x14ac:dyDescent="0.25">
      <c r="B26" s="159"/>
      <c r="C26" s="148"/>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4"/>
      <c r="AC26" s="154"/>
      <c r="AD26" s="154"/>
      <c r="AE26" s="154"/>
      <c r="AF26" s="154"/>
      <c r="AG26" s="154"/>
      <c r="AH26" s="154"/>
      <c r="AI26" s="154"/>
      <c r="AJ26" s="154"/>
      <c r="AK26" s="154"/>
      <c r="AL26" s="154"/>
      <c r="AM26" s="154"/>
      <c r="AN26" s="147"/>
      <c r="AO26" s="147"/>
      <c r="AP26" s="147"/>
      <c r="AQ26" s="147"/>
      <c r="AR26" s="147"/>
      <c r="AS26" s="147"/>
      <c r="AT26" s="160"/>
      <c r="AU26" s="153"/>
      <c r="AV26" s="158"/>
      <c r="AW26" s="158"/>
      <c r="AX26" s="158"/>
      <c r="AY26" s="158"/>
      <c r="AZ26" s="158"/>
      <c r="BA26" s="158"/>
      <c r="BB26" s="158"/>
      <c r="BC26" s="158"/>
      <c r="BD26" s="158"/>
      <c r="BE26" s="158"/>
      <c r="BF26" s="158"/>
      <c r="BG26" s="158"/>
      <c r="BH26" s="158"/>
      <c r="BI26" s="158"/>
      <c r="BJ26" s="158"/>
      <c r="BK26" s="158"/>
      <c r="BL26" s="158"/>
      <c r="BM26" s="158"/>
      <c r="BN26" s="158"/>
      <c r="BO26" s="158"/>
      <c r="BP26" s="158"/>
      <c r="BQ26" s="158"/>
    </row>
    <row r="27" spans="2:69" s="152" customFormat="1" ht="16.899999999999999" customHeight="1" x14ac:dyDescent="0.25">
      <c r="B27" s="159"/>
      <c r="C27" s="154"/>
      <c r="D27" s="154"/>
      <c r="E27" s="154"/>
      <c r="F27" s="167"/>
      <c r="G27" s="154"/>
      <c r="H27" s="154"/>
      <c r="I27" s="154"/>
      <c r="J27" s="154"/>
      <c r="K27" s="154"/>
      <c r="L27" s="154"/>
      <c r="M27" s="154"/>
      <c r="N27" s="146">
        <f>'R-Resumo Bal. Massa'!D29-'R-Resumo Bal. Massa'!D28</f>
        <v>176.88461538461536</v>
      </c>
      <c r="O27" s="154"/>
      <c r="P27" s="154"/>
      <c r="Q27" s="154"/>
      <c r="R27" s="154"/>
      <c r="S27" s="154"/>
      <c r="T27" s="154"/>
      <c r="U27" s="154"/>
      <c r="V27" s="2741">
        <f>'R-Resumo Bal. Massa'!B25</f>
        <v>381.33141025641027</v>
      </c>
      <c r="W27" s="2743"/>
      <c r="X27" s="154"/>
      <c r="Y27" s="2770" t="s">
        <v>99</v>
      </c>
      <c r="Z27" s="2745"/>
      <c r="AA27" s="2745"/>
      <c r="AB27" s="2746"/>
      <c r="AC27" s="154"/>
      <c r="AD27" s="154"/>
      <c r="AE27" s="154"/>
      <c r="AF27" s="154"/>
      <c r="AG27" s="154"/>
      <c r="AH27" s="154"/>
      <c r="AI27" s="154"/>
      <c r="AJ27" s="154"/>
      <c r="AK27" s="154"/>
      <c r="AL27" s="154"/>
      <c r="AM27" s="154"/>
      <c r="AN27" s="147"/>
      <c r="AO27" s="146">
        <f>'R-Resumo Bal. Massa'!E29</f>
        <v>162.06584935897433</v>
      </c>
      <c r="AP27" s="147"/>
      <c r="AQ27" s="147"/>
      <c r="AR27" s="147"/>
      <c r="AS27" s="147"/>
      <c r="AT27" s="160"/>
      <c r="AU27" s="153"/>
      <c r="AW27" s="168"/>
    </row>
    <row r="28" spans="2:69" s="152" customFormat="1" ht="3" customHeight="1" x14ac:dyDescent="0.25">
      <c r="B28" s="159"/>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4"/>
      <c r="AC28" s="154"/>
      <c r="AD28" s="154"/>
      <c r="AE28" s="154"/>
      <c r="AF28" s="154"/>
      <c r="AG28" s="154"/>
      <c r="AH28" s="154"/>
      <c r="AI28" s="154"/>
      <c r="AJ28" s="154"/>
      <c r="AK28" s="154"/>
      <c r="AL28" s="154"/>
      <c r="AM28" s="154"/>
      <c r="AN28" s="147"/>
      <c r="AO28" s="147"/>
      <c r="AP28" s="147"/>
      <c r="AQ28" s="147"/>
      <c r="AR28" s="147"/>
      <c r="AS28" s="147"/>
      <c r="AT28" s="160"/>
      <c r="AU28" s="153"/>
    </row>
    <row r="29" spans="2:69" s="152" customFormat="1" ht="16.899999999999999" customHeight="1" x14ac:dyDescent="0.25">
      <c r="B29" s="159"/>
      <c r="C29" s="154"/>
      <c r="D29" s="154"/>
      <c r="E29" s="154"/>
      <c r="F29" s="147"/>
      <c r="G29" s="154"/>
      <c r="H29" s="154"/>
      <c r="I29" s="154"/>
      <c r="J29" s="154"/>
      <c r="K29" s="154"/>
      <c r="L29" s="154"/>
      <c r="M29" s="154"/>
      <c r="N29" s="154"/>
      <c r="O29" s="154"/>
      <c r="P29" s="154"/>
      <c r="Q29" s="154"/>
      <c r="R29" s="154"/>
      <c r="S29" s="2741">
        <f>'R-Definição'!E59</f>
        <v>0</v>
      </c>
      <c r="T29" s="2743"/>
      <c r="U29" s="154"/>
      <c r="V29" s="154"/>
      <c r="W29" s="154"/>
      <c r="X29" s="154"/>
      <c r="Y29" s="154"/>
      <c r="Z29" s="154"/>
      <c r="AA29" s="154"/>
      <c r="AB29" s="154"/>
      <c r="AC29" s="154"/>
      <c r="AD29" s="154"/>
      <c r="AE29" s="154"/>
      <c r="AF29" s="154"/>
      <c r="AG29" s="154"/>
      <c r="AH29" s="154"/>
      <c r="AI29" s="154"/>
      <c r="AJ29" s="154"/>
      <c r="AK29" s="154"/>
      <c r="AL29" s="154"/>
      <c r="AM29" s="154"/>
      <c r="AN29" s="147"/>
      <c r="AO29" s="147"/>
      <c r="AP29" s="147"/>
      <c r="AQ29" s="146">
        <f>'R-Resumo Bal. Massa'!H29</f>
        <v>104.86613782051283</v>
      </c>
      <c r="AR29" s="147"/>
      <c r="AS29" s="147"/>
      <c r="AT29" s="160"/>
      <c r="AU29" s="153"/>
    </row>
    <row r="30" spans="2:69" s="152" customFormat="1" ht="6" customHeight="1" x14ac:dyDescent="0.25">
      <c r="B30" s="159"/>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4"/>
      <c r="AC30" s="154"/>
      <c r="AD30" s="154"/>
      <c r="AE30" s="154"/>
      <c r="AF30" s="154"/>
      <c r="AG30" s="154"/>
      <c r="AH30" s="154"/>
      <c r="AI30" s="154"/>
      <c r="AJ30" s="154"/>
      <c r="AK30" s="154"/>
      <c r="AL30" s="154"/>
      <c r="AM30" s="154"/>
      <c r="AN30" s="147"/>
      <c r="AO30" s="147"/>
      <c r="AP30" s="147"/>
      <c r="AQ30" s="147"/>
      <c r="AR30" s="147"/>
      <c r="AS30" s="147"/>
      <c r="AT30" s="160"/>
      <c r="AU30" s="153"/>
    </row>
    <row r="31" spans="2:69" s="152" customFormat="1" ht="16.899999999999999" customHeight="1" x14ac:dyDescent="0.25">
      <c r="B31" s="159"/>
      <c r="C31" s="154"/>
      <c r="D31" s="154"/>
      <c r="E31" s="154"/>
      <c r="F31" s="154"/>
      <c r="G31" s="154"/>
      <c r="H31" s="154"/>
      <c r="I31" s="154"/>
      <c r="J31" s="2741">
        <f>SUM('R-Resumo Bal. Massa'!D40:D42)</f>
        <v>0</v>
      </c>
      <c r="K31" s="2742"/>
      <c r="L31" s="2742"/>
      <c r="M31" s="2743"/>
      <c r="N31" s="154"/>
      <c r="O31" s="154"/>
      <c r="P31" s="154"/>
      <c r="Q31" s="154"/>
      <c r="R31" s="154"/>
      <c r="S31" s="154"/>
      <c r="T31" s="154"/>
      <c r="U31" s="154"/>
      <c r="V31" s="154"/>
      <c r="W31" s="154"/>
      <c r="X31" s="154"/>
      <c r="Y31" s="154"/>
      <c r="Z31" s="154"/>
      <c r="AA31" s="154"/>
      <c r="AB31" s="154"/>
      <c r="AC31" s="154"/>
      <c r="AD31" s="154"/>
      <c r="AE31" s="154"/>
      <c r="AF31" s="154"/>
      <c r="AG31" s="154"/>
      <c r="AH31" s="154"/>
      <c r="AI31" s="154"/>
      <c r="AJ31" s="154"/>
      <c r="AK31" s="154"/>
      <c r="AL31" s="154"/>
      <c r="AM31" s="154"/>
      <c r="AN31" s="147"/>
      <c r="AO31" s="147"/>
      <c r="AP31" s="147"/>
      <c r="AQ31" s="147"/>
      <c r="AR31" s="147"/>
      <c r="AS31" s="146">
        <f>'R-Resumo Bal. Massa'!G29</f>
        <v>114.39942307692309</v>
      </c>
      <c r="AT31" s="160"/>
      <c r="AU31" s="153"/>
      <c r="AV31" s="168"/>
    </row>
    <row r="32" spans="2:69" s="152" customFormat="1" ht="4.1500000000000004" customHeight="1" x14ac:dyDescent="0.25">
      <c r="B32" s="159"/>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4"/>
      <c r="AC32" s="154"/>
      <c r="AD32" s="154"/>
      <c r="AE32" s="154"/>
      <c r="AF32" s="154"/>
      <c r="AG32" s="154"/>
      <c r="AH32" s="154"/>
      <c r="AI32" s="154"/>
      <c r="AJ32" s="154"/>
      <c r="AK32" s="154"/>
      <c r="AL32" s="154"/>
      <c r="AM32" s="154"/>
      <c r="AN32" s="147"/>
      <c r="AO32" s="147"/>
      <c r="AP32" s="147"/>
      <c r="AQ32" s="147"/>
      <c r="AR32" s="147"/>
      <c r="AS32" s="147"/>
      <c r="AT32" s="160"/>
      <c r="AU32" s="153"/>
      <c r="AV32" s="169"/>
      <c r="AW32" s="170"/>
      <c r="AX32" s="169"/>
      <c r="AY32" s="170"/>
      <c r="AZ32" s="169"/>
      <c r="BA32" s="170"/>
    </row>
    <row r="33" spans="2:53" s="152" customFormat="1" ht="16.899999999999999" customHeight="1" x14ac:dyDescent="0.25">
      <c r="B33" s="159"/>
      <c r="C33" s="154"/>
      <c r="D33" s="154"/>
      <c r="E33" s="154"/>
      <c r="F33" s="146">
        <f>'R-Resumo Bal. Massa'!D14</f>
        <v>0</v>
      </c>
      <c r="G33" s="154"/>
      <c r="H33" s="154"/>
      <c r="I33" s="154"/>
      <c r="J33" s="154"/>
      <c r="K33" s="154"/>
      <c r="L33" s="154"/>
      <c r="M33" s="154"/>
      <c r="N33" s="154"/>
      <c r="O33" s="154"/>
      <c r="P33" s="154"/>
      <c r="Q33" s="154"/>
      <c r="R33" s="154"/>
      <c r="S33" s="2741">
        <f>'R-Resumo Bal. Massa'!D36</f>
        <v>0</v>
      </c>
      <c r="T33" s="2743"/>
      <c r="U33" s="154"/>
      <c r="V33" s="154"/>
      <c r="W33" s="154"/>
      <c r="X33" s="154"/>
      <c r="Y33" s="2741">
        <f>'R-Definição'!E60*'R-Definição'!J59/100</f>
        <v>0</v>
      </c>
      <c r="Z33" s="2743"/>
      <c r="AA33" s="154"/>
      <c r="AB33" s="2773" t="s">
        <v>114</v>
      </c>
      <c r="AC33" s="2774"/>
      <c r="AD33" s="2774"/>
      <c r="AE33" s="2774"/>
      <c r="AF33" s="2775"/>
      <c r="AG33" s="154"/>
      <c r="AH33" s="154"/>
      <c r="AI33" s="154"/>
      <c r="AJ33" s="154"/>
      <c r="AK33" s="154"/>
      <c r="AL33" s="154"/>
      <c r="AM33" s="154"/>
      <c r="AN33" s="147"/>
      <c r="AO33" s="147"/>
      <c r="AP33" s="147"/>
      <c r="AQ33" s="146">
        <f>'R-Definição'!O62*'R-Definição'!F63</f>
        <v>0</v>
      </c>
      <c r="AR33" s="147"/>
      <c r="AS33" s="147"/>
      <c r="AT33" s="160"/>
      <c r="AU33" s="153"/>
      <c r="AV33" s="169"/>
      <c r="AW33" s="170"/>
      <c r="AX33" s="169"/>
      <c r="AY33" s="170"/>
    </row>
    <row r="34" spans="2:53" s="152" customFormat="1" ht="7.15" customHeight="1" x14ac:dyDescent="0.25">
      <c r="B34" s="159"/>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4"/>
      <c r="AC34" s="154"/>
      <c r="AD34" s="154"/>
      <c r="AE34" s="154"/>
      <c r="AF34" s="154"/>
      <c r="AG34" s="154"/>
      <c r="AH34" s="154"/>
      <c r="AI34" s="154"/>
      <c r="AJ34" s="154"/>
      <c r="AK34" s="154"/>
      <c r="AL34" s="154"/>
      <c r="AM34" s="154"/>
      <c r="AN34" s="147"/>
      <c r="AO34" s="147"/>
      <c r="AP34" s="147"/>
      <c r="AQ34" s="147"/>
      <c r="AR34" s="147"/>
      <c r="AS34" s="147"/>
      <c r="AT34" s="160"/>
      <c r="AU34" s="153"/>
      <c r="AV34" s="169"/>
      <c r="AW34" s="170"/>
      <c r="AX34" s="169"/>
      <c r="AY34" s="170"/>
    </row>
    <row r="35" spans="2:53" s="152" customFormat="1" ht="13.9" customHeight="1" x14ac:dyDescent="0.25">
      <c r="B35" s="159"/>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4"/>
      <c r="AC35" s="154"/>
      <c r="AD35" s="2741">
        <f>'R-Definição'!J68</f>
        <v>0</v>
      </c>
      <c r="AE35" s="2743"/>
      <c r="AF35" s="154"/>
      <c r="AG35" s="154"/>
      <c r="AH35" s="154"/>
      <c r="AI35" s="154"/>
      <c r="AJ35" s="154"/>
      <c r="AK35" s="154"/>
      <c r="AL35" s="154"/>
      <c r="AM35" s="154"/>
      <c r="AN35" s="147"/>
      <c r="AO35" s="147"/>
      <c r="AP35" s="147"/>
      <c r="AQ35" s="147"/>
      <c r="AR35" s="147"/>
      <c r="AS35" s="147"/>
      <c r="AT35" s="160"/>
      <c r="AU35" s="153"/>
      <c r="AV35" s="168"/>
      <c r="AW35" s="171"/>
    </row>
    <row r="36" spans="2:53" s="152" customFormat="1" ht="7.15" customHeight="1" x14ac:dyDescent="0.25">
      <c r="B36" s="159"/>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4"/>
      <c r="AC36" s="154"/>
      <c r="AD36" s="154"/>
      <c r="AE36" s="154"/>
      <c r="AF36" s="154"/>
      <c r="AG36" s="154"/>
      <c r="AH36" s="154"/>
      <c r="AI36" s="154"/>
      <c r="AJ36" s="154"/>
      <c r="AK36" s="154"/>
      <c r="AL36" s="154"/>
      <c r="AM36" s="154"/>
      <c r="AN36" s="147"/>
      <c r="AO36" s="147"/>
      <c r="AP36" s="147"/>
      <c r="AQ36" s="147"/>
      <c r="AR36" s="147"/>
      <c r="AS36" s="147"/>
      <c r="AT36" s="160"/>
      <c r="AU36" s="153"/>
    </row>
    <row r="37" spans="2:53" s="152" customFormat="1" ht="18" customHeight="1" x14ac:dyDescent="0.25">
      <c r="B37" s="159"/>
      <c r="C37" s="154"/>
      <c r="D37" s="154"/>
      <c r="E37" s="154"/>
      <c r="F37" s="154"/>
      <c r="G37" s="154"/>
      <c r="H37" s="154"/>
      <c r="I37" s="154"/>
      <c r="J37" s="154"/>
      <c r="K37" s="154"/>
      <c r="L37" s="154"/>
      <c r="M37" s="154"/>
      <c r="N37" s="154"/>
      <c r="O37" s="154"/>
      <c r="P37" s="172"/>
      <c r="Q37" s="154"/>
      <c r="R37" s="154"/>
      <c r="S37" s="2741">
        <f>'R-Resumo Bal. Massa'!D35</f>
        <v>0</v>
      </c>
      <c r="T37" s="2743"/>
      <c r="U37" s="154"/>
      <c r="V37" s="154"/>
      <c r="W37" s="154"/>
      <c r="X37" s="154"/>
      <c r="Y37" s="154"/>
      <c r="Z37" s="154"/>
      <c r="AA37" s="154"/>
      <c r="AB37" s="154"/>
      <c r="AC37" s="154"/>
      <c r="AD37" s="2770" t="s">
        <v>131</v>
      </c>
      <c r="AE37" s="2745"/>
      <c r="AF37" s="2745"/>
      <c r="AG37" s="2746"/>
      <c r="AH37" s="154"/>
      <c r="AI37" s="154"/>
      <c r="AJ37" s="154"/>
      <c r="AK37" s="154"/>
      <c r="AL37" s="154"/>
      <c r="AM37" s="154"/>
      <c r="AN37" s="147"/>
      <c r="AO37" s="146">
        <f>'R-Resumo Bal. Massa'!F36-'R-Resumo Bal. Massa'!F33</f>
        <v>0</v>
      </c>
      <c r="AP37" s="147"/>
      <c r="AQ37" s="147"/>
      <c r="AR37" s="147"/>
      <c r="AS37" s="147"/>
      <c r="AT37" s="160"/>
      <c r="AU37" s="153"/>
      <c r="AV37" s="169"/>
      <c r="AW37" s="170"/>
    </row>
    <row r="38" spans="2:53" s="152" customFormat="1" ht="7.15" customHeight="1" x14ac:dyDescent="0.25">
      <c r="B38" s="159"/>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4"/>
      <c r="AC38" s="154"/>
      <c r="AD38" s="154"/>
      <c r="AE38" s="154"/>
      <c r="AF38" s="154"/>
      <c r="AG38" s="154"/>
      <c r="AH38" s="154"/>
      <c r="AI38" s="154"/>
      <c r="AJ38" s="154"/>
      <c r="AK38" s="154"/>
      <c r="AL38" s="154"/>
      <c r="AM38" s="154"/>
      <c r="AN38" s="147"/>
      <c r="AO38" s="147"/>
      <c r="AP38" s="147"/>
      <c r="AQ38" s="147"/>
      <c r="AR38" s="147"/>
      <c r="AS38" s="147"/>
      <c r="AT38" s="160"/>
      <c r="AU38" s="153"/>
      <c r="AV38" s="169"/>
      <c r="AW38" s="170"/>
    </row>
    <row r="39" spans="2:53" s="152" customFormat="1" ht="16.899999999999999" customHeight="1" x14ac:dyDescent="0.25">
      <c r="B39" s="159"/>
      <c r="C39" s="154"/>
      <c r="D39" s="154"/>
      <c r="E39" s="154"/>
      <c r="F39" s="154"/>
      <c r="G39" s="154"/>
      <c r="H39" s="154"/>
      <c r="I39" s="154"/>
      <c r="J39" s="154"/>
      <c r="K39" s="154"/>
      <c r="L39" s="154"/>
      <c r="M39" s="154"/>
      <c r="N39" s="154"/>
      <c r="O39" s="154"/>
      <c r="P39" s="154"/>
      <c r="Q39" s="154"/>
      <c r="R39" s="154"/>
      <c r="S39" s="154"/>
      <c r="T39" s="154"/>
      <c r="U39" s="154"/>
      <c r="V39" s="154"/>
      <c r="W39" s="154"/>
      <c r="X39" s="154"/>
      <c r="Y39" s="148"/>
      <c r="Z39" s="154"/>
      <c r="AA39" s="154"/>
      <c r="AB39" s="154"/>
      <c r="AC39" s="154"/>
      <c r="AD39" s="154"/>
      <c r="AE39" s="154"/>
      <c r="AF39" s="154"/>
      <c r="AG39" s="154"/>
      <c r="AH39" s="154"/>
      <c r="AI39" s="154"/>
      <c r="AJ39" s="154"/>
      <c r="AK39" s="154"/>
      <c r="AL39" s="154"/>
      <c r="AM39" s="154"/>
      <c r="AN39" s="147"/>
      <c r="AO39" s="147"/>
      <c r="AP39" s="147"/>
      <c r="AQ39" s="146">
        <f>'R-Definição'!O63*'R-Definição'!F69+'R-Definição'!O64*'R-Definição'!F69</f>
        <v>0</v>
      </c>
      <c r="AR39" s="147"/>
      <c r="AS39" s="147"/>
      <c r="AT39" s="160"/>
      <c r="AU39" s="153"/>
      <c r="AV39" s="169"/>
      <c r="AW39" s="170"/>
    </row>
    <row r="40" spans="2:53" s="152" customFormat="1" ht="7.15" customHeight="1" x14ac:dyDescent="0.25">
      <c r="B40" s="159"/>
      <c r="C40" s="154"/>
      <c r="D40" s="154"/>
      <c r="E40" s="154"/>
      <c r="F40" s="154"/>
      <c r="G40" s="154"/>
      <c r="H40" s="154"/>
      <c r="I40" s="154"/>
      <c r="J40" s="154"/>
      <c r="K40" s="154"/>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54"/>
      <c r="AJ40" s="154"/>
      <c r="AK40" s="154"/>
      <c r="AL40" s="154"/>
      <c r="AM40" s="154"/>
      <c r="AN40" s="147"/>
      <c r="AO40" s="147"/>
      <c r="AP40" s="147"/>
      <c r="AQ40" s="147"/>
      <c r="AR40" s="147"/>
      <c r="AS40" s="147"/>
      <c r="AT40" s="160"/>
      <c r="AV40" s="169"/>
      <c r="AW40" s="170"/>
      <c r="AX40" s="169"/>
      <c r="AY40" s="170"/>
      <c r="AZ40" s="169"/>
      <c r="BA40" s="170"/>
    </row>
    <row r="41" spans="2:53" s="152" customFormat="1" ht="16.899999999999999" customHeight="1" x14ac:dyDescent="0.25">
      <c r="B41" s="159"/>
      <c r="C41" s="154"/>
      <c r="D41" s="154"/>
      <c r="E41" s="154"/>
      <c r="F41" s="154"/>
      <c r="G41" s="154"/>
      <c r="H41" s="154"/>
      <c r="I41" s="154"/>
      <c r="J41" s="154"/>
      <c r="K41" s="154"/>
      <c r="L41" s="154"/>
      <c r="M41" s="154"/>
      <c r="N41" s="154"/>
      <c r="O41" s="154"/>
      <c r="P41" s="154"/>
      <c r="Q41" s="154"/>
      <c r="R41" s="154"/>
      <c r="S41" s="154"/>
      <c r="T41" s="2741">
        <f>'R-Resumo Bal. Massa'!D43</f>
        <v>0</v>
      </c>
      <c r="U41" s="2743"/>
      <c r="V41" s="154"/>
      <c r="W41" s="154"/>
      <c r="X41" s="154"/>
      <c r="Y41" s="154"/>
      <c r="Z41" s="154"/>
      <c r="AA41" s="154"/>
      <c r="AB41" s="154"/>
      <c r="AC41" s="154"/>
      <c r="AD41" s="154"/>
      <c r="AE41" s="154"/>
      <c r="AF41" s="154"/>
      <c r="AG41" s="154"/>
      <c r="AH41" s="154"/>
      <c r="AI41" s="154"/>
      <c r="AJ41" s="154"/>
      <c r="AK41" s="154"/>
      <c r="AL41" s="154"/>
      <c r="AM41" s="154"/>
      <c r="AN41" s="147"/>
      <c r="AO41" s="147"/>
      <c r="AP41" s="147"/>
      <c r="AQ41" s="147"/>
      <c r="AR41" s="147"/>
      <c r="AS41" s="146">
        <f>'R-Resumo Bal. Massa'!G36</f>
        <v>0</v>
      </c>
      <c r="AT41" s="160"/>
      <c r="AV41" s="173"/>
      <c r="AW41" s="170"/>
      <c r="AX41" s="169"/>
      <c r="AY41" s="170"/>
      <c r="AZ41" s="169"/>
      <c r="BA41" s="170"/>
    </row>
    <row r="42" spans="2:53" s="152" customFormat="1" ht="4.1500000000000004" customHeight="1" x14ac:dyDescent="0.25">
      <c r="B42" s="159"/>
      <c r="C42" s="154"/>
      <c r="D42" s="154"/>
      <c r="E42" s="154"/>
      <c r="F42" s="154"/>
      <c r="G42" s="154"/>
      <c r="H42" s="154"/>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c r="AN42" s="147"/>
      <c r="AO42" s="147"/>
      <c r="AP42" s="147"/>
      <c r="AQ42" s="147"/>
      <c r="AR42" s="147"/>
      <c r="AS42" s="147"/>
      <c r="AT42" s="160"/>
      <c r="AV42" s="169"/>
      <c r="AW42" s="170"/>
      <c r="AX42" s="169"/>
      <c r="AY42" s="170"/>
      <c r="AZ42" s="169"/>
      <c r="BA42" s="170"/>
    </row>
    <row r="43" spans="2:53" s="152" customFormat="1" ht="16.899999999999999" customHeight="1" x14ac:dyDescent="0.25">
      <c r="B43" s="159"/>
      <c r="C43" s="154"/>
      <c r="D43" s="154"/>
      <c r="E43" s="154"/>
      <c r="F43" s="146">
        <f>'R-Resumo Bal. Massa'!D39</f>
        <v>0</v>
      </c>
      <c r="G43" s="154"/>
      <c r="H43" s="154"/>
      <c r="I43" s="154"/>
      <c r="J43" s="2741">
        <f>SUM('R-Resumo Bal. Massa'!D39:D42)</f>
        <v>0</v>
      </c>
      <c r="K43" s="2742"/>
      <c r="L43" s="2742"/>
      <c r="M43" s="2743"/>
      <c r="N43" s="154"/>
      <c r="O43" s="154"/>
      <c r="P43" s="154"/>
      <c r="Q43" s="154"/>
      <c r="R43" s="154"/>
      <c r="S43" s="154"/>
      <c r="T43" s="2741">
        <f>'R-Resumo Bal. Massa'!D44</f>
        <v>0</v>
      </c>
      <c r="U43" s="2743"/>
      <c r="V43" s="154"/>
      <c r="W43" s="154"/>
      <c r="X43" s="154"/>
      <c r="Y43" s="154"/>
      <c r="Z43" s="154"/>
      <c r="AA43" s="154"/>
      <c r="AB43" s="154"/>
      <c r="AC43" s="154"/>
      <c r="AD43" s="154"/>
      <c r="AE43" s="154"/>
      <c r="AF43" s="154"/>
      <c r="AG43" s="661"/>
      <c r="AH43" s="2770" t="s">
        <v>204</v>
      </c>
      <c r="AI43" s="2771"/>
      <c r="AJ43" s="2771"/>
      <c r="AK43" s="2772"/>
      <c r="AL43" s="154"/>
      <c r="AM43" s="154"/>
      <c r="AN43" s="147"/>
      <c r="AO43" s="146">
        <f>'R-Resumo Bal. Massa'!E44</f>
        <v>0</v>
      </c>
      <c r="AP43" s="147"/>
      <c r="AQ43" s="147"/>
      <c r="AR43" s="147"/>
      <c r="AS43" s="147"/>
      <c r="AT43" s="160"/>
      <c r="AV43" s="169"/>
      <c r="AW43" s="170"/>
      <c r="AX43" s="169"/>
      <c r="AY43" s="170"/>
    </row>
    <row r="44" spans="2:53" s="152" customFormat="1" ht="7.15" customHeight="1" x14ac:dyDescent="0.25">
      <c r="B44" s="159"/>
      <c r="C44" s="154"/>
      <c r="D44" s="154"/>
      <c r="E44" s="154"/>
      <c r="F44" s="154"/>
      <c r="G44" s="154"/>
      <c r="H44" s="154"/>
      <c r="I44" s="154"/>
      <c r="J44" s="154"/>
      <c r="K44" s="154"/>
      <c r="L44" s="154"/>
      <c r="M44" s="154"/>
      <c r="N44" s="154"/>
      <c r="O44" s="154"/>
      <c r="P44" s="154"/>
      <c r="Q44" s="154"/>
      <c r="R44" s="154"/>
      <c r="S44" s="154"/>
      <c r="T44" s="154"/>
      <c r="U44" s="154"/>
      <c r="V44" s="154"/>
      <c r="W44" s="154"/>
      <c r="X44" s="154"/>
      <c r="Y44" s="154"/>
      <c r="Z44" s="154"/>
      <c r="AA44" s="154"/>
      <c r="AB44" s="154"/>
      <c r="AC44" s="154"/>
      <c r="AD44" s="154"/>
      <c r="AE44" s="154"/>
      <c r="AF44" s="154"/>
      <c r="AG44" s="154"/>
      <c r="AH44" s="154"/>
      <c r="AI44" s="154"/>
      <c r="AJ44" s="154"/>
      <c r="AK44" s="154"/>
      <c r="AL44" s="154"/>
      <c r="AM44" s="154"/>
      <c r="AN44" s="147"/>
      <c r="AO44" s="147"/>
      <c r="AP44" s="147"/>
      <c r="AQ44" s="147"/>
      <c r="AR44" s="147"/>
      <c r="AS44" s="147"/>
      <c r="AT44" s="160"/>
    </row>
    <row r="45" spans="2:53" s="152" customFormat="1" ht="16.899999999999999" customHeight="1" x14ac:dyDescent="0.25">
      <c r="B45" s="159"/>
      <c r="C45" s="154"/>
      <c r="D45" s="154"/>
      <c r="E45" s="154"/>
      <c r="F45" s="154"/>
      <c r="G45" s="154"/>
      <c r="H45" s="154"/>
      <c r="I45" s="154"/>
      <c r="J45" s="154"/>
      <c r="K45" s="154"/>
      <c r="L45" s="154"/>
      <c r="M45" s="154"/>
      <c r="N45" s="154"/>
      <c r="O45" s="154"/>
      <c r="P45" s="154"/>
      <c r="Q45" s="154"/>
      <c r="R45" s="154"/>
      <c r="S45" s="154"/>
      <c r="T45" s="154"/>
      <c r="U45" s="154"/>
      <c r="V45" s="154"/>
      <c r="W45" s="154"/>
      <c r="X45" s="154"/>
      <c r="Y45" s="154"/>
      <c r="Z45" s="154"/>
      <c r="AA45" s="154"/>
      <c r="AB45" s="154"/>
      <c r="AC45" s="154"/>
      <c r="AD45" s="154"/>
      <c r="AE45" s="154"/>
      <c r="AF45" s="154"/>
      <c r="AG45" s="154"/>
      <c r="AH45" s="154"/>
      <c r="AI45" s="154"/>
      <c r="AJ45" s="154"/>
      <c r="AK45" s="154"/>
      <c r="AL45" s="154"/>
      <c r="AM45" s="154"/>
      <c r="AN45" s="147"/>
      <c r="AO45" s="147"/>
      <c r="AP45" s="147"/>
      <c r="AQ45" s="146">
        <f>'R-Resumo Bal. Massa'!H44</f>
        <v>0</v>
      </c>
      <c r="AR45" s="147"/>
      <c r="AS45" s="147"/>
      <c r="AT45" s="160"/>
    </row>
    <row r="46" spans="2:53" s="152" customFormat="1" ht="7.15" customHeight="1" x14ac:dyDescent="0.25">
      <c r="B46" s="159"/>
      <c r="C46" s="154"/>
      <c r="D46" s="154"/>
      <c r="E46" s="154"/>
      <c r="F46" s="154"/>
      <c r="G46" s="154"/>
      <c r="H46" s="15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54"/>
      <c r="AJ46" s="154"/>
      <c r="AK46" s="154"/>
      <c r="AL46" s="154"/>
      <c r="AM46" s="154"/>
      <c r="AN46" s="147"/>
      <c r="AO46" s="147"/>
      <c r="AP46" s="147"/>
      <c r="AQ46" s="147"/>
      <c r="AR46" s="147"/>
      <c r="AS46" s="147"/>
      <c r="AT46" s="160"/>
    </row>
    <row r="47" spans="2:53" s="152" customFormat="1" ht="16.899999999999999" customHeight="1" x14ac:dyDescent="0.25">
      <c r="B47" s="159"/>
      <c r="C47" s="154"/>
      <c r="D47" s="154"/>
      <c r="E47" s="154"/>
      <c r="F47" s="147"/>
      <c r="G47" s="154"/>
      <c r="H47" s="154"/>
      <c r="I47" s="154"/>
      <c r="J47" s="154"/>
      <c r="K47" s="154"/>
      <c r="L47" s="154"/>
      <c r="M47" s="154"/>
      <c r="N47" s="154"/>
      <c r="O47" s="154"/>
      <c r="P47" s="154"/>
      <c r="Q47" s="154"/>
      <c r="R47" s="154"/>
      <c r="S47" s="154"/>
      <c r="T47" s="154"/>
      <c r="U47" s="154"/>
      <c r="V47" s="154"/>
      <c r="W47" s="154"/>
      <c r="X47" s="154"/>
      <c r="Y47" s="154"/>
      <c r="Z47" s="154"/>
      <c r="AA47" s="154"/>
      <c r="AB47" s="154"/>
      <c r="AC47" s="154"/>
      <c r="AD47" s="154"/>
      <c r="AE47" s="154"/>
      <c r="AF47" s="154"/>
      <c r="AG47" s="154"/>
      <c r="AH47" s="154"/>
      <c r="AI47" s="154"/>
      <c r="AJ47" s="154"/>
      <c r="AK47" s="154"/>
      <c r="AL47" s="154"/>
      <c r="AM47" s="154"/>
      <c r="AN47" s="147"/>
      <c r="AO47" s="147"/>
      <c r="AP47" s="147"/>
      <c r="AQ47" s="147"/>
      <c r="AR47" s="147"/>
      <c r="AS47" s="146">
        <f>'R-Resumo Bal. Massa'!G44</f>
        <v>0</v>
      </c>
      <c r="AT47" s="160"/>
    </row>
    <row r="48" spans="2:53" s="152" customFormat="1" ht="9.75" customHeight="1" x14ac:dyDescent="0.25">
      <c r="B48" s="159"/>
      <c r="C48" s="154"/>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154"/>
      <c r="AB48" s="154"/>
      <c r="AC48" s="154"/>
      <c r="AD48" s="154"/>
      <c r="AE48" s="154"/>
      <c r="AF48" s="154"/>
      <c r="AG48" s="154"/>
      <c r="AH48" s="154"/>
      <c r="AI48" s="154"/>
      <c r="AJ48" s="154"/>
      <c r="AK48" s="154"/>
      <c r="AL48" s="154"/>
      <c r="AM48" s="154"/>
      <c r="AN48" s="147"/>
      <c r="AO48" s="147"/>
      <c r="AP48" s="147"/>
      <c r="AQ48" s="147"/>
      <c r="AR48" s="147"/>
      <c r="AS48" s="147"/>
      <c r="AT48" s="160"/>
    </row>
    <row r="49" spans="2:49" s="152" customFormat="1" ht="15" customHeight="1" x14ac:dyDescent="0.25">
      <c r="B49" s="159"/>
      <c r="C49" s="154"/>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154"/>
      <c r="AB49" s="154"/>
      <c r="AC49" s="154"/>
      <c r="AD49" s="154"/>
      <c r="AE49" s="154"/>
      <c r="AF49" s="154"/>
      <c r="AG49" s="154"/>
      <c r="AH49" s="154"/>
      <c r="AI49" s="154"/>
      <c r="AJ49" s="154"/>
      <c r="AK49" s="154"/>
      <c r="AL49" s="154"/>
      <c r="AM49" s="154"/>
      <c r="AN49" s="147"/>
      <c r="AO49" s="147"/>
      <c r="AP49" s="147"/>
      <c r="AQ49" s="147"/>
      <c r="AR49" s="147"/>
      <c r="AS49" s="149">
        <f>IF('R-Definição'!I24="Sim",'R-Definição'!N15-'R-Definição'!I27-'R-Definição'!E107,'R-Definição'!N15-'R-Definição'!E107)</f>
        <v>0</v>
      </c>
      <c r="AT49" s="160"/>
      <c r="AU49" s="168"/>
      <c r="AW49" s="171"/>
    </row>
    <row r="50" spans="2:49" s="152" customFormat="1" ht="10.5" customHeight="1" x14ac:dyDescent="0.25">
      <c r="B50" s="159"/>
      <c r="C50" s="154"/>
      <c r="D50" s="154"/>
      <c r="E50" s="154"/>
      <c r="F50" s="147"/>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60"/>
    </row>
    <row r="51" spans="2:49" s="152" customFormat="1" ht="16.899999999999999" customHeight="1" x14ac:dyDescent="0.25">
      <c r="B51" s="159"/>
      <c r="C51" s="154"/>
      <c r="D51" s="154"/>
      <c r="E51" s="154"/>
      <c r="F51" s="203"/>
      <c r="G51" s="203"/>
      <c r="H51" s="204" t="s">
        <v>205</v>
      </c>
      <c r="I51" s="2739">
        <f>'R-Definição'!E126</f>
        <v>110.40501282051285</v>
      </c>
      <c r="J51" s="2740"/>
      <c r="K51" s="203" t="s">
        <v>206</v>
      </c>
      <c r="L51" s="203"/>
      <c r="M51" s="203"/>
      <c r="N51" s="154"/>
      <c r="O51" s="154"/>
      <c r="P51" s="154"/>
      <c r="Q51" s="154"/>
      <c r="R51" s="154"/>
      <c r="S51" s="154"/>
      <c r="T51" s="154"/>
      <c r="U51" s="154"/>
      <c r="V51" s="154"/>
      <c r="W51" s="154"/>
      <c r="X51" s="154"/>
      <c r="Y51" s="154"/>
      <c r="Z51" s="154"/>
      <c r="AA51" s="154"/>
      <c r="AB51" s="154"/>
      <c r="AC51" s="154"/>
      <c r="AD51" s="154"/>
      <c r="AE51" s="154"/>
      <c r="AF51" s="174"/>
      <c r="AG51" s="174"/>
      <c r="AH51" s="174"/>
      <c r="AI51" s="174"/>
      <c r="AJ51" s="174"/>
      <c r="AK51" s="174"/>
      <c r="AL51" s="174"/>
      <c r="AM51" s="175" t="s">
        <v>207</v>
      </c>
      <c r="AN51" s="154"/>
      <c r="AO51" s="840">
        <f>AO15+AO19+AO23+AO27+AO33+AO37+AO43</f>
        <v>199.38475961538461</v>
      </c>
      <c r="AP51" s="150"/>
      <c r="AQ51" s="840">
        <f>AQ29+AQ33+AQ39+AQ45</f>
        <v>104.86613782051283</v>
      </c>
      <c r="AR51" s="150"/>
      <c r="AS51" s="840">
        <f>'R-Resumo Bal. Massa'!D53</f>
        <v>163.69782051282053</v>
      </c>
      <c r="AT51" s="160"/>
      <c r="AU51" s="168"/>
      <c r="AV51" s="168"/>
    </row>
    <row r="52" spans="2:49" s="152" customFormat="1" ht="4.1500000000000004" customHeight="1" x14ac:dyDescent="0.25">
      <c r="B52" s="159"/>
      <c r="C52" s="154"/>
      <c r="D52" s="154"/>
      <c r="E52" s="154"/>
      <c r="F52" s="154"/>
      <c r="G52" s="154"/>
      <c r="H52" s="154"/>
      <c r="I52" s="176"/>
      <c r="J52" s="176"/>
      <c r="K52" s="154"/>
      <c r="L52" s="154"/>
      <c r="M52" s="154"/>
      <c r="N52" s="154"/>
      <c r="O52" s="154"/>
      <c r="P52" s="154"/>
      <c r="Q52" s="154"/>
      <c r="R52" s="154"/>
      <c r="S52" s="154"/>
      <c r="T52" s="154"/>
      <c r="U52" s="154"/>
      <c r="V52" s="154"/>
      <c r="W52" s="154"/>
      <c r="X52" s="154"/>
      <c r="Y52" s="154"/>
      <c r="Z52" s="154"/>
      <c r="AA52" s="154"/>
      <c r="AB52" s="154"/>
      <c r="AC52" s="154"/>
      <c r="AD52" s="154"/>
      <c r="AE52" s="154"/>
      <c r="AF52" s="174"/>
      <c r="AG52" s="174"/>
      <c r="AH52" s="174"/>
      <c r="AI52" s="174"/>
      <c r="AJ52" s="174"/>
      <c r="AK52" s="174"/>
      <c r="AL52" s="174"/>
      <c r="AM52" s="174"/>
      <c r="AN52" s="154"/>
      <c r="AO52" s="154"/>
      <c r="AP52" s="154"/>
      <c r="AQ52" s="154"/>
      <c r="AR52" s="154"/>
      <c r="AS52" s="154"/>
      <c r="AT52" s="160"/>
    </row>
    <row r="53" spans="2:49" s="152" customFormat="1" ht="16.899999999999999" customHeight="1" x14ac:dyDescent="0.25">
      <c r="B53" s="159"/>
      <c r="C53" s="154"/>
      <c r="D53" s="203"/>
      <c r="E53" s="203"/>
      <c r="F53" s="203"/>
      <c r="G53" s="203"/>
      <c r="H53" s="204" t="s">
        <v>208</v>
      </c>
      <c r="I53" s="2739" t="str">
        <f>IF('R-Definição'!O124&gt;0,'R-Definição'!O124,"Não")</f>
        <v>Não</v>
      </c>
      <c r="J53" s="2740"/>
      <c r="K53" s="203" t="str">
        <f>IF(I53="Não","","t/d")</f>
        <v/>
      </c>
      <c r="L53" s="203"/>
      <c r="M53" s="154"/>
      <c r="N53" s="154"/>
      <c r="O53" s="154"/>
      <c r="P53" s="154"/>
      <c r="Q53" s="154"/>
      <c r="R53" s="154"/>
      <c r="S53" s="154"/>
      <c r="T53" s="154"/>
      <c r="U53" s="154"/>
      <c r="V53" s="154"/>
      <c r="W53" s="154"/>
      <c r="X53" s="154"/>
      <c r="Y53" s="154"/>
      <c r="Z53" s="154"/>
      <c r="AA53" s="154"/>
      <c r="AB53" s="154"/>
      <c r="AC53" s="154"/>
      <c r="AD53" s="154"/>
      <c r="AE53" s="154"/>
      <c r="AF53" s="174"/>
      <c r="AG53" s="174"/>
      <c r="AH53" s="174"/>
      <c r="AI53" s="174"/>
      <c r="AJ53" s="174"/>
      <c r="AK53" s="174"/>
      <c r="AL53" s="174"/>
      <c r="AM53" s="175" t="s">
        <v>493</v>
      </c>
      <c r="AN53" s="154"/>
      <c r="AO53" s="839">
        <f>IF(C11&lt;&gt;0,ROUND(AO51/(AO51+AQ51+AS51)*100,1),0)</f>
        <v>42.6</v>
      </c>
      <c r="AP53" s="151"/>
      <c r="AQ53" s="839">
        <f>IF(C11&lt;&gt;0,ROUND(100-AO53-AS53,1),0)</f>
        <v>22.4</v>
      </c>
      <c r="AR53" s="151"/>
      <c r="AS53" s="839">
        <f>IF(C11&lt;&gt;0,ROUND(AS51/(AO51+AQ51+AS51)*100,1),0)</f>
        <v>35</v>
      </c>
      <c r="AT53" s="160"/>
      <c r="AU53" s="177"/>
      <c r="AV53" s="168"/>
    </row>
    <row r="54" spans="2:49" s="152" customFormat="1" ht="8.65" customHeight="1" x14ac:dyDescent="0.25">
      <c r="B54" s="178"/>
      <c r="C54" s="179"/>
      <c r="D54" s="179"/>
      <c r="E54" s="179"/>
      <c r="F54" s="179"/>
      <c r="G54" s="179"/>
      <c r="H54" s="179"/>
      <c r="I54" s="179"/>
      <c r="J54" s="179"/>
      <c r="K54" s="179"/>
      <c r="L54" s="179"/>
      <c r="M54" s="179"/>
      <c r="N54" s="179"/>
      <c r="O54" s="179"/>
      <c r="P54" s="179"/>
      <c r="Q54" s="179"/>
      <c r="R54" s="179"/>
      <c r="S54" s="179"/>
      <c r="T54" s="179"/>
      <c r="U54" s="179"/>
      <c r="V54" s="179"/>
      <c r="W54" s="179"/>
      <c r="X54" s="179"/>
      <c r="Y54" s="179"/>
      <c r="Z54" s="179"/>
      <c r="AA54" s="179"/>
      <c r="AB54" s="179"/>
      <c r="AC54" s="179"/>
      <c r="AD54" s="179"/>
      <c r="AE54" s="179"/>
      <c r="AF54" s="180"/>
      <c r="AG54" s="180"/>
      <c r="AH54" s="180"/>
      <c r="AI54" s="180"/>
      <c r="AJ54" s="180"/>
      <c r="AK54" s="180"/>
      <c r="AL54" s="180"/>
      <c r="AM54" s="180"/>
      <c r="AN54" s="179"/>
      <c r="AO54" s="179"/>
      <c r="AP54" s="179"/>
      <c r="AQ54" s="179"/>
      <c r="AR54" s="179"/>
      <c r="AS54" s="179"/>
      <c r="AT54" s="181"/>
      <c r="AV54" s="168"/>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2"/>
      <c r="B1" s="2"/>
      <c r="C1" s="2"/>
      <c r="D1" s="2"/>
      <c r="E1" s="2"/>
      <c r="F1" s="2"/>
      <c r="G1" s="2"/>
      <c r="H1" s="2"/>
      <c r="I1" s="2"/>
      <c r="J1" s="2"/>
      <c r="K1" s="2"/>
      <c r="L1" s="2"/>
      <c r="M1" s="2"/>
      <c r="N1" s="2"/>
      <c r="O1" s="2"/>
      <c r="P1" s="2"/>
      <c r="Q1" s="2"/>
      <c r="R1" s="2"/>
      <c r="S1" s="2"/>
      <c r="T1" s="2"/>
    </row>
    <row r="2" spans="1:20" ht="18" customHeight="1" x14ac:dyDescent="0.25">
      <c r="A2" s="2"/>
      <c r="B2" s="67" t="s">
        <v>436</v>
      </c>
      <c r="C2" s="837" t="str">
        <f>IF('R-Entrada'!D2&lt;&gt;0,'R-Entrada'!D2,"")</f>
        <v>CIRSOP - Consórcio RSU Oeste Paulista</v>
      </c>
      <c r="D2" s="60"/>
      <c r="E2" s="60"/>
      <c r="F2" s="60"/>
      <c r="G2" s="60"/>
      <c r="H2" s="60"/>
      <c r="I2" s="2"/>
      <c r="J2" s="2"/>
      <c r="K2" s="2"/>
      <c r="L2" s="2"/>
      <c r="M2" s="2"/>
      <c r="N2" s="2"/>
      <c r="O2" s="2"/>
      <c r="P2" s="2"/>
      <c r="Q2" s="2"/>
      <c r="R2" s="2"/>
      <c r="S2" s="2"/>
      <c r="T2" s="2"/>
    </row>
    <row r="3" spans="1:20" ht="18" customHeight="1" x14ac:dyDescent="0.25">
      <c r="A3" s="2"/>
      <c r="B3" s="67" t="s">
        <v>437</v>
      </c>
      <c r="C3" s="837" t="str">
        <f>IF('R-Entrada'!D3&lt;&gt;0,'R-Entrada'!D3,"")</f>
        <v>Biodigestão c/ Prod. E. Elétrica</v>
      </c>
      <c r="D3" s="60"/>
      <c r="E3" s="60"/>
      <c r="F3" s="60"/>
      <c r="G3" s="60"/>
      <c r="H3" s="60"/>
      <c r="I3" s="2"/>
      <c r="L3" s="2"/>
      <c r="M3" s="2"/>
      <c r="N3" s="2"/>
      <c r="O3" s="2"/>
      <c r="P3" s="2"/>
      <c r="Q3" s="2"/>
      <c r="R3" s="2"/>
      <c r="S3" s="2"/>
      <c r="T3" s="2"/>
    </row>
    <row r="4" spans="1:20" ht="18" customHeight="1" x14ac:dyDescent="0.25">
      <c r="A4" s="2"/>
      <c r="B4" s="60"/>
      <c r="C4" s="60"/>
      <c r="D4" s="60"/>
      <c r="E4" s="60"/>
      <c r="F4" s="60"/>
      <c r="G4" s="60"/>
      <c r="H4" s="60"/>
      <c r="I4" s="2"/>
      <c r="J4" s="2779"/>
      <c r="K4" s="2672"/>
      <c r="L4" s="2"/>
      <c r="M4" s="2"/>
      <c r="N4" s="2"/>
      <c r="O4" s="2"/>
      <c r="P4" s="2"/>
      <c r="Q4" s="2"/>
      <c r="R4" s="2"/>
      <c r="S4" s="2"/>
      <c r="T4" s="2"/>
    </row>
    <row r="5" spans="1:20" ht="25.9" customHeight="1" x14ac:dyDescent="0.25">
      <c r="A5" s="2"/>
      <c r="B5" s="92"/>
      <c r="C5" s="190" t="s">
        <v>494</v>
      </c>
      <c r="D5" s="92"/>
      <c r="E5" s="92"/>
      <c r="F5" s="92"/>
      <c r="G5" s="92"/>
      <c r="H5" s="92"/>
      <c r="I5" s="2"/>
      <c r="J5" s="2781" t="s">
        <v>424</v>
      </c>
      <c r="K5" s="2706"/>
      <c r="L5" s="2706"/>
      <c r="M5" s="2"/>
      <c r="N5" s="2"/>
      <c r="O5" s="2"/>
      <c r="P5" s="2"/>
      <c r="Q5" s="2"/>
      <c r="R5" s="2"/>
      <c r="S5" s="2"/>
      <c r="T5" s="2"/>
    </row>
    <row r="6" spans="1:20" ht="18" customHeight="1" x14ac:dyDescent="0.25">
      <c r="A6" s="2"/>
      <c r="B6" s="60"/>
      <c r="C6" s="60"/>
      <c r="D6" s="60"/>
      <c r="E6" s="60"/>
      <c r="F6" s="60"/>
      <c r="G6" s="60"/>
      <c r="H6" s="60"/>
      <c r="I6" s="2"/>
      <c r="J6" s="2663" t="str">
        <f>Apresentação!I2</f>
        <v>RC-RSU V.1.0 - 15/10/2020</v>
      </c>
      <c r="K6" s="2780"/>
      <c r="L6" s="2780"/>
      <c r="M6" s="2"/>
      <c r="N6" s="2"/>
      <c r="O6" s="2"/>
      <c r="P6" s="2"/>
      <c r="Q6" s="2"/>
      <c r="R6" s="2"/>
      <c r="S6" s="2"/>
      <c r="T6" s="2"/>
    </row>
    <row r="7" spans="1:20" ht="18" customHeight="1" x14ac:dyDescent="0.25">
      <c r="A7" s="2"/>
      <c r="B7" s="2664" t="s">
        <v>495</v>
      </c>
      <c r="C7" s="2702"/>
      <c r="D7" s="2702"/>
      <c r="E7" s="2702"/>
      <c r="F7" s="2702"/>
      <c r="G7" s="2702"/>
      <c r="H7" s="2702"/>
      <c r="I7" s="2"/>
      <c r="J7" s="662"/>
      <c r="K7" s="662"/>
      <c r="L7" s="662"/>
      <c r="M7" s="2"/>
      <c r="N7" s="2"/>
      <c r="O7" s="2"/>
      <c r="P7" s="2"/>
      <c r="Q7" s="2"/>
      <c r="R7" s="2"/>
      <c r="S7" s="2"/>
      <c r="T7" s="2"/>
    </row>
    <row r="8" spans="1:20" ht="18" customHeight="1" x14ac:dyDescent="0.25">
      <c r="A8" s="2"/>
      <c r="B8" s="2679" t="s">
        <v>209</v>
      </c>
      <c r="C8" s="2679" t="s">
        <v>210</v>
      </c>
      <c r="D8" s="2664" t="s">
        <v>211</v>
      </c>
      <c r="E8" s="2679" t="s">
        <v>212</v>
      </c>
      <c r="F8" s="2665"/>
      <c r="G8" s="2665"/>
      <c r="H8" s="2665"/>
      <c r="I8" s="2"/>
      <c r="J8" s="2"/>
      <c r="K8" s="2"/>
      <c r="L8" s="2"/>
      <c r="M8" s="2"/>
      <c r="N8" s="2"/>
      <c r="O8" s="2"/>
      <c r="P8" s="13"/>
      <c r="Q8" s="2"/>
      <c r="R8" s="2"/>
      <c r="S8" s="2"/>
      <c r="T8" s="2"/>
    </row>
    <row r="9" spans="1:20" ht="18" customHeight="1" x14ac:dyDescent="0.25">
      <c r="A9" s="6"/>
      <c r="B9" s="2665"/>
      <c r="C9" s="2665"/>
      <c r="D9" s="2665"/>
      <c r="E9" s="2679" t="s">
        <v>213</v>
      </c>
      <c r="F9" s="2794" t="s">
        <v>25</v>
      </c>
      <c r="G9" s="2664" t="s">
        <v>214</v>
      </c>
      <c r="H9" s="2679" t="s">
        <v>215</v>
      </c>
      <c r="I9" s="6"/>
      <c r="J9" s="6"/>
      <c r="K9" s="6"/>
      <c r="L9" s="6"/>
      <c r="M9" s="6"/>
      <c r="N9" s="6"/>
      <c r="O9" s="6"/>
      <c r="P9" s="2"/>
      <c r="Q9" s="2"/>
      <c r="R9" s="6"/>
      <c r="S9" s="2"/>
      <c r="T9" s="2"/>
    </row>
    <row r="10" spans="1:20" ht="18" customHeight="1" x14ac:dyDescent="0.25">
      <c r="A10" s="6"/>
      <c r="B10" s="2665"/>
      <c r="C10" s="2665"/>
      <c r="D10" s="2665"/>
      <c r="E10" s="2665"/>
      <c r="F10" s="2665"/>
      <c r="G10" s="2665"/>
      <c r="H10" s="2665"/>
      <c r="I10" s="6"/>
      <c r="J10" s="6"/>
      <c r="K10" s="6"/>
      <c r="L10" s="6"/>
      <c r="M10" s="6"/>
      <c r="N10" s="6"/>
      <c r="O10" s="6"/>
      <c r="P10" s="2"/>
      <c r="Q10" s="2"/>
      <c r="R10" s="6"/>
      <c r="S10" s="2"/>
      <c r="T10" s="2"/>
    </row>
    <row r="11" spans="1:20" ht="18" customHeight="1" x14ac:dyDescent="0.25">
      <c r="A11" s="6"/>
      <c r="B11" s="6"/>
      <c r="C11" s="6"/>
      <c r="D11" s="6"/>
      <c r="E11" s="6"/>
      <c r="F11" s="6"/>
      <c r="G11" s="6"/>
      <c r="H11" s="6"/>
      <c r="I11" s="6"/>
      <c r="J11" s="6"/>
      <c r="K11" s="6"/>
      <c r="L11" s="6"/>
      <c r="M11" s="6"/>
      <c r="N11" s="6"/>
      <c r="O11" s="6"/>
      <c r="P11" s="2"/>
      <c r="Q11" s="2"/>
      <c r="R11" s="6"/>
      <c r="S11" s="2"/>
      <c r="T11" s="2"/>
    </row>
    <row r="12" spans="1:20" ht="18" customHeight="1" x14ac:dyDescent="0.25">
      <c r="A12" s="6"/>
      <c r="B12" s="664"/>
      <c r="C12" s="675" t="s">
        <v>216</v>
      </c>
      <c r="D12" s="663"/>
      <c r="E12" s="3"/>
      <c r="F12" s="9"/>
      <c r="G12" s="3"/>
      <c r="H12" s="16"/>
      <c r="I12" s="6"/>
      <c r="J12" s="6"/>
      <c r="K12" s="6"/>
      <c r="L12" s="6"/>
      <c r="M12" s="6"/>
      <c r="N12" s="6"/>
      <c r="O12" s="6"/>
      <c r="P12" s="2"/>
      <c r="Q12" s="2"/>
      <c r="R12" s="6"/>
      <c r="S12" s="2"/>
      <c r="T12" s="2"/>
    </row>
    <row r="13" spans="1:20" ht="18" customHeight="1" x14ac:dyDescent="0.25">
      <c r="A13" s="2"/>
      <c r="B13" s="665"/>
      <c r="C13" s="671" t="s">
        <v>200</v>
      </c>
      <c r="D13" s="207">
        <f>'R-Definição'!N13</f>
        <v>0</v>
      </c>
      <c r="E13" s="5"/>
      <c r="F13" s="20"/>
      <c r="G13" s="3"/>
      <c r="H13" s="16"/>
      <c r="I13" s="16"/>
      <c r="J13" s="11"/>
      <c r="K13" s="15"/>
      <c r="L13" s="2"/>
      <c r="M13" s="2"/>
      <c r="N13" s="2"/>
      <c r="O13" s="2"/>
      <c r="P13" s="2"/>
      <c r="Q13" s="2"/>
      <c r="R13" s="6"/>
      <c r="S13" s="2"/>
      <c r="T13" s="2"/>
    </row>
    <row r="14" spans="1:20" ht="18" customHeight="1" x14ac:dyDescent="0.25">
      <c r="A14" s="6"/>
      <c r="B14" s="665"/>
      <c r="C14" s="671" t="s">
        <v>58</v>
      </c>
      <c r="D14" s="207">
        <f>'R-Definição'!N14</f>
        <v>0</v>
      </c>
      <c r="E14" s="5"/>
      <c r="F14" s="20"/>
      <c r="G14" s="3"/>
      <c r="H14" s="10"/>
      <c r="I14" s="16"/>
      <c r="J14" s="11"/>
      <c r="K14" s="16"/>
      <c r="L14" s="3"/>
      <c r="M14" s="3"/>
      <c r="N14" s="3"/>
      <c r="O14" s="3"/>
      <c r="P14" s="3"/>
      <c r="Q14" s="2"/>
      <c r="R14" s="6"/>
      <c r="S14" s="2"/>
      <c r="T14" s="2"/>
    </row>
    <row r="15" spans="1:20" ht="18" customHeight="1" x14ac:dyDescent="0.25">
      <c r="A15" s="6"/>
      <c r="B15" s="665"/>
      <c r="C15" s="671" t="s">
        <v>425</v>
      </c>
      <c r="D15" s="207">
        <f>'R-Definição'!N15</f>
        <v>467.94871794871801</v>
      </c>
      <c r="E15" s="5"/>
      <c r="F15" s="3"/>
      <c r="G15" s="3"/>
      <c r="H15" s="24"/>
      <c r="I15" s="16"/>
      <c r="J15" s="11"/>
      <c r="K15" s="17"/>
      <c r="L15" s="2"/>
      <c r="M15" s="6"/>
      <c r="N15" s="6"/>
      <c r="O15" s="6"/>
      <c r="P15" s="2"/>
      <c r="Q15" s="2"/>
      <c r="R15" s="6"/>
      <c r="S15" s="2"/>
      <c r="T15" s="2"/>
    </row>
    <row r="16" spans="1:20" ht="18" customHeight="1" x14ac:dyDescent="0.25">
      <c r="A16" s="6"/>
      <c r="B16" s="664"/>
      <c r="C16" s="673" t="s">
        <v>52</v>
      </c>
      <c r="D16" s="668">
        <f>'R-Definição'!N16</f>
        <v>467.94871794871801</v>
      </c>
      <c r="E16" s="13"/>
      <c r="F16" s="25"/>
      <c r="G16" s="26"/>
      <c r="H16" s="6"/>
      <c r="I16" s="27"/>
      <c r="J16" s="11"/>
      <c r="K16" s="18"/>
      <c r="L16" s="6"/>
      <c r="M16" s="6"/>
      <c r="N16" s="6"/>
      <c r="O16" s="6"/>
      <c r="P16" s="6"/>
      <c r="Q16" s="6"/>
      <c r="R16" s="6"/>
      <c r="S16" s="2"/>
      <c r="T16" s="2"/>
    </row>
    <row r="17" spans="1:20" ht="18" customHeight="1" x14ac:dyDescent="0.25">
      <c r="A17" s="6"/>
      <c r="B17" s="13"/>
      <c r="C17" s="13"/>
      <c r="D17" s="6"/>
      <c r="E17" s="6"/>
      <c r="F17" s="6"/>
      <c r="G17" s="6"/>
      <c r="H17" s="6"/>
      <c r="I17" s="3"/>
      <c r="J17" s="11"/>
      <c r="K17" s="14"/>
      <c r="L17" s="6"/>
      <c r="M17" s="6"/>
      <c r="N17" s="6"/>
      <c r="O17" s="6"/>
      <c r="P17" s="6"/>
      <c r="Q17" s="6"/>
      <c r="R17" s="6"/>
      <c r="S17" s="2"/>
      <c r="T17" s="2"/>
    </row>
    <row r="18" spans="1:20" ht="18" customHeight="1" x14ac:dyDescent="0.25">
      <c r="A18" s="2"/>
      <c r="B18" s="664"/>
      <c r="C18" s="675" t="s">
        <v>184</v>
      </c>
      <c r="D18" s="396"/>
      <c r="E18" s="395"/>
      <c r="F18" s="395"/>
      <c r="G18" s="663"/>
      <c r="H18" s="25"/>
      <c r="I18" s="2"/>
      <c r="J18" s="2"/>
      <c r="K18" s="2"/>
      <c r="L18" s="2"/>
      <c r="M18" s="2"/>
      <c r="N18" s="2"/>
      <c r="O18" s="2"/>
      <c r="P18" s="6"/>
      <c r="Q18" s="6"/>
      <c r="R18" s="2"/>
      <c r="S18" s="2"/>
      <c r="T18" s="2"/>
    </row>
    <row r="19" spans="1:20" ht="18" customHeight="1" x14ac:dyDescent="0.25">
      <c r="A19" s="2"/>
      <c r="B19" s="666">
        <f>D19</f>
        <v>0</v>
      </c>
      <c r="C19" s="447" t="s">
        <v>697</v>
      </c>
      <c r="D19" s="207">
        <f>IF('R-Definição'!$E$28="Sim",'R-Definição'!$E$29,0)</f>
        <v>0</v>
      </c>
      <c r="E19" s="207">
        <f>'R-Definição'!M30</f>
        <v>0</v>
      </c>
      <c r="F19" s="207"/>
      <c r="G19" s="207">
        <f>SUM('R-Definição'!M34:'R-Definição'!M35)</f>
        <v>0</v>
      </c>
      <c r="H19" s="20"/>
      <c r="I19" s="2"/>
      <c r="J19" s="19"/>
      <c r="K19" s="2"/>
      <c r="L19" s="2"/>
      <c r="M19" s="2"/>
      <c r="N19" s="2"/>
      <c r="O19" s="2"/>
      <c r="P19" s="6"/>
      <c r="Q19" s="6"/>
      <c r="R19" s="2"/>
      <c r="S19" s="2"/>
      <c r="T19" s="2"/>
    </row>
    <row r="20" spans="1:20" ht="18" customHeight="1" x14ac:dyDescent="0.25">
      <c r="A20" s="2"/>
      <c r="B20" s="666">
        <f>D20</f>
        <v>0</v>
      </c>
      <c r="C20" s="447" t="s">
        <v>698</v>
      </c>
      <c r="D20" s="207">
        <f>IF('R-Definição'!$E$32="Sim",'R-Definição'!$E$33,0)</f>
        <v>0</v>
      </c>
      <c r="E20" s="207">
        <f>'R-Definição'!N30</f>
        <v>0</v>
      </c>
      <c r="F20" s="207"/>
      <c r="G20" s="207">
        <f>SUM('R-Definição'!N34:'R-Definição'!N35)</f>
        <v>0</v>
      </c>
      <c r="H20" s="20"/>
      <c r="I20" s="2"/>
      <c r="J20" s="2"/>
      <c r="K20" s="2"/>
      <c r="L20" s="2"/>
      <c r="M20" s="6"/>
      <c r="N20" s="6"/>
      <c r="O20" s="6"/>
      <c r="P20" s="6"/>
      <c r="Q20" s="6"/>
      <c r="R20" s="2"/>
      <c r="S20" s="2"/>
      <c r="T20" s="2"/>
    </row>
    <row r="21" spans="1:20" ht="18" customHeight="1" x14ac:dyDescent="0.25">
      <c r="A21" s="2"/>
      <c r="B21" s="666">
        <f>D21</f>
        <v>467.94871794871801</v>
      </c>
      <c r="C21" s="447" t="s">
        <v>699</v>
      </c>
      <c r="D21" s="207">
        <f>IF('R-Definição'!$I$24="Sim",'R-Definição'!$I$27,0)</f>
        <v>467.94871794871801</v>
      </c>
      <c r="E21" s="207">
        <f>'R-Definição'!O30</f>
        <v>37.318910256410263</v>
      </c>
      <c r="F21" s="207">
        <f>'R-Definição'!L32</f>
        <v>204.44679487179491</v>
      </c>
      <c r="G21" s="207">
        <f>SUM('R-Definição'!O34:'R-Definição'!O35)</f>
        <v>226.18301282051283</v>
      </c>
      <c r="H21" s="20"/>
      <c r="I21" s="2"/>
      <c r="J21" s="2"/>
      <c r="K21" s="2"/>
      <c r="L21" s="2"/>
      <c r="M21" s="6"/>
      <c r="N21" s="6"/>
      <c r="O21" s="6"/>
      <c r="P21" s="6"/>
      <c r="Q21" s="6"/>
      <c r="R21" s="2"/>
      <c r="S21" s="2"/>
      <c r="T21" s="2"/>
    </row>
    <row r="22" spans="1:20" ht="18" customHeight="1" x14ac:dyDescent="0.25">
      <c r="A22" s="2"/>
      <c r="B22" s="672"/>
      <c r="C22" s="673" t="s">
        <v>217</v>
      </c>
      <c r="D22" s="668">
        <f>SUM(D19:D21)</f>
        <v>467.94871794871801</v>
      </c>
      <c r="E22" s="208">
        <f>SUM(E19:E21)</f>
        <v>37.318910256410263</v>
      </c>
      <c r="F22" s="208">
        <f>SUM(F19:F21)</f>
        <v>204.44679487179491</v>
      </c>
      <c r="G22" s="208">
        <f>SUM(G19:G21)</f>
        <v>226.18301282051283</v>
      </c>
      <c r="H22" s="20"/>
      <c r="I22" s="2"/>
      <c r="J22" s="2"/>
      <c r="K22" s="2"/>
      <c r="L22" s="2"/>
      <c r="M22" s="2"/>
      <c r="N22" s="2"/>
      <c r="O22" s="2"/>
      <c r="P22" s="2"/>
      <c r="Q22" s="2"/>
      <c r="R22" s="2"/>
      <c r="S22" s="2"/>
      <c r="T22" s="2"/>
    </row>
    <row r="23" spans="1:20" ht="18" customHeight="1" x14ac:dyDescent="0.25">
      <c r="A23" s="2"/>
      <c r="B23" s="2"/>
      <c r="C23" s="2"/>
      <c r="D23" s="28"/>
      <c r="E23" s="2"/>
      <c r="F23" s="2"/>
      <c r="G23" s="2"/>
      <c r="H23" s="2"/>
      <c r="I23" s="2"/>
      <c r="J23" s="2"/>
      <c r="K23" s="2"/>
      <c r="L23" s="2"/>
      <c r="M23" s="2"/>
      <c r="N23" s="2"/>
      <c r="O23" s="2"/>
      <c r="P23" s="2"/>
      <c r="Q23" s="2"/>
      <c r="R23" s="2"/>
      <c r="S23" s="2"/>
      <c r="T23" s="2"/>
    </row>
    <row r="24" spans="1:20" ht="18" customHeight="1" x14ac:dyDescent="0.25">
      <c r="A24" s="2"/>
      <c r="B24" s="664"/>
      <c r="C24" s="675" t="s">
        <v>99</v>
      </c>
      <c r="D24" s="396"/>
      <c r="E24" s="395"/>
      <c r="F24" s="395"/>
      <c r="G24" s="396"/>
      <c r="H24" s="209"/>
      <c r="I24" s="2"/>
      <c r="J24" s="2"/>
      <c r="K24" s="2"/>
      <c r="L24" s="2"/>
      <c r="M24" s="2"/>
      <c r="N24" s="2"/>
      <c r="O24" s="2"/>
      <c r="P24" s="2"/>
      <c r="Q24" s="2"/>
      <c r="R24" s="2"/>
      <c r="S24" s="2"/>
      <c r="T24" s="2"/>
    </row>
    <row r="25" spans="1:20" ht="18" customHeight="1" x14ac:dyDescent="0.25">
      <c r="A25" s="2"/>
      <c r="B25" s="2782">
        <f>D29</f>
        <v>381.33141025641027</v>
      </c>
      <c r="C25" s="217" t="s">
        <v>681</v>
      </c>
      <c r="D25" s="207">
        <f>'R-Definição'!E49</f>
        <v>0</v>
      </c>
      <c r="E25" s="2784">
        <f>'R-Definição'!O49+'R-Definição'!O50</f>
        <v>162.06584935897433</v>
      </c>
      <c r="F25" s="2786"/>
      <c r="G25" s="2784">
        <f>'R-Definição'!O53</f>
        <v>114.39942307692309</v>
      </c>
      <c r="H25" s="2784">
        <f>'R-Definição'!O55</f>
        <v>104.86613782051283</v>
      </c>
      <c r="I25" s="2"/>
      <c r="J25" s="2"/>
      <c r="K25" s="2"/>
      <c r="L25" s="2"/>
      <c r="M25" s="2"/>
      <c r="N25" s="2"/>
      <c r="O25" s="2"/>
      <c r="P25" s="2"/>
      <c r="Q25" s="2"/>
      <c r="R25" s="2"/>
      <c r="S25" s="2"/>
      <c r="T25" s="2"/>
    </row>
    <row r="26" spans="1:20" ht="18" customHeight="1" x14ac:dyDescent="0.25">
      <c r="A26" s="2"/>
      <c r="B26" s="2783"/>
      <c r="C26" s="217" t="s">
        <v>682</v>
      </c>
      <c r="D26" s="207">
        <f>'R-Definição'!E50</f>
        <v>0</v>
      </c>
      <c r="E26" s="2785"/>
      <c r="F26" s="2785"/>
      <c r="G26" s="2785"/>
      <c r="H26" s="2785"/>
      <c r="I26" s="2"/>
      <c r="J26" s="2"/>
      <c r="K26" s="2"/>
      <c r="L26" s="2"/>
      <c r="M26" s="2"/>
      <c r="N26" s="2"/>
      <c r="O26" s="2"/>
      <c r="P26" s="2"/>
      <c r="Q26" s="2"/>
      <c r="R26" s="2"/>
      <c r="S26" s="2"/>
      <c r="T26" s="2"/>
    </row>
    <row r="27" spans="1:20" ht="18" customHeight="1" x14ac:dyDescent="0.25">
      <c r="A27" s="2"/>
      <c r="B27" s="2783"/>
      <c r="C27" s="217" t="s">
        <v>496</v>
      </c>
      <c r="D27" s="207">
        <f>'R-Definição'!E51</f>
        <v>176.88461538461536</v>
      </c>
      <c r="E27" s="2785"/>
      <c r="F27" s="2785"/>
      <c r="G27" s="2785"/>
      <c r="H27" s="2785"/>
      <c r="I27" s="2"/>
      <c r="J27" s="2"/>
      <c r="K27" s="2"/>
      <c r="L27" s="2"/>
      <c r="M27" s="2"/>
      <c r="N27" s="2"/>
      <c r="O27" s="2"/>
      <c r="P27" s="2"/>
      <c r="Q27" s="2"/>
      <c r="R27" s="2"/>
      <c r="S27" s="2"/>
      <c r="T27" s="2"/>
    </row>
    <row r="28" spans="1:20" ht="18" customHeight="1" x14ac:dyDescent="0.25">
      <c r="A28" s="2"/>
      <c r="B28" s="2783"/>
      <c r="C28" s="217" t="s">
        <v>497</v>
      </c>
      <c r="D28" s="207">
        <f>'R-Definição'!E52</f>
        <v>204.44679487179491</v>
      </c>
      <c r="E28" s="2785"/>
      <c r="F28" s="2785"/>
      <c r="G28" s="2785"/>
      <c r="H28" s="2785"/>
      <c r="I28" s="2"/>
      <c r="J28" s="2"/>
      <c r="K28" s="2"/>
      <c r="L28" s="2"/>
      <c r="M28" s="2"/>
      <c r="N28" s="2"/>
      <c r="O28" s="2"/>
      <c r="P28" s="2"/>
      <c r="Q28" s="2"/>
      <c r="R28" s="2"/>
      <c r="S28" s="2"/>
      <c r="T28" s="2"/>
    </row>
    <row r="29" spans="1:20" ht="18" customHeight="1" x14ac:dyDescent="0.25">
      <c r="A29" s="2"/>
      <c r="B29" s="206"/>
      <c r="C29" s="673" t="s">
        <v>217</v>
      </c>
      <c r="D29" s="668">
        <f>SUM(D25:D28)</f>
        <v>381.33141025641027</v>
      </c>
      <c r="E29" s="208">
        <f>E25</f>
        <v>162.06584935897433</v>
      </c>
      <c r="F29" s="208"/>
      <c r="G29" s="208">
        <f>SUM(G25)</f>
        <v>114.39942307692309</v>
      </c>
      <c r="H29" s="208">
        <f>SUM(H25:H28)</f>
        <v>104.86613782051283</v>
      </c>
      <c r="I29" s="2"/>
      <c r="J29" s="2"/>
      <c r="K29" s="2"/>
      <c r="L29" s="2"/>
      <c r="M29" s="2"/>
      <c r="N29" s="2"/>
      <c r="O29" s="2"/>
      <c r="P29" s="2"/>
      <c r="Q29" s="2"/>
      <c r="R29" s="2"/>
      <c r="S29" s="2"/>
      <c r="T29" s="2"/>
    </row>
    <row r="30" spans="1:20" ht="18" customHeight="1" x14ac:dyDescent="0.25">
      <c r="A30" s="2"/>
      <c r="B30" s="666">
        <f>'R-Definição'!I51</f>
        <v>0</v>
      </c>
      <c r="C30" s="217" t="s">
        <v>218</v>
      </c>
      <c r="D30" s="212"/>
      <c r="E30" s="213"/>
      <c r="F30" s="213"/>
      <c r="G30" s="213"/>
      <c r="H30" s="213"/>
      <c r="I30" s="2"/>
      <c r="J30" s="2"/>
      <c r="K30" s="2"/>
      <c r="L30" s="2"/>
      <c r="M30" s="2"/>
      <c r="N30" s="2"/>
      <c r="O30" s="2"/>
      <c r="P30" s="2"/>
      <c r="Q30" s="2"/>
      <c r="R30" s="2"/>
      <c r="S30" s="2"/>
      <c r="T30" s="2"/>
    </row>
    <row r="31" spans="1:20" ht="18" customHeight="1" x14ac:dyDescent="0.25">
      <c r="A31" s="2"/>
      <c r="B31" s="666">
        <f>'R-Definição'!I52</f>
        <v>381.33141025641027</v>
      </c>
      <c r="C31" s="217" t="s">
        <v>219</v>
      </c>
      <c r="D31" s="214"/>
      <c r="E31" s="99"/>
      <c r="F31" s="99"/>
      <c r="G31" s="99"/>
      <c r="H31" s="99"/>
      <c r="I31" s="2"/>
      <c r="J31" s="2"/>
      <c r="K31" s="2"/>
      <c r="L31" s="2"/>
      <c r="M31" s="2"/>
      <c r="N31" s="2"/>
      <c r="O31" s="2"/>
      <c r="P31" s="2"/>
      <c r="Q31" s="2"/>
      <c r="R31" s="2"/>
      <c r="S31" s="2"/>
      <c r="T31" s="2"/>
    </row>
    <row r="32" spans="1:20" ht="18" customHeight="1" x14ac:dyDescent="0.25">
      <c r="A32" s="2"/>
      <c r="B32" s="77"/>
      <c r="C32" s="77"/>
      <c r="D32" s="215"/>
      <c r="E32" s="216"/>
      <c r="F32" s="216"/>
      <c r="G32" s="216"/>
      <c r="H32" s="216"/>
      <c r="I32" s="2"/>
      <c r="J32" s="2"/>
      <c r="K32" s="2"/>
      <c r="L32" s="2"/>
      <c r="M32" s="2"/>
      <c r="N32" s="2"/>
      <c r="O32" s="2"/>
      <c r="P32" s="2"/>
      <c r="Q32" s="2"/>
      <c r="R32" s="2"/>
      <c r="S32" s="2"/>
      <c r="T32" s="2"/>
    </row>
    <row r="33" spans="1:20" ht="18" customHeight="1" x14ac:dyDescent="0.25">
      <c r="A33" s="2"/>
      <c r="B33" s="664"/>
      <c r="C33" s="675" t="s">
        <v>187</v>
      </c>
      <c r="D33" s="396"/>
      <c r="E33" s="794"/>
      <c r="F33" s="395"/>
      <c r="G33" s="396"/>
      <c r="H33" s="209"/>
      <c r="I33" s="2"/>
      <c r="J33" s="2"/>
      <c r="K33" s="2"/>
      <c r="L33" s="2"/>
      <c r="M33" s="2"/>
      <c r="N33" s="2"/>
      <c r="O33" s="2"/>
      <c r="P33" s="2"/>
      <c r="Q33" s="2"/>
      <c r="R33" s="2"/>
      <c r="S33" s="2"/>
      <c r="T33" s="2"/>
    </row>
    <row r="34" spans="1:20" ht="18" customHeight="1" x14ac:dyDescent="0.25">
      <c r="A34" s="2"/>
      <c r="B34" s="666">
        <f>'R-Definição'!O62</f>
        <v>0</v>
      </c>
      <c r="C34" s="447" t="s">
        <v>220</v>
      </c>
      <c r="D34" s="793">
        <f>IF('R-Definição'!$J$67&lt;&gt;"Uso agrícola dir.",'R-Definição'!$O$62,0)</f>
        <v>0</v>
      </c>
      <c r="E34" s="795"/>
      <c r="F34" s="2795">
        <f>'R-Definição'!O67+'R-Definição'!O68</f>
        <v>0</v>
      </c>
      <c r="G34" s="2784">
        <f>'R-Definição'!O73</f>
        <v>0</v>
      </c>
      <c r="H34" s="2784">
        <f>'R-Definição'!O74</f>
        <v>0</v>
      </c>
      <c r="I34" s="2"/>
      <c r="J34" s="2"/>
      <c r="K34" s="2"/>
      <c r="L34" s="2"/>
      <c r="M34" s="2"/>
      <c r="N34" s="2"/>
      <c r="O34" s="2"/>
      <c r="P34" s="2"/>
      <c r="Q34" s="2"/>
      <c r="R34" s="2"/>
      <c r="S34" s="2"/>
      <c r="T34" s="2"/>
    </row>
    <row r="35" spans="1:20" ht="18" customHeight="1" x14ac:dyDescent="0.25">
      <c r="A35" s="2"/>
      <c r="B35" s="666">
        <f>'R-Definição'!O63+'R-Definição'!O64</f>
        <v>0</v>
      </c>
      <c r="C35" s="447" t="s">
        <v>131</v>
      </c>
      <c r="D35" s="207">
        <f>'R-Definição'!E60-'R-Definição'!O62</f>
        <v>0</v>
      </c>
      <c r="E35" s="792"/>
      <c r="F35" s="2788"/>
      <c r="G35" s="2788"/>
      <c r="H35" s="2788"/>
      <c r="I35" s="2"/>
      <c r="J35" s="2"/>
      <c r="K35" s="2"/>
      <c r="L35" s="2"/>
      <c r="M35" s="2"/>
      <c r="N35" s="2"/>
      <c r="O35" s="2"/>
      <c r="P35" s="2"/>
      <c r="Q35" s="2"/>
      <c r="R35" s="2"/>
      <c r="S35" s="2"/>
      <c r="T35" s="2"/>
    </row>
    <row r="36" spans="1:20" ht="18" customHeight="1" x14ac:dyDescent="0.25">
      <c r="A36" s="2"/>
      <c r="B36" s="196"/>
      <c r="C36" s="674" t="s">
        <v>217</v>
      </c>
      <c r="D36" s="224">
        <f>SUM(D33:D35)</f>
        <v>0</v>
      </c>
      <c r="E36" s="219"/>
      <c r="F36" s="676">
        <f>F34</f>
        <v>0</v>
      </c>
      <c r="G36" s="676">
        <f>G34</f>
        <v>0</v>
      </c>
      <c r="H36" s="676">
        <f>H34</f>
        <v>0</v>
      </c>
      <c r="I36" s="2"/>
      <c r="J36" s="2"/>
      <c r="K36" s="2"/>
      <c r="L36" s="2"/>
      <c r="M36" s="2"/>
      <c r="N36" s="2"/>
      <c r="O36" s="2"/>
      <c r="P36" s="2"/>
      <c r="Q36" s="2"/>
      <c r="R36" s="2"/>
      <c r="S36" s="2"/>
      <c r="T36" s="2"/>
    </row>
    <row r="37" spans="1:20" ht="18" customHeight="1" x14ac:dyDescent="0.25">
      <c r="A37" s="2"/>
      <c r="B37" s="77"/>
      <c r="C37" s="77"/>
      <c r="D37" s="215"/>
      <c r="E37" s="97"/>
      <c r="F37" s="97"/>
      <c r="G37" s="97"/>
      <c r="H37" s="97"/>
      <c r="I37" s="2"/>
      <c r="J37" s="2"/>
      <c r="K37" s="2"/>
      <c r="L37" s="2"/>
      <c r="M37" s="2"/>
      <c r="N37" s="2"/>
      <c r="O37" s="2"/>
      <c r="P37" s="2"/>
      <c r="Q37" s="2"/>
      <c r="R37" s="2"/>
      <c r="S37" s="2"/>
      <c r="T37" s="2"/>
    </row>
    <row r="38" spans="1:20" ht="18" customHeight="1" x14ac:dyDescent="0.25">
      <c r="A38" s="2"/>
      <c r="B38" s="664"/>
      <c r="C38" s="675" t="s">
        <v>63</v>
      </c>
      <c r="D38" s="396"/>
      <c r="E38" s="395"/>
      <c r="F38" s="395"/>
      <c r="G38" s="396"/>
      <c r="H38" s="209"/>
      <c r="I38" s="2"/>
      <c r="J38" s="2"/>
      <c r="K38" s="2"/>
      <c r="L38" s="2"/>
      <c r="M38" s="2"/>
      <c r="N38" s="2"/>
      <c r="O38" s="2"/>
      <c r="P38" s="2"/>
      <c r="Q38" s="2"/>
      <c r="R38" s="2"/>
      <c r="S38" s="2"/>
      <c r="T38" s="2"/>
    </row>
    <row r="39" spans="1:20" ht="18" customHeight="1" x14ac:dyDescent="0.25">
      <c r="A39" s="2"/>
      <c r="B39" s="2782">
        <f>'R-Definição'!E112</f>
        <v>0</v>
      </c>
      <c r="C39" s="447" t="s">
        <v>221</v>
      </c>
      <c r="D39" s="207">
        <f>'R-Definição'!E107</f>
        <v>0</v>
      </c>
      <c r="E39" s="2787">
        <f>'R-Definição'!O107+'R-Definição'!O108+'R-Definição'!O109</f>
        <v>0</v>
      </c>
      <c r="F39" s="2786"/>
      <c r="G39" s="2787">
        <f>'R-Definição'!O110</f>
        <v>0</v>
      </c>
      <c r="H39" s="2787">
        <f>'R-Definição'!O113</f>
        <v>0</v>
      </c>
      <c r="I39" s="2"/>
      <c r="J39" s="2"/>
      <c r="K39" s="2"/>
      <c r="L39" s="2"/>
      <c r="M39" s="2"/>
      <c r="N39" s="2"/>
      <c r="O39" s="2"/>
      <c r="P39" s="2"/>
      <c r="Q39" s="2"/>
      <c r="R39" s="2"/>
      <c r="S39" s="2"/>
      <c r="T39" s="2"/>
    </row>
    <row r="40" spans="1:20" ht="18" customHeight="1" x14ac:dyDescent="0.25">
      <c r="A40" s="2"/>
      <c r="B40" s="2713"/>
      <c r="C40" s="447" t="s">
        <v>700</v>
      </c>
      <c r="D40" s="207">
        <f>'R-Definição'!E108</f>
        <v>0</v>
      </c>
      <c r="E40" s="2788"/>
      <c r="F40" s="2788"/>
      <c r="G40" s="2788"/>
      <c r="H40" s="2788"/>
      <c r="I40" s="2"/>
      <c r="J40" s="2"/>
      <c r="K40" s="2"/>
      <c r="L40" s="2"/>
      <c r="M40" s="2"/>
      <c r="N40" s="2"/>
      <c r="O40" s="2"/>
      <c r="P40" s="2"/>
      <c r="Q40" s="2"/>
      <c r="R40" s="2"/>
      <c r="S40" s="2"/>
      <c r="T40" s="2"/>
    </row>
    <row r="41" spans="1:20" ht="18" customHeight="1" x14ac:dyDescent="0.25">
      <c r="A41" s="2"/>
      <c r="B41" s="2713"/>
      <c r="C41" s="447" t="s">
        <v>683</v>
      </c>
      <c r="D41" s="207">
        <f>'R-Definição'!E109</f>
        <v>0</v>
      </c>
      <c r="E41" s="2788"/>
      <c r="F41" s="2788"/>
      <c r="G41" s="2788"/>
      <c r="H41" s="2788"/>
      <c r="I41" s="2"/>
      <c r="J41" s="2"/>
      <c r="K41" s="2"/>
      <c r="L41" s="2"/>
      <c r="M41" s="2"/>
      <c r="N41" s="2"/>
      <c r="O41" s="2"/>
      <c r="P41" s="2"/>
      <c r="Q41" s="2"/>
      <c r="R41" s="2"/>
      <c r="S41" s="2"/>
      <c r="T41" s="2"/>
    </row>
    <row r="42" spans="1:20" ht="18" customHeight="1" x14ac:dyDescent="0.25">
      <c r="A42" s="2"/>
      <c r="B42" s="2713"/>
      <c r="C42" s="220" t="s">
        <v>729</v>
      </c>
      <c r="D42" s="207">
        <f>'R-Definição'!E110</f>
        <v>0</v>
      </c>
      <c r="E42" s="2788"/>
      <c r="F42" s="2788"/>
      <c r="G42" s="2788"/>
      <c r="H42" s="2788"/>
      <c r="I42" s="2"/>
      <c r="J42" s="2"/>
      <c r="K42" s="2"/>
      <c r="L42" s="2"/>
      <c r="M42" s="2"/>
      <c r="N42" s="2"/>
      <c r="O42" s="2"/>
      <c r="P42" s="2"/>
      <c r="Q42" s="2"/>
      <c r="R42" s="2"/>
      <c r="S42" s="2"/>
      <c r="T42" s="2"/>
    </row>
    <row r="43" spans="1:20" ht="18" customHeight="1" x14ac:dyDescent="0.25">
      <c r="A43" s="2"/>
      <c r="C43" s="683" t="s">
        <v>896</v>
      </c>
      <c r="D43" s="207">
        <f>'R-Definição'!E111</f>
        <v>0</v>
      </c>
      <c r="I43" s="2"/>
      <c r="J43" s="2"/>
      <c r="K43" s="2"/>
      <c r="L43" s="2"/>
      <c r="M43" s="2"/>
      <c r="N43" s="2"/>
      <c r="O43" s="2"/>
      <c r="P43" s="2"/>
      <c r="Q43" s="2"/>
      <c r="R43" s="2"/>
      <c r="S43" s="2"/>
      <c r="T43" s="2"/>
    </row>
    <row r="44" spans="1:20" ht="18" customHeight="1" x14ac:dyDescent="0.25">
      <c r="A44" s="2"/>
      <c r="B44" s="196"/>
      <c r="C44" s="674" t="s">
        <v>217</v>
      </c>
      <c r="D44" s="796">
        <f>SUM(D39:D43)</f>
        <v>0</v>
      </c>
      <c r="E44" s="677">
        <f>E39</f>
        <v>0</v>
      </c>
      <c r="F44" s="678"/>
      <c r="G44" s="677">
        <f>SUM(G38:G42)</f>
        <v>0</v>
      </c>
      <c r="H44" s="677">
        <f>SUM(H38:H42)</f>
        <v>0</v>
      </c>
      <c r="I44" s="2"/>
      <c r="J44" s="2"/>
      <c r="K44" s="2"/>
      <c r="L44" s="2"/>
      <c r="M44" s="2"/>
      <c r="N44" s="2"/>
      <c r="O44" s="2"/>
      <c r="P44" s="2"/>
      <c r="Q44" s="2"/>
      <c r="R44" s="2"/>
      <c r="S44" s="2"/>
      <c r="T44" s="2"/>
    </row>
    <row r="45" spans="1:20" ht="18" customHeight="1" x14ac:dyDescent="0.25">
      <c r="A45" s="2"/>
      <c r="E45" s="4"/>
      <c r="F45" s="4"/>
      <c r="G45" s="4"/>
      <c r="H45" s="4"/>
      <c r="I45" s="2"/>
      <c r="J45" s="2"/>
      <c r="K45" s="2"/>
      <c r="L45" s="2"/>
      <c r="M45" s="2"/>
      <c r="N45" s="2"/>
      <c r="O45" s="2"/>
      <c r="P45" s="2"/>
      <c r="Q45" s="2"/>
      <c r="R45" s="2"/>
      <c r="S45" s="2"/>
      <c r="T45" s="2"/>
    </row>
    <row r="46" spans="1:20" ht="18" customHeight="1" x14ac:dyDescent="0.25">
      <c r="A46" s="2"/>
      <c r="B46" s="664"/>
      <c r="C46" s="396" t="s">
        <v>64</v>
      </c>
      <c r="D46" s="663"/>
      <c r="E46" s="4"/>
      <c r="F46" s="4"/>
      <c r="G46" s="4"/>
      <c r="H46" s="4"/>
      <c r="I46" s="2"/>
      <c r="J46" s="2"/>
      <c r="K46" s="2"/>
      <c r="L46" s="2"/>
      <c r="M46" s="2"/>
      <c r="N46" s="2"/>
      <c r="O46" s="2"/>
      <c r="P46" s="2"/>
      <c r="Q46" s="2"/>
      <c r="R46" s="2"/>
      <c r="S46" s="2"/>
      <c r="T46" s="2"/>
    </row>
    <row r="47" spans="1:20" ht="18" customHeight="1" x14ac:dyDescent="0.25">
      <c r="A47" s="2"/>
      <c r="B47" s="2776">
        <f>'R-Definição'!E119</f>
        <v>163.69782051282056</v>
      </c>
      <c r="C47" s="447" t="s">
        <v>222</v>
      </c>
      <c r="D47" s="207">
        <f>'R-Definição'!N95</f>
        <v>0</v>
      </c>
      <c r="E47" s="4"/>
      <c r="F47" s="644" t="s">
        <v>223</v>
      </c>
      <c r="G47" s="397"/>
      <c r="H47" s="669"/>
      <c r="I47" s="2"/>
      <c r="J47" s="2"/>
      <c r="K47" s="2"/>
      <c r="L47" s="2"/>
      <c r="M47" s="2"/>
      <c r="N47" s="2"/>
      <c r="O47" s="2"/>
      <c r="P47" s="2"/>
      <c r="Q47" s="2"/>
      <c r="R47" s="2"/>
      <c r="S47" s="2"/>
      <c r="T47" s="2"/>
    </row>
    <row r="48" spans="1:20" ht="18" customHeight="1" x14ac:dyDescent="0.25">
      <c r="A48" s="2"/>
      <c r="B48" s="2777"/>
      <c r="C48" s="447" t="s">
        <v>498</v>
      </c>
      <c r="D48" s="207">
        <f>'R-Definição'!N96</f>
        <v>49.298397435897442</v>
      </c>
      <c r="E48" s="5"/>
      <c r="F48" s="667"/>
      <c r="G48" s="205" t="s">
        <v>224</v>
      </c>
      <c r="H48" s="205" t="s">
        <v>22</v>
      </c>
      <c r="I48" s="2"/>
      <c r="J48" s="2"/>
      <c r="K48" s="2"/>
      <c r="L48" s="2"/>
      <c r="M48" s="2"/>
      <c r="N48" s="2"/>
      <c r="O48" s="2"/>
      <c r="P48" s="2"/>
      <c r="Q48" s="2"/>
      <c r="R48" s="2"/>
      <c r="S48" s="2"/>
      <c r="T48" s="2"/>
    </row>
    <row r="49" spans="1:20" ht="18" customHeight="1" x14ac:dyDescent="0.25">
      <c r="A49" s="2"/>
      <c r="B49" s="2777"/>
      <c r="C49" s="447" t="s">
        <v>499</v>
      </c>
      <c r="D49" s="207">
        <f>'R-Definição'!N98+'R-Definição'!N99+'R-Definição'!N97</f>
        <v>0</v>
      </c>
      <c r="E49" s="4"/>
      <c r="F49" s="217" t="s">
        <v>225</v>
      </c>
      <c r="G49" s="207">
        <f>D53</f>
        <v>163.69782051282053</v>
      </c>
      <c r="H49" s="706">
        <f>IF($G$52&lt;&gt;0,G49/$G$52*100,0)</f>
        <v>34.981999999999999</v>
      </c>
      <c r="I49" s="19"/>
      <c r="J49" s="2"/>
      <c r="K49" s="2"/>
      <c r="L49" s="2"/>
      <c r="M49" s="2"/>
      <c r="N49" s="2"/>
      <c r="O49" s="2"/>
      <c r="P49" s="2"/>
      <c r="Q49" s="2"/>
      <c r="R49" s="2"/>
      <c r="S49" s="2"/>
      <c r="T49" s="2"/>
    </row>
    <row r="50" spans="1:20" ht="18" customHeight="1" x14ac:dyDescent="0.25">
      <c r="A50" s="2"/>
      <c r="B50" s="2777"/>
      <c r="C50" s="447" t="s">
        <v>500</v>
      </c>
      <c r="D50" s="207">
        <f>'R-Definição'!O53</f>
        <v>114.39942307692309</v>
      </c>
      <c r="E50" s="4"/>
      <c r="F50" s="217" t="s">
        <v>503</v>
      </c>
      <c r="G50" s="706">
        <f>E44+F36+E29+E22</f>
        <v>199.38475961538461</v>
      </c>
      <c r="H50" s="706">
        <f>IF($G$52&lt;&gt;0,G50/$G$52*100,0)</f>
        <v>42.608249999999998</v>
      </c>
      <c r="I50" s="21"/>
      <c r="J50" s="2"/>
      <c r="K50" s="2"/>
      <c r="L50" s="2"/>
      <c r="M50" s="2"/>
      <c r="N50" s="2"/>
      <c r="O50" s="2"/>
      <c r="P50" s="2"/>
      <c r="Q50" s="2"/>
      <c r="R50" s="2"/>
      <c r="S50" s="2"/>
      <c r="T50" s="2"/>
    </row>
    <row r="51" spans="1:20" ht="18" customHeight="1" x14ac:dyDescent="0.25">
      <c r="A51" s="2"/>
      <c r="B51" s="2777"/>
      <c r="C51" s="447" t="s">
        <v>501</v>
      </c>
      <c r="D51" s="207">
        <f>'R-Definição'!O73</f>
        <v>0</v>
      </c>
      <c r="E51" s="2"/>
      <c r="F51" s="217" t="s">
        <v>226</v>
      </c>
      <c r="G51" s="706">
        <f>H29+H36+H44</f>
        <v>104.86613782051283</v>
      </c>
      <c r="H51" s="706">
        <f>IF($G$52&lt;&gt;0,G51/$G$52*100,0)</f>
        <v>22.409750000000003</v>
      </c>
      <c r="I51" s="2"/>
      <c r="J51" s="2"/>
      <c r="K51" s="2"/>
      <c r="L51" s="2"/>
      <c r="M51" s="2"/>
      <c r="N51" s="2"/>
      <c r="O51" s="2"/>
      <c r="P51" s="2"/>
      <c r="Q51" s="2"/>
      <c r="R51" s="2"/>
      <c r="S51" s="2"/>
      <c r="T51" s="2"/>
    </row>
    <row r="52" spans="1:20" ht="18" customHeight="1" x14ac:dyDescent="0.25">
      <c r="A52" s="2"/>
      <c r="B52" s="2778"/>
      <c r="C52" s="447" t="s">
        <v>502</v>
      </c>
      <c r="D52" s="207">
        <f>'R-Definição'!O110</f>
        <v>0</v>
      </c>
      <c r="E52" s="2"/>
      <c r="F52" s="679" t="s">
        <v>52</v>
      </c>
      <c r="G52" s="208">
        <f>SUM(G49:G51)</f>
        <v>467.94871794871796</v>
      </c>
      <c r="H52" s="670">
        <f>IF($G$52&lt;&gt;0,G52/$G$52*100,0)</f>
        <v>100</v>
      </c>
      <c r="I52" s="19"/>
      <c r="J52" s="2"/>
      <c r="K52" s="2"/>
      <c r="L52" s="2"/>
      <c r="M52" s="2"/>
      <c r="N52" s="2"/>
      <c r="O52" s="2"/>
      <c r="P52" s="2"/>
      <c r="Q52" s="2"/>
      <c r="R52" s="2"/>
      <c r="S52" s="2"/>
      <c r="T52" s="2"/>
    </row>
    <row r="53" spans="1:20" ht="18" customHeight="1" x14ac:dyDescent="0.25">
      <c r="A53" s="2"/>
      <c r="B53" s="672"/>
      <c r="C53" s="673" t="s">
        <v>217</v>
      </c>
      <c r="D53" s="668">
        <f>SUM(D47:D52)</f>
        <v>163.69782051282053</v>
      </c>
      <c r="E53" s="2"/>
      <c r="F53" s="222" t="s">
        <v>227</v>
      </c>
      <c r="G53" s="221"/>
      <c r="H53" s="2"/>
      <c r="I53" s="2"/>
      <c r="J53" s="2"/>
      <c r="K53" s="2"/>
      <c r="L53" s="2"/>
      <c r="M53" s="2"/>
      <c r="N53" s="2"/>
      <c r="O53" s="2"/>
      <c r="P53" s="2"/>
      <c r="Q53" s="2"/>
      <c r="R53" s="2"/>
      <c r="S53" s="2"/>
      <c r="T53" s="2"/>
    </row>
    <row r="54" spans="1:20" ht="18" customHeight="1" x14ac:dyDescent="0.25">
      <c r="A54" s="2"/>
      <c r="B54" s="2"/>
      <c r="C54" s="12"/>
      <c r="D54" s="21"/>
      <c r="E54" s="2"/>
      <c r="F54" s="2"/>
      <c r="G54" s="21"/>
      <c r="H54" s="21"/>
      <c r="I54" s="2"/>
      <c r="J54" s="2"/>
      <c r="K54" s="2"/>
      <c r="L54" s="2"/>
      <c r="M54" s="2"/>
      <c r="N54" s="2"/>
      <c r="O54" s="2"/>
      <c r="P54" s="2"/>
      <c r="Q54" s="2"/>
      <c r="R54" s="2"/>
      <c r="S54" s="2"/>
      <c r="T54" s="2"/>
    </row>
    <row r="55" spans="1:20" ht="18" customHeight="1" x14ac:dyDescent="0.25">
      <c r="A55" s="2"/>
      <c r="B55" s="2664" t="s">
        <v>150</v>
      </c>
      <c r="C55" s="2702"/>
      <c r="D55" s="2664" t="s">
        <v>228</v>
      </c>
      <c r="E55" s="2722"/>
      <c r="F55" s="2722"/>
      <c r="G55" s="2722"/>
      <c r="H55" s="2722"/>
      <c r="I55" s="2722"/>
      <c r="J55" s="2722"/>
      <c r="K55" s="2722"/>
      <c r="L55" s="2"/>
      <c r="M55" s="2"/>
      <c r="N55" s="2"/>
      <c r="O55" s="2"/>
      <c r="P55" s="2"/>
      <c r="Q55" s="2"/>
      <c r="R55" s="2"/>
      <c r="S55" s="2"/>
      <c r="T55" s="2"/>
    </row>
    <row r="56" spans="1:20" ht="18" customHeight="1" x14ac:dyDescent="0.25">
      <c r="A56" s="2"/>
      <c r="B56" s="2702"/>
      <c r="C56" s="2702"/>
      <c r="D56" s="2791" t="s">
        <v>52</v>
      </c>
      <c r="E56" s="2791" t="s">
        <v>184</v>
      </c>
      <c r="F56" s="2792"/>
      <c r="G56" s="2792"/>
      <c r="H56" s="2793" t="s">
        <v>61</v>
      </c>
      <c r="I56" s="2793" t="s">
        <v>187</v>
      </c>
      <c r="J56" s="2793" t="s">
        <v>63</v>
      </c>
      <c r="K56" s="2793" t="s">
        <v>64</v>
      </c>
      <c r="L56" s="2"/>
      <c r="M56" s="2"/>
      <c r="N56" s="2"/>
      <c r="O56" s="2"/>
      <c r="P56" s="2"/>
      <c r="Q56" s="2"/>
      <c r="R56" s="2"/>
      <c r="S56" s="2"/>
      <c r="T56" s="2"/>
    </row>
    <row r="57" spans="1:20" ht="18" customHeight="1" x14ac:dyDescent="0.25">
      <c r="A57" s="2"/>
      <c r="B57" s="2790" t="s">
        <v>28</v>
      </c>
      <c r="C57" s="454" t="s">
        <v>21</v>
      </c>
      <c r="D57" s="2792"/>
      <c r="E57" s="454" t="s">
        <v>79</v>
      </c>
      <c r="F57" s="454" t="s">
        <v>86</v>
      </c>
      <c r="G57" s="454" t="s">
        <v>72</v>
      </c>
      <c r="H57" s="2792"/>
      <c r="I57" s="2792"/>
      <c r="J57" s="2792"/>
      <c r="K57" s="2792"/>
      <c r="L57" s="2"/>
      <c r="M57" s="2"/>
      <c r="N57" s="2"/>
      <c r="O57" s="2"/>
      <c r="P57" s="2"/>
      <c r="Q57" s="2"/>
      <c r="R57" s="2"/>
      <c r="S57" s="2"/>
      <c r="T57" s="2"/>
    </row>
    <row r="58" spans="1:20" ht="18" customHeight="1" x14ac:dyDescent="0.25">
      <c r="A58" s="2"/>
      <c r="B58" s="2790"/>
      <c r="C58" s="217" t="s">
        <v>73</v>
      </c>
      <c r="D58" s="207">
        <f t="shared" ref="D58:D64" si="0">SUM(E58:K58)</f>
        <v>15.325320512820513</v>
      </c>
      <c r="E58" s="207">
        <f>'R-Definição'!M24</f>
        <v>0</v>
      </c>
      <c r="F58" s="207">
        <f>'R-Definição'!N24</f>
        <v>0</v>
      </c>
      <c r="G58" s="207">
        <f>'R-Definição'!O24</f>
        <v>15.325320512820513</v>
      </c>
      <c r="H58" s="706"/>
      <c r="I58" s="455"/>
      <c r="J58" s="455"/>
      <c r="K58" s="455"/>
      <c r="L58" s="2"/>
      <c r="M58" s="2"/>
      <c r="N58" s="2"/>
      <c r="O58" s="2"/>
      <c r="P58" s="2"/>
      <c r="Q58" s="2"/>
      <c r="R58" s="2"/>
      <c r="S58" s="2"/>
      <c r="T58" s="2"/>
    </row>
    <row r="59" spans="1:20" ht="18" customHeight="1" x14ac:dyDescent="0.25">
      <c r="A59" s="2"/>
      <c r="B59" s="2790"/>
      <c r="C59" s="217" t="s">
        <v>29</v>
      </c>
      <c r="D59" s="207">
        <f t="shared" si="0"/>
        <v>10.411858974358974</v>
      </c>
      <c r="E59" s="207">
        <f>'R-Definição'!M25</f>
        <v>0</v>
      </c>
      <c r="F59" s="207">
        <f>'R-Definição'!N25</f>
        <v>0</v>
      </c>
      <c r="G59" s="207">
        <f>'R-Definição'!O25</f>
        <v>10.411858974358974</v>
      </c>
      <c r="H59" s="707"/>
      <c r="I59" s="708"/>
      <c r="J59" s="708"/>
      <c r="K59" s="708"/>
      <c r="L59" s="2"/>
      <c r="M59" s="2"/>
      <c r="N59" s="2"/>
      <c r="O59" s="2"/>
      <c r="P59" s="2"/>
      <c r="Q59" s="2"/>
      <c r="R59" s="2"/>
      <c r="S59" s="2"/>
      <c r="T59" s="2"/>
    </row>
    <row r="60" spans="1:20" ht="18" customHeight="1" x14ac:dyDescent="0.25">
      <c r="A60" s="2"/>
      <c r="B60" s="2790"/>
      <c r="C60" s="217" t="s">
        <v>77</v>
      </c>
      <c r="D60" s="207">
        <f t="shared" si="0"/>
        <v>5.3814102564102564</v>
      </c>
      <c r="E60" s="207">
        <f>'R-Definição'!M26</f>
        <v>0</v>
      </c>
      <c r="F60" s="207">
        <f>'R-Definição'!N26</f>
        <v>0</v>
      </c>
      <c r="G60" s="207">
        <f>'R-Definição'!O26</f>
        <v>5.3814102564102564</v>
      </c>
      <c r="H60" s="706"/>
      <c r="I60" s="455"/>
      <c r="J60" s="455"/>
      <c r="K60" s="455"/>
      <c r="L60" s="2"/>
      <c r="M60" s="2"/>
      <c r="N60" s="2"/>
      <c r="O60" s="2"/>
      <c r="P60" s="2"/>
      <c r="Q60" s="2"/>
      <c r="R60" s="2"/>
      <c r="S60" s="2"/>
      <c r="T60" s="2"/>
    </row>
    <row r="61" spans="1:20" ht="18" customHeight="1" x14ac:dyDescent="0.25">
      <c r="A61" s="2"/>
      <c r="B61" s="2790"/>
      <c r="C61" s="217" t="s">
        <v>31</v>
      </c>
      <c r="D61" s="207">
        <f t="shared" si="0"/>
        <v>2.8076923076923079</v>
      </c>
      <c r="E61" s="207">
        <f>'R-Definição'!M27</f>
        <v>0</v>
      </c>
      <c r="F61" s="207">
        <f>'R-Definição'!N27</f>
        <v>0</v>
      </c>
      <c r="G61" s="207">
        <f>'R-Definição'!O27</f>
        <v>2.8076923076923079</v>
      </c>
      <c r="H61" s="706"/>
      <c r="I61" s="455"/>
      <c r="J61" s="455"/>
      <c r="K61" s="455"/>
      <c r="L61" s="2"/>
      <c r="M61" s="2"/>
      <c r="N61" s="2"/>
      <c r="O61" s="2"/>
      <c r="P61" s="2"/>
      <c r="Q61" s="2"/>
      <c r="R61" s="2"/>
      <c r="S61" s="2"/>
      <c r="T61" s="2"/>
    </row>
    <row r="62" spans="1:20" ht="18" customHeight="1" x14ac:dyDescent="0.25">
      <c r="A62" s="2"/>
      <c r="B62" s="2790"/>
      <c r="C62" s="217" t="s">
        <v>32</v>
      </c>
      <c r="D62" s="207">
        <f t="shared" si="0"/>
        <v>2.6907051282051282</v>
      </c>
      <c r="E62" s="207">
        <f>'R-Definição'!M28</f>
        <v>0</v>
      </c>
      <c r="F62" s="207">
        <f>'R-Definição'!N28</f>
        <v>0</v>
      </c>
      <c r="G62" s="207">
        <f>'R-Definição'!O28</f>
        <v>2.6907051282051282</v>
      </c>
      <c r="H62" s="706"/>
      <c r="I62" s="455"/>
      <c r="J62" s="706">
        <f>'R-Definição'!O107</f>
        <v>0</v>
      </c>
      <c r="K62" s="455"/>
      <c r="L62" s="2"/>
      <c r="M62" s="2"/>
      <c r="N62" s="2"/>
      <c r="O62" s="2"/>
      <c r="P62" s="2"/>
      <c r="Q62" s="2"/>
      <c r="R62" s="2"/>
      <c r="S62" s="2"/>
      <c r="T62" s="2"/>
    </row>
    <row r="63" spans="1:20" ht="18" customHeight="1" x14ac:dyDescent="0.25">
      <c r="A63" s="2"/>
      <c r="B63" s="2790"/>
      <c r="C63" s="217" t="s">
        <v>83</v>
      </c>
      <c r="D63" s="207">
        <f t="shared" si="0"/>
        <v>0.70192307692307698</v>
      </c>
      <c r="E63" s="207">
        <f>'R-Definição'!M29</f>
        <v>0</v>
      </c>
      <c r="F63" s="207">
        <f>'R-Definição'!N29</f>
        <v>0</v>
      </c>
      <c r="G63" s="207">
        <f>'R-Definição'!O29</f>
        <v>0.70192307692307698</v>
      </c>
      <c r="H63" s="706"/>
      <c r="I63" s="455"/>
      <c r="J63" s="706">
        <f>'R-Definição'!O108</f>
        <v>0</v>
      </c>
      <c r="K63" s="455"/>
      <c r="L63" s="2"/>
      <c r="M63" s="2"/>
      <c r="N63" s="2"/>
      <c r="O63" s="2"/>
      <c r="P63" s="2"/>
      <c r="Q63" s="2"/>
      <c r="R63" s="2"/>
      <c r="S63" s="2"/>
      <c r="T63" s="2"/>
    </row>
    <row r="64" spans="1:20" ht="18" customHeight="1" x14ac:dyDescent="0.25">
      <c r="A64" s="2"/>
      <c r="B64" s="2790"/>
      <c r="C64" s="680" t="s">
        <v>464</v>
      </c>
      <c r="D64" s="224">
        <f t="shared" si="0"/>
        <v>37.318910256410263</v>
      </c>
      <c r="E64" s="225">
        <f>SUM(E58:E63)</f>
        <v>0</v>
      </c>
      <c r="F64" s="225">
        <f>SUM(F58:F63)</f>
        <v>0</v>
      </c>
      <c r="G64" s="225">
        <f>SUM(G58:G63)</f>
        <v>37.318910256410263</v>
      </c>
      <c r="H64" s="218"/>
      <c r="I64" s="456"/>
      <c r="J64" s="226">
        <f>SUM(J58:J63)</f>
        <v>0</v>
      </c>
      <c r="K64" s="456"/>
      <c r="L64" s="2"/>
      <c r="M64" s="2"/>
      <c r="N64" s="2"/>
      <c r="O64" s="2"/>
      <c r="P64" s="2"/>
      <c r="Q64" s="2"/>
      <c r="R64" s="2"/>
      <c r="S64" s="2"/>
      <c r="T64" s="2"/>
    </row>
    <row r="65" spans="1:20" ht="18" customHeight="1" x14ac:dyDescent="0.25">
      <c r="A65" s="2"/>
      <c r="B65" s="2790"/>
      <c r="C65" s="454" t="s">
        <v>21</v>
      </c>
      <c r="D65" s="207"/>
      <c r="E65" s="455"/>
      <c r="F65" s="455"/>
      <c r="G65" s="455"/>
      <c r="H65" s="706"/>
      <c r="I65" s="455"/>
      <c r="J65" s="455"/>
      <c r="K65" s="455"/>
      <c r="L65" s="2"/>
      <c r="M65" s="2"/>
      <c r="N65" s="2"/>
      <c r="O65" s="2"/>
      <c r="P65" s="2"/>
      <c r="Q65" s="2"/>
      <c r="R65" s="2"/>
      <c r="S65" s="2"/>
      <c r="T65" s="2"/>
    </row>
    <row r="66" spans="1:20" ht="18" customHeight="1" x14ac:dyDescent="0.25">
      <c r="A66" s="2"/>
      <c r="B66" s="2789" t="s">
        <v>229</v>
      </c>
      <c r="C66" s="217" t="s">
        <v>230</v>
      </c>
      <c r="D66" s="207">
        <f>SUM(E66:K66)</f>
        <v>0</v>
      </c>
      <c r="E66" s="455"/>
      <c r="F66" s="455"/>
      <c r="G66" s="455"/>
      <c r="H66" s="706"/>
      <c r="I66" s="706">
        <f>'R-Definição'!O67</f>
        <v>0</v>
      </c>
      <c r="J66" s="455"/>
      <c r="K66" s="455"/>
      <c r="L66" s="2"/>
      <c r="M66" s="2"/>
      <c r="N66" s="2"/>
      <c r="O66" s="2"/>
      <c r="P66" s="2"/>
      <c r="Q66" s="2"/>
      <c r="R66" s="2"/>
      <c r="S66" s="2"/>
      <c r="T66" s="2"/>
    </row>
    <row r="67" spans="1:20" ht="18" customHeight="1" x14ac:dyDescent="0.25">
      <c r="A67" s="2"/>
      <c r="B67" s="2790"/>
      <c r="C67" s="217" t="s">
        <v>231</v>
      </c>
      <c r="D67" s="207">
        <f>SUM(E67:K67)</f>
        <v>0</v>
      </c>
      <c r="E67" s="455"/>
      <c r="F67" s="455"/>
      <c r="G67" s="455"/>
      <c r="H67" s="706"/>
      <c r="I67" s="706">
        <f>IF('R-Definição'!I72&lt;&gt;"Cobertura de aterro sanitário",'R-Definição'!O68,0)</f>
        <v>0</v>
      </c>
      <c r="J67" s="455"/>
      <c r="K67" s="455"/>
      <c r="L67" s="2"/>
      <c r="M67" s="2"/>
      <c r="N67" s="2"/>
      <c r="O67" s="2"/>
      <c r="P67" s="2"/>
      <c r="Q67" s="2"/>
      <c r="R67" s="2"/>
      <c r="S67" s="2"/>
      <c r="T67" s="2"/>
    </row>
    <row r="68" spans="1:20" ht="18" customHeight="1" x14ac:dyDescent="0.25">
      <c r="A68" s="2"/>
      <c r="B68" s="2790"/>
      <c r="C68" s="217" t="s">
        <v>504</v>
      </c>
      <c r="D68" s="207">
        <f>SUM(E68:K68)</f>
        <v>0</v>
      </c>
      <c r="E68" s="207"/>
      <c r="F68" s="207"/>
      <c r="G68" s="207"/>
      <c r="H68" s="207"/>
      <c r="I68" s="207">
        <f>IF('R-Definição'!I72="Cobertura de aterro sanitário",'R-Definição'!O68,0)</f>
        <v>0</v>
      </c>
      <c r="J68" s="207"/>
      <c r="K68" s="207"/>
      <c r="L68" s="2"/>
      <c r="M68" s="2"/>
      <c r="N68" s="2"/>
      <c r="O68" s="2"/>
      <c r="P68" s="2"/>
      <c r="Q68" s="2"/>
      <c r="R68" s="2"/>
      <c r="S68" s="2"/>
      <c r="T68" s="2"/>
    </row>
    <row r="69" spans="1:20" ht="18" customHeight="1" x14ac:dyDescent="0.25">
      <c r="A69" s="2"/>
      <c r="B69" s="2790"/>
      <c r="C69" s="680" t="s">
        <v>505</v>
      </c>
      <c r="D69" s="224">
        <f>SUM(D66:D67)</f>
        <v>0</v>
      </c>
      <c r="E69" s="454"/>
      <c r="F69" s="454"/>
      <c r="G69" s="454"/>
      <c r="H69" s="218"/>
      <c r="I69" s="218">
        <f>SUM(I66:I68)</f>
        <v>0</v>
      </c>
      <c r="J69" s="456"/>
      <c r="K69" s="456"/>
      <c r="L69" s="2"/>
      <c r="M69" s="2"/>
      <c r="N69" s="2"/>
      <c r="O69" s="2"/>
      <c r="P69" s="2"/>
      <c r="Q69" s="2"/>
      <c r="R69" s="2"/>
      <c r="S69" s="2"/>
      <c r="T69" s="2"/>
    </row>
    <row r="70" spans="1:20" ht="18" customHeight="1" x14ac:dyDescent="0.25">
      <c r="A70" s="2"/>
      <c r="B70" s="2790"/>
      <c r="C70" s="454" t="s">
        <v>21</v>
      </c>
      <c r="D70" s="207"/>
      <c r="E70" s="455"/>
      <c r="F70" s="455"/>
      <c r="G70" s="455"/>
      <c r="H70" s="706"/>
      <c r="I70" s="455"/>
      <c r="J70" s="455"/>
      <c r="K70" s="455"/>
      <c r="L70" s="2"/>
      <c r="M70" s="2"/>
      <c r="N70" s="2"/>
      <c r="O70" s="2"/>
      <c r="P70" s="2"/>
      <c r="Q70" s="2"/>
      <c r="R70" s="2"/>
      <c r="S70" s="2"/>
      <c r="T70" s="2"/>
    </row>
    <row r="71" spans="1:20" ht="18" customHeight="1" x14ac:dyDescent="0.25">
      <c r="A71" s="2"/>
      <c r="B71" s="2790" t="s">
        <v>61</v>
      </c>
      <c r="C71" s="217" t="s">
        <v>232</v>
      </c>
      <c r="D71" s="207">
        <f>SUM(E71:K71)</f>
        <v>0</v>
      </c>
      <c r="E71" s="455"/>
      <c r="F71" s="455"/>
      <c r="G71" s="455"/>
      <c r="H71" s="706">
        <f>'R-Definição'!O49</f>
        <v>0</v>
      </c>
      <c r="I71" s="455"/>
      <c r="J71" s="455"/>
      <c r="K71" s="455"/>
      <c r="L71" s="2"/>
      <c r="M71" s="2"/>
      <c r="N71" s="2"/>
      <c r="O71" s="2"/>
      <c r="P71" s="2"/>
      <c r="Q71" s="2"/>
      <c r="R71" s="2"/>
      <c r="S71" s="2"/>
      <c r="T71" s="2"/>
    </row>
    <row r="72" spans="1:20" ht="18" customHeight="1" x14ac:dyDescent="0.25">
      <c r="A72" s="2"/>
      <c r="B72" s="2790"/>
      <c r="C72" s="217" t="s">
        <v>233</v>
      </c>
      <c r="D72" s="207">
        <f>SUM(E72:K72)</f>
        <v>162.06584935897433</v>
      </c>
      <c r="E72" s="455"/>
      <c r="F72" s="455"/>
      <c r="G72" s="455"/>
      <c r="H72" s="706">
        <f>'R-Definição'!O50</f>
        <v>162.06584935897433</v>
      </c>
      <c r="I72" s="455"/>
      <c r="J72" s="455"/>
      <c r="K72" s="455"/>
      <c r="L72" s="2"/>
      <c r="M72" s="2"/>
      <c r="N72" s="2"/>
      <c r="O72" s="2"/>
      <c r="P72" s="2"/>
      <c r="Q72" s="2"/>
      <c r="R72" s="2"/>
      <c r="S72" s="2"/>
      <c r="T72" s="2"/>
    </row>
    <row r="73" spans="1:20" ht="18" customHeight="1" x14ac:dyDescent="0.25">
      <c r="A73" s="2"/>
      <c r="B73" s="2790"/>
      <c r="C73" s="454" t="s">
        <v>506</v>
      </c>
      <c r="D73" s="224">
        <f>SUM(D71:D72)</f>
        <v>162.06584935897433</v>
      </c>
      <c r="E73" s="454"/>
      <c r="F73" s="454"/>
      <c r="G73" s="454"/>
      <c r="H73" s="218"/>
      <c r="I73" s="456"/>
      <c r="J73" s="456"/>
      <c r="K73" s="456"/>
      <c r="L73" s="2"/>
      <c r="M73" s="2"/>
      <c r="N73" s="2"/>
      <c r="O73" s="2"/>
      <c r="P73" s="2"/>
      <c r="Q73" s="2"/>
      <c r="R73" s="2"/>
      <c r="S73" s="2"/>
      <c r="T73" s="2"/>
    </row>
    <row r="74" spans="1:20" ht="18" customHeight="1" x14ac:dyDescent="0.25">
      <c r="A74" s="2"/>
      <c r="B74" s="217" t="s">
        <v>234</v>
      </c>
      <c r="C74" s="217" t="s">
        <v>235</v>
      </c>
      <c r="D74" s="702">
        <f>SUM(E74:K74)</f>
        <v>0</v>
      </c>
      <c r="E74" s="702"/>
      <c r="F74" s="702"/>
      <c r="G74" s="702"/>
      <c r="H74" s="703"/>
      <c r="I74" s="702">
        <f>'R-Definição'!O69</f>
        <v>0</v>
      </c>
      <c r="J74" s="702">
        <f>'R-Definição'!O111</f>
        <v>0</v>
      </c>
      <c r="K74" s="702">
        <f>'R-Definição'!J127</f>
        <v>0</v>
      </c>
      <c r="L74" s="2"/>
      <c r="M74" s="2"/>
      <c r="N74" s="2"/>
      <c r="O74" s="2"/>
      <c r="P74" s="2"/>
      <c r="Q74" s="2"/>
      <c r="R74" s="2"/>
      <c r="S74" s="2"/>
      <c r="T74" s="2"/>
    </row>
    <row r="75" spans="1:20" ht="18" customHeight="1" x14ac:dyDescent="0.25">
      <c r="A75" s="2"/>
      <c r="B75" s="217" t="s">
        <v>236</v>
      </c>
      <c r="C75" s="217" t="s">
        <v>701</v>
      </c>
      <c r="D75" s="702">
        <f>SUM(E75:K75)</f>
        <v>0</v>
      </c>
      <c r="E75" s="702"/>
      <c r="F75" s="702"/>
      <c r="G75" s="702"/>
      <c r="H75" s="703"/>
      <c r="I75" s="702">
        <f>'R-Definição'!O70</f>
        <v>0</v>
      </c>
      <c r="J75" s="702"/>
      <c r="K75" s="702">
        <f>'R-Definição'!J128</f>
        <v>0</v>
      </c>
      <c r="L75" s="2"/>
      <c r="M75" s="2"/>
      <c r="N75" s="2"/>
      <c r="O75" s="2"/>
      <c r="P75" s="2"/>
      <c r="Q75" s="2"/>
      <c r="R75" s="2"/>
      <c r="S75" s="2"/>
      <c r="T75" s="2"/>
    </row>
    <row r="76" spans="1:20" ht="18" customHeight="1" x14ac:dyDescent="0.25">
      <c r="A76" s="2"/>
      <c r="B76" s="217" t="s">
        <v>237</v>
      </c>
      <c r="C76" s="217" t="s">
        <v>21</v>
      </c>
      <c r="D76" s="704">
        <f>SUM(E76:K76)</f>
        <v>0</v>
      </c>
      <c r="E76" s="705"/>
      <c r="F76" s="705"/>
      <c r="G76" s="705"/>
      <c r="H76" s="703"/>
      <c r="I76" s="705"/>
      <c r="J76" s="703">
        <f>'R-Definição'!O109</f>
        <v>0</v>
      </c>
      <c r="K76" s="705"/>
      <c r="L76" s="2"/>
      <c r="M76" s="2"/>
      <c r="N76" s="2"/>
      <c r="O76" s="2"/>
      <c r="P76" s="2"/>
      <c r="Q76" s="2"/>
      <c r="R76" s="2"/>
      <c r="S76" s="2"/>
      <c r="T76" s="2"/>
    </row>
    <row r="77" spans="1:20" ht="12.75" customHeight="1" x14ac:dyDescent="0.25">
      <c r="A77" s="2"/>
      <c r="B77" s="2"/>
      <c r="C77" s="2"/>
      <c r="D77" s="2"/>
      <c r="E77" s="2"/>
      <c r="F77" s="2"/>
      <c r="G77" s="2"/>
      <c r="H77" s="2"/>
      <c r="I77" s="2"/>
      <c r="J77" s="2"/>
      <c r="K77" s="2"/>
      <c r="L77" s="2"/>
      <c r="M77" s="2"/>
      <c r="N77" s="2"/>
      <c r="O77" s="2"/>
      <c r="P77" s="2"/>
      <c r="Q77" s="2"/>
      <c r="R77" s="2"/>
      <c r="S77" s="2"/>
      <c r="T77" s="2"/>
    </row>
    <row r="78" spans="1:20" ht="12.75" customHeight="1" x14ac:dyDescent="0.25">
      <c r="A78" s="2"/>
      <c r="B78" s="2"/>
      <c r="C78" s="2"/>
      <c r="D78" s="2"/>
      <c r="E78" s="2"/>
      <c r="F78" s="2"/>
      <c r="G78" s="2"/>
      <c r="H78" s="2"/>
      <c r="I78" s="2"/>
      <c r="J78" s="2"/>
      <c r="K78" s="2"/>
      <c r="L78" s="2"/>
      <c r="M78" s="2"/>
      <c r="N78" s="2"/>
      <c r="O78" s="2"/>
      <c r="P78" s="2"/>
      <c r="Q78" s="2"/>
      <c r="R78" s="2"/>
      <c r="S78" s="2"/>
      <c r="T78" s="2"/>
    </row>
    <row r="79" spans="1:20" ht="13.5" customHeight="1" x14ac:dyDescent="0.25">
      <c r="A79" s="2"/>
      <c r="B79" s="2"/>
      <c r="C79" s="2"/>
      <c r="D79" s="2"/>
      <c r="E79" s="2"/>
      <c r="F79" s="2"/>
      <c r="G79" s="2"/>
      <c r="H79" s="2"/>
      <c r="I79" s="2"/>
      <c r="J79" s="2"/>
      <c r="K79" s="2"/>
      <c r="L79" s="2"/>
      <c r="M79" s="2"/>
      <c r="N79" s="2"/>
      <c r="O79" s="2"/>
      <c r="P79" s="2"/>
      <c r="Q79" s="2"/>
      <c r="R79" s="2"/>
      <c r="S79" s="2"/>
      <c r="T79" s="2"/>
    </row>
    <row r="80" spans="1:20" ht="13.5" customHeight="1" x14ac:dyDescent="0.25">
      <c r="A80" s="2"/>
      <c r="B80" s="2"/>
      <c r="C80" s="2"/>
      <c r="D80" s="2"/>
      <c r="E80" s="2"/>
      <c r="F80" s="2"/>
      <c r="G80" s="2"/>
      <c r="H80" s="2"/>
      <c r="I80" s="2"/>
      <c r="J80" s="2"/>
      <c r="K80" s="2"/>
      <c r="L80" s="2"/>
      <c r="M80" s="2"/>
      <c r="N80" s="2"/>
      <c r="O80" s="2"/>
      <c r="P80" s="2"/>
      <c r="Q80" s="2"/>
      <c r="R80" s="2"/>
      <c r="S80" s="2"/>
      <c r="T80" s="2"/>
    </row>
    <row r="81" spans="1:20" ht="13.5" customHeight="1" x14ac:dyDescent="0.25">
      <c r="A81" s="2"/>
      <c r="B81" s="2"/>
      <c r="C81" s="2"/>
      <c r="D81" s="2"/>
      <c r="E81" s="2"/>
      <c r="F81" s="2"/>
      <c r="G81" s="2"/>
      <c r="H81" s="2"/>
      <c r="I81" s="2"/>
      <c r="J81" s="2"/>
      <c r="K81" s="2"/>
      <c r="L81" s="2"/>
      <c r="M81" s="2"/>
      <c r="N81" s="2"/>
      <c r="O81" s="2"/>
      <c r="P81" s="2"/>
      <c r="Q81" s="2"/>
      <c r="R81" s="2"/>
      <c r="S81" s="2"/>
      <c r="T81" s="2"/>
    </row>
    <row r="82" spans="1:20" ht="13.5" customHeight="1" x14ac:dyDescent="0.25">
      <c r="A82" s="2"/>
      <c r="B82" s="2"/>
      <c r="C82" s="2"/>
      <c r="D82" s="2"/>
      <c r="E82" s="2"/>
      <c r="F82" s="2"/>
      <c r="G82" s="2"/>
      <c r="H82" s="2"/>
      <c r="I82" s="2"/>
      <c r="J82" s="2"/>
      <c r="K82" s="2"/>
      <c r="L82" s="2"/>
      <c r="M82" s="2"/>
      <c r="N82" s="2"/>
      <c r="O82" s="2"/>
      <c r="P82" s="2"/>
      <c r="Q82" s="2"/>
      <c r="R82" s="2"/>
      <c r="S82" s="2"/>
      <c r="T82" s="2"/>
    </row>
    <row r="83" spans="1:20" ht="13.5" customHeight="1" x14ac:dyDescent="0.25">
      <c r="A83" s="2"/>
      <c r="B83" s="2"/>
      <c r="C83" s="2"/>
      <c r="D83" s="2"/>
      <c r="E83" s="2"/>
      <c r="F83" s="2"/>
      <c r="G83" s="2"/>
      <c r="H83" s="2"/>
      <c r="I83" s="2"/>
      <c r="J83" s="2"/>
      <c r="K83" s="2"/>
      <c r="L83" s="2"/>
      <c r="M83" s="2"/>
      <c r="N83" s="2"/>
      <c r="O83" s="2"/>
      <c r="P83" s="2"/>
      <c r="Q83" s="2"/>
      <c r="R83" s="2"/>
      <c r="S83" s="2"/>
      <c r="T83" s="2"/>
    </row>
    <row r="84" spans="1:20" ht="13.5" customHeight="1" x14ac:dyDescent="0.25">
      <c r="A84" s="2"/>
      <c r="B84" s="2"/>
      <c r="C84" s="2"/>
      <c r="D84" s="2"/>
      <c r="E84" s="2"/>
      <c r="F84" s="2"/>
      <c r="G84" s="2"/>
      <c r="H84" s="2"/>
      <c r="I84" s="2"/>
      <c r="J84" s="2"/>
      <c r="K84" s="2"/>
      <c r="L84" s="2"/>
      <c r="M84" s="2"/>
      <c r="N84" s="2"/>
      <c r="O84" s="2"/>
      <c r="P84" s="2"/>
      <c r="Q84" s="2"/>
      <c r="R84" s="2"/>
      <c r="S84" s="2"/>
      <c r="T84" s="2"/>
    </row>
    <row r="85" spans="1:20" ht="13.5" customHeight="1" x14ac:dyDescent="0.25">
      <c r="A85" s="2"/>
      <c r="B85" s="2"/>
      <c r="C85" s="2"/>
      <c r="D85" s="2"/>
      <c r="E85" s="2"/>
      <c r="F85" s="2"/>
      <c r="G85" s="2"/>
      <c r="H85" s="2"/>
      <c r="I85" s="2"/>
      <c r="J85" s="22"/>
      <c r="K85" s="22"/>
      <c r="L85" s="2"/>
      <c r="M85" s="2"/>
      <c r="N85" s="2"/>
      <c r="O85" s="2"/>
      <c r="P85" s="2"/>
      <c r="Q85" s="2"/>
      <c r="R85" s="2"/>
      <c r="S85" s="2"/>
      <c r="T85" s="2"/>
    </row>
    <row r="86" spans="1:20" ht="13.5" customHeight="1" x14ac:dyDescent="0.25">
      <c r="A86" s="2"/>
      <c r="B86" s="2"/>
      <c r="C86" s="2"/>
      <c r="D86" s="2"/>
      <c r="E86" s="2"/>
      <c r="F86" s="2"/>
      <c r="G86" s="2"/>
      <c r="H86" s="2"/>
      <c r="I86" s="2"/>
      <c r="J86" s="22"/>
      <c r="K86" s="22"/>
      <c r="L86" s="22"/>
      <c r="M86" s="2"/>
      <c r="N86" s="2"/>
      <c r="O86" s="2"/>
      <c r="P86" s="2"/>
      <c r="Q86" s="2"/>
      <c r="R86" s="2"/>
      <c r="S86" s="2"/>
      <c r="T86" s="2"/>
    </row>
    <row r="87" spans="1:20" ht="13.5" customHeight="1" x14ac:dyDescent="0.25">
      <c r="A87" s="2"/>
      <c r="B87" s="2"/>
      <c r="C87" s="2"/>
      <c r="D87" s="2"/>
      <c r="E87" s="2"/>
      <c r="F87" s="19"/>
      <c r="G87" s="2"/>
      <c r="H87" s="2"/>
      <c r="I87" s="2"/>
      <c r="J87" s="2"/>
      <c r="K87" s="2"/>
      <c r="L87" s="22"/>
      <c r="M87" s="2"/>
      <c r="N87" s="2"/>
      <c r="O87" s="2"/>
      <c r="P87" s="2"/>
      <c r="Q87" s="2"/>
      <c r="R87" s="2"/>
      <c r="S87" s="2"/>
      <c r="T87" s="2"/>
    </row>
    <row r="88" spans="1:20" ht="13.5" customHeight="1" x14ac:dyDescent="0.25">
      <c r="A88" s="2"/>
      <c r="B88" s="2"/>
      <c r="C88" s="2"/>
      <c r="D88" s="2"/>
      <c r="E88" s="2"/>
      <c r="F88" s="2"/>
      <c r="G88" s="2"/>
      <c r="H88" s="2"/>
      <c r="I88" s="2"/>
      <c r="J88" s="2"/>
      <c r="K88" s="2"/>
      <c r="L88" s="2"/>
      <c r="M88" s="2"/>
      <c r="N88" s="2"/>
      <c r="O88" s="2"/>
      <c r="P88" s="2"/>
      <c r="Q88" s="2"/>
      <c r="R88" s="2"/>
      <c r="S88" s="2"/>
      <c r="T88" s="2"/>
    </row>
    <row r="89" spans="1:20" ht="13.5" customHeight="1" x14ac:dyDescent="0.25">
      <c r="A89" s="2"/>
      <c r="B89" s="2"/>
      <c r="C89" s="2"/>
      <c r="D89" s="2"/>
      <c r="E89" s="2"/>
      <c r="F89" s="2"/>
      <c r="G89" s="2"/>
      <c r="H89" s="2"/>
      <c r="I89" s="2"/>
      <c r="J89" s="2"/>
      <c r="K89" s="2"/>
      <c r="L89" s="2"/>
      <c r="M89" s="2"/>
      <c r="N89" s="2"/>
      <c r="O89" s="2"/>
      <c r="P89" s="2"/>
      <c r="Q89" s="2"/>
      <c r="R89" s="2"/>
      <c r="S89" s="2"/>
      <c r="T89" s="2"/>
    </row>
    <row r="90" spans="1:20" ht="13.5" customHeight="1" x14ac:dyDescent="0.25">
      <c r="A90" s="2"/>
      <c r="B90" s="2"/>
      <c r="C90" s="2"/>
      <c r="D90" s="2"/>
      <c r="E90" s="2"/>
      <c r="F90" s="2"/>
      <c r="G90" s="2"/>
      <c r="H90" s="2"/>
      <c r="I90" s="2"/>
      <c r="J90" s="2"/>
      <c r="K90" s="2"/>
      <c r="L90" s="2"/>
      <c r="M90" s="2"/>
      <c r="N90" s="2"/>
      <c r="O90" s="2"/>
      <c r="P90" s="2"/>
      <c r="Q90" s="2"/>
      <c r="R90" s="2"/>
      <c r="S90" s="2"/>
      <c r="T90" s="2"/>
    </row>
    <row r="91" spans="1:20" ht="13.5" customHeight="1" x14ac:dyDescent="0.25">
      <c r="A91" s="2"/>
      <c r="B91" s="2"/>
      <c r="C91" s="2"/>
      <c r="D91" s="2"/>
      <c r="E91" s="2"/>
      <c r="F91" s="2"/>
      <c r="G91" s="2"/>
      <c r="H91" s="2"/>
      <c r="I91" s="2"/>
      <c r="J91" s="2"/>
      <c r="K91" s="2"/>
      <c r="L91" s="2"/>
      <c r="M91" s="2"/>
      <c r="N91" s="2"/>
      <c r="O91" s="2"/>
      <c r="P91" s="2"/>
      <c r="Q91" s="2"/>
      <c r="R91" s="2"/>
      <c r="S91" s="2"/>
      <c r="T91" s="2"/>
    </row>
    <row r="92" spans="1:20" ht="6" customHeight="1" x14ac:dyDescent="0.25">
      <c r="A92" s="2"/>
      <c r="B92" s="2"/>
      <c r="C92" s="2"/>
      <c r="D92" s="2"/>
      <c r="E92" s="2"/>
      <c r="F92" s="2"/>
      <c r="G92" s="2"/>
      <c r="H92" s="2"/>
      <c r="I92" s="2"/>
      <c r="J92" s="2"/>
      <c r="K92" s="2"/>
      <c r="L92" s="2"/>
      <c r="M92" s="2"/>
      <c r="N92" s="2"/>
      <c r="O92" s="2"/>
      <c r="P92" s="2"/>
      <c r="Q92" s="2"/>
      <c r="R92" s="2"/>
      <c r="S92" s="2"/>
      <c r="T92" s="2"/>
    </row>
    <row r="93" spans="1:20" ht="13.5" customHeight="1" x14ac:dyDescent="0.25">
      <c r="A93" s="2"/>
      <c r="B93" s="2"/>
      <c r="C93" s="2"/>
      <c r="D93" s="2"/>
      <c r="E93" s="2"/>
      <c r="F93" s="2"/>
      <c r="G93" s="2"/>
      <c r="H93" s="2"/>
      <c r="I93" s="2"/>
      <c r="J93" s="2"/>
      <c r="K93" s="2"/>
      <c r="L93" s="2"/>
      <c r="M93" s="2"/>
      <c r="N93" s="2"/>
      <c r="O93" s="2"/>
      <c r="P93" s="2"/>
      <c r="Q93" s="2"/>
      <c r="R93" s="2"/>
      <c r="S93" s="2"/>
      <c r="T93" s="2"/>
    </row>
    <row r="94" spans="1:20" ht="13.5" customHeight="1" x14ac:dyDescent="0.25">
      <c r="A94" s="2"/>
      <c r="B94" s="2"/>
      <c r="C94" s="2"/>
      <c r="D94" s="2"/>
      <c r="E94" s="2"/>
      <c r="F94" s="2"/>
      <c r="G94" s="2"/>
      <c r="H94" s="2"/>
      <c r="I94" s="2"/>
      <c r="J94" s="2"/>
      <c r="K94" s="2"/>
      <c r="L94" s="2"/>
      <c r="M94" s="2"/>
      <c r="N94" s="2"/>
      <c r="O94" s="2"/>
      <c r="P94" s="2"/>
      <c r="Q94" s="2"/>
      <c r="R94" s="2"/>
      <c r="S94" s="2"/>
      <c r="T94" s="2"/>
    </row>
    <row r="95" spans="1:20" ht="13.5" customHeight="1" x14ac:dyDescent="0.25">
      <c r="A95" s="2"/>
      <c r="B95" s="2"/>
      <c r="C95" s="2"/>
      <c r="D95" s="2"/>
      <c r="E95" s="2"/>
      <c r="F95" s="2"/>
      <c r="G95" s="2"/>
      <c r="H95" s="2"/>
      <c r="I95" s="2"/>
      <c r="J95" s="2"/>
      <c r="K95" s="2"/>
      <c r="L95" s="2"/>
      <c r="M95" s="2"/>
      <c r="N95" s="2"/>
      <c r="O95" s="2"/>
      <c r="P95" s="2"/>
      <c r="Q95" s="2"/>
      <c r="R95" s="2"/>
      <c r="S95" s="2"/>
      <c r="T95" s="2"/>
    </row>
    <row r="96" spans="1:20" ht="13.5" customHeight="1" x14ac:dyDescent="0.25">
      <c r="A96" s="2"/>
      <c r="B96" s="2"/>
      <c r="C96" s="2"/>
      <c r="D96" s="2"/>
      <c r="E96" s="2"/>
      <c r="F96" s="2"/>
      <c r="G96" s="2"/>
      <c r="H96" s="2"/>
      <c r="I96" s="2"/>
      <c r="J96" s="2"/>
      <c r="K96" s="2"/>
      <c r="L96" s="2"/>
      <c r="M96" s="2"/>
      <c r="N96" s="2"/>
      <c r="O96" s="2"/>
      <c r="P96" s="2"/>
      <c r="Q96" s="2"/>
      <c r="R96" s="2"/>
      <c r="S96" s="2"/>
      <c r="T96" s="2"/>
    </row>
    <row r="97" spans="1:20" ht="3.75" customHeight="1" x14ac:dyDescent="0.25">
      <c r="A97" s="2"/>
      <c r="B97" s="2"/>
      <c r="C97" s="2"/>
      <c r="D97" s="2"/>
      <c r="E97" s="2"/>
      <c r="F97" s="2"/>
      <c r="G97" s="2"/>
      <c r="H97" s="2"/>
      <c r="I97" s="2"/>
      <c r="J97" s="2"/>
      <c r="K97" s="2"/>
      <c r="L97" s="2"/>
      <c r="M97" s="2"/>
      <c r="N97" s="2"/>
      <c r="O97" s="2"/>
      <c r="P97" s="2"/>
      <c r="Q97" s="2"/>
      <c r="R97" s="2"/>
      <c r="S97" s="2"/>
      <c r="T97" s="2"/>
    </row>
    <row r="98" spans="1:20" ht="13.5" customHeight="1" x14ac:dyDescent="0.25">
      <c r="A98" s="2"/>
      <c r="B98" s="2"/>
      <c r="C98" s="2"/>
      <c r="D98" s="2"/>
      <c r="E98" s="2"/>
      <c r="F98" s="2"/>
      <c r="G98" s="2"/>
      <c r="H98" s="2"/>
      <c r="I98" s="2"/>
      <c r="J98" s="2"/>
      <c r="K98" s="2"/>
      <c r="L98" s="2"/>
      <c r="M98" s="2"/>
      <c r="N98" s="2"/>
      <c r="O98" s="2"/>
      <c r="P98" s="2"/>
      <c r="Q98" s="2"/>
      <c r="R98" s="2"/>
      <c r="S98" s="2"/>
      <c r="T98" s="2"/>
    </row>
    <row r="99" spans="1:20" ht="13.5" customHeight="1" x14ac:dyDescent="0.25">
      <c r="A99" s="2"/>
      <c r="B99" s="2"/>
      <c r="C99" s="2"/>
      <c r="D99" s="2"/>
      <c r="E99" s="2"/>
      <c r="F99" s="2"/>
      <c r="G99" s="2"/>
      <c r="H99" s="2"/>
      <c r="I99" s="2"/>
      <c r="J99" s="2"/>
      <c r="K99" s="2"/>
      <c r="L99" s="2"/>
      <c r="M99" s="2"/>
      <c r="N99" s="2"/>
      <c r="O99" s="2"/>
      <c r="P99" s="2"/>
      <c r="Q99" s="2"/>
      <c r="R99" s="2"/>
      <c r="S99" s="2"/>
      <c r="T99" s="2"/>
    </row>
    <row r="100" spans="1:20" ht="13.5" customHeight="1" x14ac:dyDescent="0.25">
      <c r="A100" s="2"/>
      <c r="B100" s="2"/>
      <c r="C100" s="2"/>
      <c r="D100" s="2"/>
      <c r="E100" s="2"/>
      <c r="F100" s="2"/>
      <c r="G100" s="2"/>
      <c r="H100" s="2"/>
      <c r="I100" s="2"/>
      <c r="J100" s="2"/>
      <c r="K100" s="2"/>
      <c r="L100" s="2"/>
      <c r="M100" s="2"/>
      <c r="N100" s="2"/>
      <c r="O100" s="2"/>
      <c r="P100" s="2"/>
      <c r="Q100" s="2"/>
      <c r="R100" s="2"/>
      <c r="S100" s="2"/>
      <c r="T100" s="2"/>
    </row>
    <row r="101" spans="1:20" ht="13.5" customHeight="1" x14ac:dyDescent="0.25">
      <c r="A101" s="2"/>
      <c r="B101" s="2"/>
      <c r="C101" s="2"/>
      <c r="D101" s="2"/>
      <c r="E101" s="2"/>
      <c r="F101" s="2"/>
      <c r="G101" s="2"/>
      <c r="H101" s="2"/>
      <c r="I101" s="2"/>
      <c r="J101" s="2"/>
      <c r="K101" s="2"/>
      <c r="L101" s="2"/>
      <c r="M101" s="2"/>
      <c r="N101" s="2"/>
      <c r="O101" s="2"/>
      <c r="P101" s="2"/>
      <c r="Q101" s="2"/>
      <c r="R101" s="2"/>
      <c r="S101" s="2"/>
      <c r="T101" s="2"/>
    </row>
    <row r="102" spans="1:20" ht="13.5" customHeight="1" x14ac:dyDescent="0.25">
      <c r="A102" s="2"/>
      <c r="B102" s="2"/>
      <c r="C102" s="2"/>
      <c r="D102" s="2"/>
      <c r="E102" s="2"/>
      <c r="F102" s="2"/>
      <c r="G102" s="2"/>
      <c r="H102" s="2"/>
      <c r="I102" s="2"/>
      <c r="J102" s="2"/>
      <c r="K102" s="2"/>
      <c r="L102" s="2"/>
      <c r="M102" s="2"/>
      <c r="N102" s="2"/>
      <c r="O102" s="2"/>
      <c r="P102" s="2"/>
      <c r="Q102" s="2"/>
      <c r="R102" s="2"/>
      <c r="S102" s="2"/>
      <c r="T102" s="2"/>
    </row>
    <row r="103" spans="1:20" ht="13.5" customHeight="1" x14ac:dyDescent="0.25">
      <c r="A103" s="2"/>
      <c r="B103" s="2"/>
      <c r="C103" s="2"/>
      <c r="D103" s="2"/>
      <c r="E103" s="2"/>
      <c r="F103" s="2"/>
      <c r="G103" s="2"/>
      <c r="H103" s="2"/>
      <c r="I103" s="2"/>
      <c r="J103" s="2"/>
      <c r="K103" s="2"/>
      <c r="L103" s="2"/>
      <c r="M103" s="2"/>
      <c r="N103" s="2"/>
      <c r="O103" s="2"/>
      <c r="P103" s="2"/>
      <c r="Q103" s="2"/>
      <c r="R103" s="2"/>
      <c r="S103" s="2"/>
      <c r="T103" s="2"/>
    </row>
    <row r="104" spans="1:20" ht="13.5" customHeight="1" x14ac:dyDescent="0.25">
      <c r="A104" s="2"/>
      <c r="B104" s="2"/>
      <c r="C104" s="2"/>
      <c r="D104" s="2"/>
      <c r="E104" s="2"/>
      <c r="F104" s="2"/>
      <c r="G104" s="2"/>
      <c r="H104" s="2"/>
      <c r="I104" s="2"/>
      <c r="J104" s="2"/>
      <c r="K104" s="2"/>
      <c r="L104" s="2"/>
      <c r="M104" s="2"/>
      <c r="N104" s="2"/>
      <c r="O104" s="2"/>
      <c r="P104" s="2"/>
      <c r="Q104" s="2"/>
      <c r="R104" s="2"/>
      <c r="S104" s="2"/>
      <c r="T104" s="2"/>
    </row>
    <row r="105" spans="1:20" ht="3" customHeight="1" x14ac:dyDescent="0.25">
      <c r="A105" s="2"/>
      <c r="B105" s="2"/>
      <c r="C105" s="2"/>
      <c r="D105" s="2"/>
      <c r="E105" s="2"/>
      <c r="F105" s="2"/>
      <c r="G105" s="2"/>
      <c r="H105" s="2"/>
      <c r="I105" s="2"/>
      <c r="J105" s="2"/>
      <c r="K105" s="2"/>
      <c r="L105" s="2"/>
      <c r="M105" s="2"/>
      <c r="N105" s="2"/>
      <c r="O105" s="2"/>
      <c r="P105" s="2"/>
      <c r="Q105" s="2"/>
      <c r="R105" s="2"/>
      <c r="S105" s="2"/>
      <c r="T105" s="2"/>
    </row>
    <row r="106" spans="1:20" ht="13.5" customHeight="1" x14ac:dyDescent="0.25">
      <c r="A106" s="2"/>
      <c r="B106" s="2"/>
      <c r="C106" s="2"/>
      <c r="D106" s="2"/>
      <c r="E106" s="2"/>
      <c r="F106" s="2"/>
      <c r="G106" s="2"/>
      <c r="H106" s="2"/>
      <c r="I106" s="2"/>
      <c r="J106" s="2"/>
      <c r="K106" s="2"/>
      <c r="L106" s="2"/>
      <c r="M106" s="2"/>
      <c r="N106" s="2"/>
      <c r="O106" s="2"/>
      <c r="P106" s="2"/>
      <c r="Q106" s="2"/>
      <c r="R106" s="2"/>
      <c r="S106" s="2"/>
      <c r="T106" s="2"/>
    </row>
    <row r="107" spans="1:20" ht="13.5" customHeight="1" x14ac:dyDescent="0.25">
      <c r="A107" s="2"/>
      <c r="B107" s="2"/>
      <c r="C107" s="2"/>
      <c r="D107" s="2"/>
      <c r="E107" s="2"/>
      <c r="F107" s="2"/>
      <c r="G107" s="2"/>
      <c r="H107" s="2"/>
      <c r="I107" s="2"/>
      <c r="J107" s="2"/>
      <c r="K107" s="2"/>
      <c r="L107" s="2"/>
      <c r="M107" s="2"/>
      <c r="N107" s="2"/>
      <c r="O107" s="2"/>
      <c r="P107" s="2"/>
      <c r="Q107" s="2"/>
      <c r="R107" s="2"/>
      <c r="S107" s="2"/>
      <c r="T107" s="2"/>
    </row>
    <row r="108" spans="1:20" ht="13.5" customHeight="1" x14ac:dyDescent="0.25">
      <c r="A108" s="2"/>
      <c r="B108" s="2"/>
      <c r="C108" s="2"/>
      <c r="D108" s="2"/>
      <c r="E108" s="2"/>
      <c r="F108" s="2"/>
      <c r="G108" s="2"/>
      <c r="H108" s="2"/>
      <c r="I108" s="2"/>
      <c r="J108" s="2"/>
      <c r="K108" s="2"/>
      <c r="L108" s="2"/>
      <c r="M108" s="2"/>
      <c r="N108" s="2"/>
      <c r="O108" s="2"/>
      <c r="P108" s="2"/>
      <c r="Q108" s="2"/>
      <c r="R108" s="2"/>
      <c r="S108" s="2"/>
      <c r="T108" s="2"/>
    </row>
    <row r="109" spans="1:20" ht="13.5" customHeight="1" x14ac:dyDescent="0.25">
      <c r="A109" s="2"/>
      <c r="B109" s="2"/>
      <c r="C109" s="2"/>
      <c r="D109" s="2"/>
      <c r="E109" s="2"/>
      <c r="F109" s="2"/>
      <c r="G109" s="2"/>
      <c r="H109" s="2"/>
      <c r="I109" s="2"/>
      <c r="J109" s="2"/>
      <c r="K109" s="2"/>
      <c r="L109" s="2"/>
      <c r="M109" s="2"/>
      <c r="N109" s="2"/>
      <c r="O109" s="2"/>
      <c r="P109" s="2"/>
      <c r="Q109" s="2"/>
      <c r="R109" s="2"/>
      <c r="S109" s="2"/>
      <c r="T109" s="2"/>
    </row>
    <row r="110" spans="1:20" ht="12.75" customHeight="1" x14ac:dyDescent="0.25">
      <c r="A110" s="2"/>
      <c r="B110" s="2"/>
      <c r="C110" s="2"/>
      <c r="D110" s="2"/>
      <c r="E110" s="2"/>
      <c r="F110" s="2"/>
      <c r="G110" s="2"/>
      <c r="H110" s="2"/>
      <c r="I110" s="2"/>
      <c r="J110" s="2"/>
      <c r="K110" s="2"/>
      <c r="L110" s="2"/>
      <c r="M110" s="2"/>
      <c r="N110" s="2"/>
      <c r="O110" s="2"/>
      <c r="P110" s="2"/>
      <c r="Q110" s="2"/>
      <c r="R110" s="2"/>
      <c r="S110" s="2"/>
      <c r="T110" s="2"/>
    </row>
    <row r="111" spans="1:20" ht="12.75" customHeight="1" x14ac:dyDescent="0.25">
      <c r="A111" s="2"/>
      <c r="B111" s="2"/>
      <c r="C111" s="2"/>
      <c r="D111" s="2"/>
      <c r="E111" s="2"/>
      <c r="F111" s="2"/>
      <c r="G111" s="2"/>
      <c r="H111" s="2"/>
      <c r="I111" s="2"/>
      <c r="J111" s="2"/>
      <c r="K111" s="2"/>
      <c r="L111" s="2"/>
      <c r="M111" s="2"/>
      <c r="N111" s="2"/>
      <c r="O111" s="2"/>
      <c r="P111" s="2"/>
      <c r="Q111" s="2"/>
      <c r="R111" s="2"/>
      <c r="S111" s="2"/>
      <c r="T111" s="2"/>
    </row>
    <row r="112" spans="1:20" ht="13.5" customHeight="1" x14ac:dyDescent="0.25">
      <c r="A112" s="2"/>
      <c r="B112" s="2"/>
      <c r="C112" s="2"/>
      <c r="D112" s="2"/>
      <c r="E112" s="2"/>
      <c r="F112" s="2"/>
      <c r="G112" s="2"/>
      <c r="H112" s="2"/>
      <c r="I112" s="2"/>
      <c r="J112" s="2"/>
      <c r="K112" s="2"/>
      <c r="L112" s="2"/>
      <c r="M112" s="2"/>
      <c r="N112" s="2"/>
      <c r="O112" s="2"/>
      <c r="P112" s="2"/>
      <c r="Q112" s="2"/>
      <c r="R112" s="2"/>
      <c r="S112" s="2"/>
      <c r="T112" s="2"/>
    </row>
    <row r="113" spans="1:20" ht="12.75" customHeight="1" x14ac:dyDescent="0.25">
      <c r="A113" s="2"/>
      <c r="B113" s="2"/>
      <c r="C113" s="2"/>
      <c r="D113" s="2"/>
      <c r="E113" s="2"/>
      <c r="F113" s="2"/>
      <c r="G113" s="2"/>
      <c r="H113" s="2"/>
      <c r="I113" s="2"/>
      <c r="J113" s="2"/>
      <c r="K113" s="2"/>
      <c r="L113" s="2"/>
      <c r="M113" s="2"/>
      <c r="N113" s="2"/>
      <c r="O113" s="2"/>
      <c r="P113" s="2"/>
      <c r="Q113" s="2"/>
      <c r="R113" s="2"/>
      <c r="S113" s="2"/>
      <c r="T113" s="2"/>
    </row>
    <row r="114" spans="1:20" ht="12.75" customHeight="1" x14ac:dyDescent="0.25">
      <c r="A114" s="2"/>
      <c r="B114" s="2"/>
      <c r="C114" s="2"/>
      <c r="D114" s="2"/>
      <c r="E114" s="2"/>
      <c r="F114" s="2"/>
      <c r="G114" s="2"/>
      <c r="H114" s="2"/>
      <c r="I114" s="2"/>
      <c r="J114" s="2"/>
      <c r="K114" s="2"/>
      <c r="L114" s="2"/>
      <c r="M114" s="2"/>
      <c r="N114" s="2"/>
      <c r="O114" s="2"/>
      <c r="P114" s="2"/>
      <c r="Q114" s="2"/>
      <c r="R114" s="2"/>
      <c r="S114" s="2"/>
      <c r="T114" s="2"/>
    </row>
    <row r="115" spans="1:20" ht="12.75" customHeight="1" x14ac:dyDescent="0.25">
      <c r="A115" s="2"/>
      <c r="B115" s="2"/>
      <c r="C115" s="2"/>
      <c r="D115" s="2"/>
      <c r="E115" s="2"/>
      <c r="F115" s="2"/>
      <c r="G115" s="2"/>
      <c r="H115" s="2"/>
      <c r="I115" s="2"/>
      <c r="J115" s="2"/>
      <c r="K115" s="2"/>
      <c r="L115" s="2"/>
      <c r="M115" s="2"/>
      <c r="N115" s="2"/>
      <c r="O115" s="2"/>
      <c r="P115" s="2"/>
      <c r="Q115" s="2"/>
      <c r="R115" s="2"/>
      <c r="S115" s="2"/>
      <c r="T115" s="2"/>
    </row>
    <row r="116" spans="1:20" ht="12.75" customHeight="1" x14ac:dyDescent="0.25">
      <c r="A116" s="2"/>
      <c r="B116" s="2"/>
      <c r="C116" s="2"/>
      <c r="D116" s="2"/>
      <c r="E116" s="2"/>
      <c r="F116" s="2"/>
      <c r="G116" s="2"/>
      <c r="H116" s="2"/>
      <c r="I116" s="2"/>
      <c r="J116" s="2"/>
      <c r="K116" s="2"/>
      <c r="L116" s="2"/>
      <c r="M116" s="2"/>
      <c r="N116" s="2"/>
      <c r="O116" s="2"/>
      <c r="P116" s="2"/>
      <c r="Q116" s="2"/>
      <c r="R116" s="2"/>
      <c r="S116" s="2"/>
      <c r="T116" s="2"/>
    </row>
    <row r="117" spans="1:20" ht="12.75" customHeight="1" x14ac:dyDescent="0.25">
      <c r="A117" s="2"/>
      <c r="B117" s="2"/>
      <c r="C117" s="2"/>
      <c r="D117" s="2"/>
      <c r="E117" s="2"/>
      <c r="F117" s="2"/>
      <c r="G117" s="2"/>
      <c r="H117" s="2"/>
      <c r="I117" s="2"/>
      <c r="J117" s="2"/>
      <c r="K117" s="2"/>
      <c r="L117" s="2"/>
      <c r="M117" s="2"/>
      <c r="N117" s="2"/>
      <c r="O117" s="2"/>
      <c r="P117" s="2"/>
      <c r="Q117" s="2"/>
      <c r="R117" s="2"/>
      <c r="S117" s="2"/>
      <c r="T117" s="2"/>
    </row>
    <row r="118" spans="1:20" ht="12.75" customHeight="1" x14ac:dyDescent="0.25">
      <c r="A118" s="2"/>
      <c r="B118" s="2"/>
      <c r="C118" s="2"/>
      <c r="D118" s="2"/>
      <c r="E118" s="2"/>
      <c r="F118" s="2"/>
      <c r="G118" s="2"/>
      <c r="H118" s="2"/>
      <c r="I118" s="2"/>
      <c r="J118" s="2"/>
      <c r="K118" s="2"/>
      <c r="L118" s="2"/>
      <c r="M118" s="2"/>
      <c r="N118" s="2"/>
      <c r="O118" s="2"/>
      <c r="P118" s="2"/>
      <c r="Q118" s="2"/>
      <c r="R118" s="2"/>
      <c r="S118" s="2"/>
      <c r="T118" s="2"/>
    </row>
    <row r="119" spans="1:20" ht="12.75" customHeight="1" x14ac:dyDescent="0.25">
      <c r="A119" s="2"/>
      <c r="B119" s="2"/>
      <c r="C119" s="2"/>
      <c r="D119" s="2"/>
      <c r="E119" s="2"/>
      <c r="F119" s="2"/>
      <c r="G119" s="2"/>
      <c r="H119" s="2"/>
      <c r="I119" s="2"/>
      <c r="J119" s="2"/>
      <c r="K119" s="2"/>
      <c r="L119" s="2"/>
      <c r="M119" s="2"/>
      <c r="N119" s="2"/>
      <c r="O119" s="2"/>
      <c r="P119" s="2"/>
      <c r="Q119" s="2"/>
      <c r="R119" s="2"/>
      <c r="S119" s="2"/>
      <c r="T119" s="2"/>
    </row>
    <row r="120" spans="1:20" ht="14.25" customHeight="1" x14ac:dyDescent="0.25">
      <c r="A120" s="2"/>
      <c r="B120" s="2"/>
      <c r="C120" s="2"/>
      <c r="D120" s="2"/>
      <c r="E120" s="2"/>
      <c r="F120" s="2"/>
      <c r="G120" s="2"/>
      <c r="H120" s="2"/>
      <c r="I120" s="2"/>
      <c r="J120" s="2"/>
      <c r="K120" s="2"/>
      <c r="L120" s="2"/>
      <c r="M120" s="2"/>
      <c r="N120" s="2"/>
      <c r="O120" s="2"/>
      <c r="P120" s="2"/>
      <c r="Q120" s="2"/>
      <c r="R120" s="2"/>
      <c r="S120" s="2"/>
      <c r="T120" s="2"/>
    </row>
    <row r="121" spans="1:20" ht="14.25" customHeight="1" x14ac:dyDescent="0.25">
      <c r="A121" s="2"/>
      <c r="B121" s="2"/>
      <c r="C121" s="2"/>
      <c r="D121" s="2"/>
      <c r="E121" s="2"/>
      <c r="F121" s="2"/>
      <c r="G121" s="2"/>
      <c r="H121" s="2"/>
      <c r="I121" s="2"/>
      <c r="J121" s="2"/>
      <c r="K121" s="2"/>
      <c r="L121" s="2"/>
      <c r="M121" s="2"/>
      <c r="N121" s="2"/>
      <c r="O121" s="2"/>
      <c r="P121" s="2"/>
      <c r="Q121" s="2"/>
      <c r="R121" s="2"/>
      <c r="S121" s="2"/>
      <c r="T121" s="2"/>
    </row>
    <row r="122" spans="1:20" ht="12.75" customHeight="1" x14ac:dyDescent="0.25">
      <c r="A122" s="2"/>
      <c r="B122" s="2"/>
      <c r="C122" s="2"/>
      <c r="D122" s="2"/>
      <c r="E122" s="2"/>
      <c r="F122" s="2"/>
      <c r="G122" s="2"/>
      <c r="H122" s="2"/>
      <c r="I122" s="2"/>
      <c r="J122" s="2"/>
      <c r="K122" s="2"/>
      <c r="L122" s="2"/>
      <c r="M122" s="2"/>
      <c r="N122" s="2"/>
      <c r="O122" s="2"/>
      <c r="P122" s="2"/>
      <c r="Q122" s="2"/>
      <c r="R122" s="2"/>
      <c r="S122" s="2"/>
      <c r="T122" s="2"/>
    </row>
    <row r="123" spans="1:20" ht="12.75" customHeight="1" x14ac:dyDescent="0.25">
      <c r="A123" s="2"/>
      <c r="B123" s="2"/>
      <c r="C123" s="2"/>
      <c r="D123" s="2"/>
      <c r="E123" s="2"/>
      <c r="F123" s="2"/>
      <c r="G123" s="2"/>
      <c r="H123" s="2"/>
      <c r="I123" s="2"/>
      <c r="J123" s="2"/>
      <c r="K123" s="2"/>
      <c r="L123" s="2"/>
      <c r="M123" s="2"/>
      <c r="N123" s="2"/>
      <c r="O123" s="2"/>
      <c r="P123" s="2"/>
      <c r="Q123" s="2"/>
      <c r="R123" s="2"/>
      <c r="S123" s="2"/>
      <c r="T123" s="2"/>
    </row>
    <row r="124" spans="1:20" ht="12.75" customHeight="1" x14ac:dyDescent="0.25">
      <c r="A124" s="2"/>
      <c r="B124" s="2"/>
      <c r="C124" s="2"/>
      <c r="D124" s="2"/>
      <c r="E124" s="2"/>
      <c r="F124" s="2"/>
      <c r="G124" s="2"/>
      <c r="H124" s="2"/>
      <c r="I124" s="2"/>
      <c r="J124" s="2"/>
      <c r="K124" s="2"/>
      <c r="L124" s="2"/>
      <c r="M124" s="2"/>
      <c r="N124" s="2"/>
      <c r="O124" s="2"/>
      <c r="P124" s="2"/>
      <c r="Q124" s="2"/>
      <c r="R124" s="2"/>
      <c r="S124" s="2"/>
      <c r="T124" s="2"/>
    </row>
    <row r="125" spans="1:20" ht="12.75" customHeight="1" x14ac:dyDescent="0.25">
      <c r="A125" s="2"/>
      <c r="B125" s="2"/>
      <c r="C125" s="2"/>
      <c r="D125" s="2"/>
      <c r="E125" s="2"/>
      <c r="F125" s="2"/>
      <c r="G125" s="2"/>
      <c r="H125" s="2"/>
      <c r="I125" s="2"/>
      <c r="J125" s="2"/>
      <c r="K125" s="2"/>
      <c r="L125" s="2"/>
      <c r="M125" s="2"/>
      <c r="N125" s="2"/>
      <c r="O125" s="2"/>
      <c r="P125" s="2"/>
      <c r="Q125" s="2"/>
      <c r="R125" s="2"/>
      <c r="S125" s="2"/>
      <c r="T125" s="2"/>
    </row>
    <row r="126" spans="1:20" ht="23.25" customHeight="1" x14ac:dyDescent="0.25">
      <c r="A126" s="2"/>
      <c r="B126" s="2"/>
      <c r="C126" s="2"/>
      <c r="D126" s="2"/>
      <c r="E126" s="2"/>
      <c r="F126" s="2"/>
      <c r="G126" s="2"/>
      <c r="H126" s="2"/>
      <c r="I126" s="2"/>
      <c r="J126" s="2"/>
      <c r="K126" s="2"/>
      <c r="L126" s="2"/>
      <c r="M126" s="2"/>
      <c r="N126" s="2"/>
      <c r="O126" s="2"/>
      <c r="P126" s="2"/>
      <c r="Q126" s="2"/>
      <c r="R126" s="2"/>
      <c r="S126" s="2"/>
      <c r="T126" s="2"/>
    </row>
    <row r="127" spans="1:20" ht="12.75" customHeight="1" x14ac:dyDescent="0.25">
      <c r="A127" s="2"/>
      <c r="B127" s="2"/>
      <c r="C127" s="2"/>
      <c r="D127" s="2"/>
      <c r="E127" s="2"/>
      <c r="F127" s="2"/>
      <c r="G127" s="2"/>
      <c r="H127" s="2"/>
      <c r="I127" s="2"/>
      <c r="J127" s="2"/>
      <c r="K127" s="2"/>
      <c r="L127" s="2"/>
      <c r="M127" s="2"/>
      <c r="N127" s="2"/>
      <c r="O127" s="2"/>
      <c r="P127" s="2"/>
      <c r="Q127" s="2"/>
      <c r="R127" s="2"/>
      <c r="S127" s="2"/>
      <c r="T127" s="2"/>
    </row>
    <row r="128" spans="1:20" ht="12.75" customHeight="1" x14ac:dyDescent="0.25">
      <c r="A128" s="2"/>
      <c r="B128" s="2"/>
      <c r="C128" s="2"/>
      <c r="D128" s="2"/>
      <c r="E128" s="2"/>
      <c r="F128" s="2"/>
      <c r="G128" s="2"/>
      <c r="H128" s="2"/>
      <c r="I128" s="2"/>
      <c r="J128" s="2"/>
      <c r="K128" s="2"/>
      <c r="L128" s="2"/>
      <c r="M128" s="2"/>
      <c r="N128" s="2"/>
      <c r="O128" s="2"/>
      <c r="P128" s="2"/>
      <c r="Q128" s="2"/>
      <c r="R128" s="2"/>
      <c r="S128" s="2"/>
      <c r="T128" s="2"/>
    </row>
    <row r="129" spans="1:20" ht="12.75" customHeight="1" x14ac:dyDescent="0.25">
      <c r="A129" s="2"/>
      <c r="B129" s="2"/>
      <c r="C129" s="2"/>
      <c r="D129" s="2"/>
      <c r="E129" s="2"/>
      <c r="F129" s="2"/>
      <c r="G129" s="2"/>
      <c r="H129" s="2"/>
      <c r="I129" s="2"/>
      <c r="J129" s="2"/>
      <c r="K129" s="2"/>
      <c r="L129" s="2"/>
      <c r="M129" s="2"/>
      <c r="N129" s="2"/>
      <c r="O129" s="2"/>
      <c r="P129" s="2"/>
      <c r="Q129" s="2"/>
      <c r="R129" s="2"/>
      <c r="S129" s="2"/>
      <c r="T129" s="2"/>
    </row>
    <row r="130" spans="1:20" ht="12.75" customHeight="1" x14ac:dyDescent="0.25">
      <c r="A130" s="2"/>
      <c r="B130" s="2"/>
      <c r="C130" s="2"/>
      <c r="D130" s="8" t="str">
        <f>IF(AND(SUM(D111:D117)&lt;&gt;100)*(SUM(D111:D117)&lt;&gt;0)," Atenção: O total deve fechar 100%"," ")</f>
        <v xml:space="preserve"> </v>
      </c>
      <c r="E130" s="8" t="str">
        <f>IF(AND(SUM(E111:E117)&lt;&gt;100)*(SUM(E111:E117)&lt;&gt;0)," Atenção: O total deve fechar 100%"," ")</f>
        <v xml:space="preserve"> </v>
      </c>
      <c r="F130" s="8" t="str">
        <f>IF(AND(SUM(F111:F117)&lt;&gt;100)*(SUM(F111:F117)&lt;&gt;0)," Atenção: O total deve fechar 100%"," ")</f>
        <v xml:space="preserve"> </v>
      </c>
      <c r="G130" s="8" t="str">
        <f>IF(AND(SUM(G111:G117)&lt;&gt;100)*(SUM(G111:G117)&lt;&gt;0)," Atenção: O total deve fechar 100%"," ")</f>
        <v xml:space="preserve"> </v>
      </c>
      <c r="H130" s="2"/>
      <c r="I130" s="2"/>
      <c r="J130" s="2"/>
      <c r="K130" s="2"/>
      <c r="L130" s="2"/>
      <c r="M130" s="2"/>
      <c r="N130" s="2"/>
      <c r="O130" s="2"/>
      <c r="P130" s="2"/>
      <c r="Q130" s="2"/>
      <c r="R130" s="2"/>
      <c r="S130" s="2"/>
      <c r="T130" s="2"/>
    </row>
    <row r="131" spans="1:20" ht="12.75" customHeight="1" x14ac:dyDescent="0.25">
      <c r="A131" s="2"/>
      <c r="B131" s="2"/>
      <c r="C131" s="2"/>
      <c r="D131" s="2"/>
      <c r="E131" s="2"/>
      <c r="F131" s="2"/>
      <c r="G131" s="2"/>
      <c r="H131" s="2"/>
      <c r="I131" s="2"/>
      <c r="J131" s="2"/>
      <c r="K131" s="2"/>
      <c r="L131" s="2"/>
      <c r="M131" s="2"/>
      <c r="N131" s="2"/>
      <c r="O131" s="2"/>
      <c r="P131" s="2"/>
      <c r="Q131" s="2"/>
      <c r="R131" s="2"/>
      <c r="S131" s="2"/>
      <c r="T131" s="2"/>
    </row>
    <row r="132" spans="1:20" ht="12.75" customHeight="1" x14ac:dyDescent="0.25">
      <c r="A132" s="2"/>
      <c r="B132" s="2"/>
      <c r="C132" s="2"/>
      <c r="D132" s="2"/>
      <c r="E132" s="2"/>
      <c r="F132" s="2"/>
      <c r="G132" s="2"/>
      <c r="H132" s="2"/>
      <c r="I132" s="2"/>
      <c r="J132" s="2"/>
      <c r="K132" s="2"/>
      <c r="L132" s="2"/>
      <c r="M132" s="2"/>
      <c r="N132" s="2"/>
      <c r="O132" s="2"/>
      <c r="P132" s="2"/>
      <c r="Q132" s="2"/>
      <c r="R132" s="2"/>
      <c r="S132" s="2"/>
      <c r="T132" s="2"/>
    </row>
    <row r="133" spans="1:20" ht="12.75" customHeight="1" x14ac:dyDescent="0.25">
      <c r="A133" s="2"/>
      <c r="B133" s="2"/>
      <c r="C133" s="2"/>
      <c r="D133" s="2"/>
      <c r="E133" s="2"/>
      <c r="F133" s="2"/>
      <c r="G133" s="2"/>
      <c r="H133" s="2"/>
      <c r="I133" s="2"/>
      <c r="J133" s="2"/>
      <c r="K133" s="2"/>
      <c r="L133" s="2"/>
      <c r="M133" s="2"/>
      <c r="N133" s="2"/>
      <c r="O133" s="2"/>
      <c r="P133" s="2"/>
      <c r="Q133" s="2"/>
      <c r="R133" s="2"/>
      <c r="S133" s="2"/>
      <c r="T133" s="2"/>
    </row>
    <row r="134" spans="1:20" ht="12.75" customHeight="1" x14ac:dyDescent="0.25">
      <c r="A134" s="2"/>
      <c r="B134" s="2"/>
      <c r="C134" s="2"/>
      <c r="D134" s="2"/>
      <c r="E134" s="2"/>
      <c r="F134" s="2"/>
      <c r="G134" s="2"/>
      <c r="H134" s="2"/>
      <c r="I134" s="2"/>
      <c r="J134" s="2"/>
      <c r="K134" s="2"/>
      <c r="L134" s="2"/>
      <c r="M134" s="2"/>
      <c r="N134" s="2"/>
      <c r="O134" s="2"/>
      <c r="P134" s="2"/>
      <c r="Q134" s="2"/>
      <c r="R134" s="2"/>
      <c r="S134" s="2"/>
      <c r="T134" s="2"/>
    </row>
    <row r="135" spans="1:20" ht="12.75" customHeight="1" x14ac:dyDescent="0.25">
      <c r="A135" s="2"/>
      <c r="B135" s="2"/>
      <c r="C135" s="2"/>
      <c r="D135" s="2"/>
      <c r="E135" s="2"/>
      <c r="F135" s="2"/>
      <c r="G135" s="2"/>
      <c r="H135" s="2"/>
      <c r="I135" s="2"/>
      <c r="J135" s="2"/>
      <c r="K135" s="2"/>
      <c r="L135" s="2"/>
      <c r="M135" s="2"/>
      <c r="N135" s="2"/>
      <c r="O135" s="2"/>
      <c r="P135" s="2"/>
      <c r="Q135" s="2"/>
      <c r="R135" s="2"/>
      <c r="S135" s="2"/>
      <c r="T135" s="2"/>
    </row>
    <row r="136" spans="1:20" ht="12.75" customHeight="1" x14ac:dyDescent="0.25">
      <c r="A136" s="2"/>
      <c r="B136" s="2"/>
      <c r="C136" s="2"/>
      <c r="D136" s="2"/>
      <c r="E136" s="2"/>
      <c r="F136" s="2"/>
      <c r="G136" s="2"/>
      <c r="H136" s="2"/>
      <c r="I136" s="2"/>
      <c r="J136" s="2"/>
      <c r="K136" s="2"/>
      <c r="L136" s="2"/>
      <c r="M136" s="2"/>
      <c r="N136" s="2"/>
      <c r="O136" s="2"/>
      <c r="P136" s="2"/>
      <c r="Q136" s="2"/>
      <c r="R136" s="2"/>
      <c r="S136" s="2"/>
      <c r="T136" s="2"/>
    </row>
    <row r="137" spans="1:20" ht="12.75" customHeight="1" x14ac:dyDescent="0.25">
      <c r="A137" s="2"/>
      <c r="B137" s="2"/>
      <c r="C137" s="2"/>
      <c r="D137" s="2"/>
      <c r="E137" s="2"/>
      <c r="F137" s="2"/>
      <c r="G137" s="2"/>
      <c r="H137" s="2"/>
      <c r="I137" s="2"/>
      <c r="J137" s="2"/>
      <c r="K137" s="2"/>
      <c r="L137" s="2"/>
      <c r="M137" s="2"/>
      <c r="N137" s="2"/>
      <c r="O137" s="2"/>
      <c r="P137" s="2"/>
      <c r="Q137" s="2"/>
      <c r="R137" s="2"/>
      <c r="S137" s="2"/>
      <c r="T137" s="2"/>
    </row>
    <row r="138" spans="1:20" ht="12.75" customHeight="1" x14ac:dyDescent="0.25">
      <c r="A138" s="2"/>
      <c r="B138" s="2"/>
      <c r="C138" s="2"/>
      <c r="D138" s="2"/>
      <c r="E138" s="2"/>
      <c r="F138" s="2"/>
      <c r="G138" s="2"/>
      <c r="H138" s="2"/>
      <c r="I138" s="2"/>
      <c r="J138" s="2"/>
      <c r="K138" s="2"/>
      <c r="L138" s="2"/>
      <c r="M138" s="2"/>
      <c r="N138" s="2"/>
      <c r="O138" s="2"/>
      <c r="P138" s="2"/>
      <c r="Q138" s="2"/>
      <c r="R138" s="2"/>
      <c r="S138" s="2"/>
      <c r="T138" s="2"/>
    </row>
    <row r="139" spans="1:20" ht="14.25" customHeight="1" x14ac:dyDescent="0.25">
      <c r="A139" s="2"/>
      <c r="B139" s="2"/>
      <c r="C139" s="2"/>
      <c r="D139" s="2"/>
      <c r="E139" s="2"/>
      <c r="F139" s="2"/>
      <c r="G139" s="2"/>
      <c r="H139" s="2"/>
      <c r="I139" s="2"/>
      <c r="J139" s="2"/>
      <c r="K139" s="2"/>
      <c r="L139" s="2"/>
      <c r="M139" s="2"/>
      <c r="N139" s="2"/>
      <c r="O139" s="2"/>
      <c r="P139" s="2"/>
      <c r="Q139" s="2"/>
      <c r="R139" s="2"/>
      <c r="S139" s="2"/>
      <c r="T139" s="2"/>
    </row>
    <row r="140" spans="1:20" ht="12.75" customHeight="1" x14ac:dyDescent="0.25">
      <c r="A140" s="2"/>
      <c r="B140" s="2"/>
      <c r="C140" s="2"/>
      <c r="D140" s="2"/>
      <c r="E140" s="2"/>
      <c r="F140" s="2"/>
      <c r="G140" s="2"/>
      <c r="H140" s="2"/>
      <c r="I140" s="2"/>
      <c r="J140" s="2"/>
      <c r="K140" s="2"/>
      <c r="L140" s="2"/>
      <c r="M140" s="2"/>
      <c r="N140" s="2"/>
      <c r="O140" s="2"/>
      <c r="P140" s="2"/>
      <c r="Q140" s="2"/>
      <c r="R140" s="2"/>
      <c r="S140" s="2"/>
      <c r="T140" s="2"/>
    </row>
    <row r="141" spans="1:20" ht="12.75" customHeight="1" x14ac:dyDescent="0.25">
      <c r="A141" s="2"/>
      <c r="B141" s="2"/>
      <c r="C141" s="2"/>
      <c r="D141" s="2"/>
      <c r="E141" s="2"/>
      <c r="F141" s="2"/>
      <c r="G141" s="2"/>
      <c r="H141" s="2"/>
      <c r="I141" s="2"/>
      <c r="J141" s="2"/>
      <c r="K141" s="2"/>
      <c r="L141" s="2"/>
      <c r="M141" s="2"/>
      <c r="N141" s="2"/>
      <c r="O141" s="2"/>
      <c r="P141" s="2"/>
      <c r="Q141" s="2"/>
      <c r="R141" s="2"/>
      <c r="S141" s="2"/>
      <c r="T141" s="2"/>
    </row>
    <row r="142" spans="1:20" ht="12.75" customHeight="1" x14ac:dyDescent="0.25">
      <c r="A142" s="2"/>
      <c r="B142" s="2"/>
      <c r="C142" s="2"/>
      <c r="D142" s="2"/>
      <c r="E142" s="2"/>
      <c r="F142" s="2"/>
      <c r="G142" s="2"/>
      <c r="H142" s="2"/>
      <c r="I142" s="2"/>
      <c r="J142" s="2"/>
      <c r="K142" s="2"/>
      <c r="L142" s="2"/>
      <c r="M142" s="2"/>
      <c r="N142" s="2"/>
      <c r="O142" s="2"/>
      <c r="P142" s="2"/>
      <c r="Q142" s="2"/>
      <c r="R142" s="2"/>
      <c r="S142" s="2"/>
      <c r="T142" s="2"/>
    </row>
    <row r="143" spans="1:20" ht="12.75" customHeight="1" x14ac:dyDescent="0.25">
      <c r="A143" s="2"/>
      <c r="B143" s="2"/>
      <c r="C143" s="2"/>
      <c r="D143" s="2"/>
      <c r="E143" s="2"/>
      <c r="F143" s="2"/>
      <c r="G143" s="2"/>
      <c r="H143" s="2"/>
      <c r="I143" s="2"/>
      <c r="J143" s="2"/>
      <c r="K143" s="2"/>
      <c r="L143" s="2"/>
      <c r="M143" s="2"/>
      <c r="N143" s="2"/>
      <c r="O143" s="2"/>
      <c r="P143" s="2"/>
      <c r="Q143" s="2"/>
      <c r="R143" s="2"/>
      <c r="S143" s="2"/>
      <c r="T143" s="2"/>
    </row>
    <row r="144" spans="1:20" ht="12.75" customHeight="1" x14ac:dyDescent="0.25">
      <c r="A144" s="2"/>
      <c r="B144" s="2"/>
      <c r="C144" s="2"/>
      <c r="D144" s="2"/>
      <c r="E144" s="2"/>
      <c r="F144" s="2"/>
      <c r="G144" s="2"/>
      <c r="H144" s="2"/>
      <c r="I144" s="2"/>
      <c r="J144" s="2"/>
      <c r="K144" s="2"/>
      <c r="L144" s="2"/>
      <c r="M144" s="2"/>
      <c r="N144" s="2"/>
      <c r="O144" s="2"/>
      <c r="P144" s="2"/>
      <c r="Q144" s="2"/>
      <c r="R144" s="2"/>
      <c r="S144" s="2"/>
      <c r="T144" s="2"/>
    </row>
    <row r="145" spans="1:20" ht="12.75" customHeight="1" x14ac:dyDescent="0.25">
      <c r="A145" s="2"/>
      <c r="B145" s="2"/>
      <c r="C145" s="2"/>
      <c r="D145" s="2"/>
      <c r="E145" s="2"/>
      <c r="F145" s="2"/>
      <c r="G145" s="2"/>
      <c r="H145" s="2"/>
      <c r="I145" s="2"/>
      <c r="J145" s="2"/>
      <c r="K145" s="2"/>
      <c r="L145" s="2"/>
      <c r="M145" s="2"/>
      <c r="N145" s="2"/>
      <c r="O145" s="2"/>
      <c r="P145" s="2"/>
      <c r="Q145" s="2"/>
      <c r="R145" s="2"/>
      <c r="S145" s="2"/>
      <c r="T145" s="2"/>
    </row>
    <row r="146" spans="1:20" ht="12.75" customHeight="1" x14ac:dyDescent="0.25">
      <c r="A146" s="2"/>
      <c r="B146" s="2"/>
      <c r="C146" s="2"/>
      <c r="D146" s="2"/>
      <c r="E146" s="2"/>
      <c r="F146" s="2"/>
      <c r="G146" s="2"/>
      <c r="H146" s="2"/>
      <c r="I146" s="2"/>
      <c r="J146" s="2"/>
      <c r="K146" s="2"/>
      <c r="L146" s="2"/>
      <c r="M146" s="2"/>
      <c r="N146" s="2"/>
      <c r="O146" s="2"/>
      <c r="P146" s="2"/>
      <c r="Q146" s="2"/>
      <c r="R146" s="2"/>
      <c r="S146" s="2"/>
      <c r="T146" s="2"/>
    </row>
    <row r="147" spans="1:20" ht="12.75" customHeight="1" x14ac:dyDescent="0.25">
      <c r="A147" s="2"/>
      <c r="B147" s="2"/>
      <c r="C147" s="2"/>
      <c r="D147" s="2"/>
      <c r="E147" s="2"/>
      <c r="F147" s="2"/>
      <c r="G147" s="2"/>
      <c r="H147" s="2"/>
      <c r="I147" s="2"/>
      <c r="J147" s="2"/>
      <c r="K147" s="2"/>
      <c r="L147" s="2"/>
      <c r="M147" s="2"/>
      <c r="N147" s="2"/>
      <c r="O147" s="2"/>
      <c r="P147" s="2"/>
      <c r="Q147" s="2"/>
      <c r="R147" s="2"/>
      <c r="S147" s="2"/>
      <c r="T147" s="2"/>
    </row>
    <row r="148" spans="1:20" ht="12.75" customHeight="1" x14ac:dyDescent="0.25">
      <c r="A148" s="2"/>
      <c r="B148" s="2"/>
      <c r="C148" s="2"/>
      <c r="D148" s="2"/>
      <c r="E148" s="2"/>
      <c r="F148" s="2"/>
      <c r="G148" s="2"/>
      <c r="H148" s="2"/>
      <c r="I148" s="2"/>
      <c r="J148" s="2"/>
      <c r="K148" s="2"/>
      <c r="L148" s="2"/>
      <c r="M148" s="2"/>
      <c r="N148" s="2"/>
      <c r="O148" s="2"/>
      <c r="P148" s="2"/>
      <c r="Q148" s="2"/>
      <c r="R148" s="2"/>
      <c r="S148" s="2"/>
      <c r="T148" s="2"/>
    </row>
    <row r="149" spans="1:20" ht="12.75" customHeight="1" x14ac:dyDescent="0.25">
      <c r="A149" s="2"/>
      <c r="B149" s="2"/>
      <c r="C149" s="2"/>
      <c r="D149" s="2"/>
      <c r="E149" s="2"/>
      <c r="F149" s="2"/>
      <c r="G149" s="2"/>
      <c r="H149" s="2"/>
      <c r="I149" s="2"/>
      <c r="J149" s="2"/>
      <c r="K149" s="2"/>
      <c r="L149" s="2"/>
      <c r="M149" s="2"/>
      <c r="N149" s="2"/>
      <c r="O149" s="2"/>
      <c r="P149" s="2"/>
      <c r="Q149" s="2"/>
      <c r="R149" s="2"/>
      <c r="S149" s="2"/>
      <c r="T149" s="2"/>
    </row>
    <row r="150" spans="1:20" ht="12.75" customHeight="1" x14ac:dyDescent="0.25">
      <c r="A150" s="2"/>
      <c r="B150" s="2"/>
      <c r="C150" s="2"/>
      <c r="D150" s="2"/>
      <c r="E150" s="2"/>
      <c r="F150" s="2"/>
      <c r="G150" s="2"/>
      <c r="H150" s="2"/>
      <c r="I150" s="2"/>
      <c r="J150" s="2"/>
      <c r="K150" s="2"/>
      <c r="L150" s="2"/>
      <c r="M150" s="2"/>
      <c r="N150" s="2"/>
      <c r="O150" s="2"/>
      <c r="P150" s="2"/>
      <c r="Q150" s="2"/>
      <c r="R150" s="2"/>
      <c r="S150" s="2"/>
      <c r="T150" s="2"/>
    </row>
    <row r="151" spans="1:20" ht="12.75" customHeight="1" x14ac:dyDescent="0.25">
      <c r="A151" s="2"/>
      <c r="B151" s="2"/>
      <c r="C151" s="2"/>
      <c r="D151" s="2"/>
      <c r="E151" s="2"/>
      <c r="F151" s="2"/>
      <c r="G151" s="2"/>
      <c r="H151" s="2"/>
      <c r="I151" s="2"/>
      <c r="J151" s="2"/>
      <c r="K151" s="2"/>
      <c r="L151" s="2"/>
      <c r="M151" s="2"/>
      <c r="N151" s="2"/>
      <c r="O151" s="2"/>
      <c r="P151" s="2"/>
      <c r="Q151" s="2"/>
      <c r="R151" s="2"/>
      <c r="S151" s="2"/>
      <c r="T151" s="2"/>
    </row>
    <row r="152" spans="1:20" ht="12.75" customHeight="1" x14ac:dyDescent="0.25">
      <c r="A152" s="2"/>
      <c r="B152" s="2"/>
      <c r="C152" s="2"/>
      <c r="D152" s="2"/>
      <c r="E152" s="2"/>
      <c r="F152" s="2"/>
      <c r="G152" s="2"/>
      <c r="H152" s="2"/>
      <c r="I152" s="2"/>
      <c r="J152" s="2"/>
      <c r="K152" s="2"/>
      <c r="L152" s="2"/>
      <c r="M152" s="2"/>
      <c r="N152" s="2"/>
      <c r="O152" s="2"/>
      <c r="P152" s="2"/>
      <c r="Q152" s="2"/>
      <c r="R152" s="2"/>
      <c r="S152" s="2"/>
      <c r="T152" s="2"/>
    </row>
    <row r="153" spans="1:20" ht="12.75" customHeight="1" x14ac:dyDescent="0.25">
      <c r="A153" s="2"/>
      <c r="B153" s="2"/>
      <c r="C153" s="2"/>
      <c r="D153" s="2"/>
      <c r="E153" s="2"/>
      <c r="F153" s="2"/>
      <c r="G153" s="2"/>
      <c r="H153" s="2"/>
      <c r="I153" s="2"/>
      <c r="J153" s="2"/>
      <c r="K153" s="2"/>
      <c r="L153" s="2"/>
      <c r="M153" s="2"/>
      <c r="N153" s="2"/>
      <c r="O153" s="2"/>
      <c r="P153" s="2"/>
      <c r="Q153" s="2"/>
      <c r="R153" s="2"/>
      <c r="S153" s="2"/>
      <c r="T153" s="2"/>
    </row>
    <row r="154" spans="1:20" ht="12.75" customHeight="1" x14ac:dyDescent="0.25">
      <c r="A154" s="2"/>
      <c r="B154" s="2"/>
      <c r="C154" s="2"/>
      <c r="D154" s="2"/>
      <c r="E154" s="2"/>
      <c r="F154" s="2"/>
      <c r="G154" s="2"/>
      <c r="H154" s="2"/>
      <c r="I154" s="2"/>
      <c r="J154" s="2"/>
      <c r="K154" s="2"/>
      <c r="L154" s="2"/>
      <c r="M154" s="2"/>
      <c r="N154" s="2"/>
      <c r="O154" s="2"/>
      <c r="P154" s="2"/>
      <c r="Q154" s="2"/>
      <c r="R154" s="2"/>
      <c r="S154" s="2"/>
      <c r="T154" s="2"/>
    </row>
    <row r="155" spans="1:20" ht="12.75" customHeight="1" x14ac:dyDescent="0.25">
      <c r="A155" s="2"/>
      <c r="B155" s="2"/>
      <c r="C155" s="2"/>
      <c r="D155" s="2"/>
      <c r="E155" s="2"/>
      <c r="F155" s="2"/>
      <c r="G155" s="2"/>
      <c r="H155" s="2"/>
      <c r="I155" s="2"/>
      <c r="J155" s="2"/>
      <c r="K155" s="2"/>
      <c r="L155" s="2"/>
      <c r="M155" s="2"/>
      <c r="N155" s="2"/>
      <c r="O155" s="2"/>
      <c r="P155" s="2"/>
      <c r="Q155" s="2"/>
      <c r="R155" s="2"/>
      <c r="S155" s="2"/>
      <c r="T155" s="2"/>
    </row>
    <row r="156" spans="1:20" ht="13.5" customHeight="1" x14ac:dyDescent="0.25">
      <c r="A156" s="2"/>
      <c r="B156" s="2"/>
      <c r="C156" s="2"/>
      <c r="D156" s="2"/>
      <c r="E156" s="2"/>
      <c r="F156" s="2"/>
      <c r="G156" s="2"/>
      <c r="H156" s="2"/>
      <c r="I156" s="2"/>
      <c r="J156" s="2"/>
      <c r="K156" s="2"/>
      <c r="L156" s="2"/>
      <c r="M156" s="2"/>
      <c r="N156" s="2"/>
      <c r="O156" s="2"/>
      <c r="P156" s="2"/>
      <c r="Q156" s="2"/>
      <c r="R156" s="2"/>
      <c r="S156" s="2"/>
      <c r="T156" s="2"/>
    </row>
    <row r="157" spans="1:20" ht="12.75" customHeight="1" x14ac:dyDescent="0.25">
      <c r="A157" s="2"/>
      <c r="B157" s="2"/>
      <c r="C157" s="2"/>
      <c r="D157" s="2"/>
      <c r="E157" s="2"/>
      <c r="F157" s="2"/>
      <c r="G157" s="2"/>
      <c r="H157" s="2"/>
      <c r="I157" s="2"/>
      <c r="J157" s="2"/>
      <c r="K157" s="2"/>
      <c r="L157" s="2"/>
      <c r="M157" s="2"/>
      <c r="N157" s="2"/>
      <c r="O157" s="2"/>
      <c r="P157" s="2"/>
      <c r="Q157" s="2"/>
      <c r="R157" s="2"/>
      <c r="S157" s="2"/>
      <c r="T157" s="2"/>
    </row>
    <row r="158" spans="1:20" ht="12.75" customHeight="1" x14ac:dyDescent="0.25">
      <c r="A158" s="2"/>
      <c r="B158" s="2"/>
      <c r="C158" s="2"/>
      <c r="D158" s="2"/>
      <c r="E158" s="2"/>
      <c r="F158" s="2"/>
      <c r="G158" s="2"/>
      <c r="H158" s="2"/>
      <c r="I158" s="2"/>
      <c r="J158" s="2"/>
      <c r="K158" s="2"/>
      <c r="L158" s="2"/>
      <c r="M158" s="2"/>
      <c r="N158" s="2"/>
      <c r="O158" s="2"/>
      <c r="P158" s="2"/>
      <c r="Q158" s="2"/>
      <c r="R158" s="2"/>
      <c r="S158" s="2"/>
      <c r="T158" s="2"/>
    </row>
    <row r="159" spans="1:20" ht="12.75" customHeight="1" x14ac:dyDescent="0.25">
      <c r="A159" s="2"/>
      <c r="B159" s="2"/>
      <c r="C159" s="2"/>
      <c r="D159" s="2"/>
      <c r="E159" s="2"/>
      <c r="F159" s="2"/>
      <c r="G159" s="2"/>
      <c r="H159" s="2"/>
      <c r="I159" s="2"/>
      <c r="J159" s="2"/>
      <c r="K159" s="2"/>
      <c r="L159" s="2"/>
      <c r="M159" s="2"/>
      <c r="N159" s="2"/>
      <c r="O159" s="2"/>
      <c r="P159" s="2"/>
      <c r="Q159" s="2"/>
      <c r="R159" s="2"/>
      <c r="S159" s="2"/>
      <c r="T159" s="2"/>
    </row>
    <row r="160" spans="1:20" ht="12.75" customHeight="1" x14ac:dyDescent="0.25">
      <c r="A160" s="2"/>
      <c r="B160" s="2"/>
      <c r="C160" s="2"/>
      <c r="D160" s="2"/>
      <c r="E160" s="2"/>
      <c r="F160" s="2"/>
      <c r="G160" s="2"/>
      <c r="H160" s="2"/>
      <c r="I160" s="2"/>
      <c r="J160" s="2"/>
      <c r="K160" s="2"/>
      <c r="L160" s="2"/>
      <c r="M160" s="2"/>
      <c r="N160" s="2"/>
      <c r="O160" s="2"/>
      <c r="P160" s="2"/>
      <c r="Q160" s="2"/>
      <c r="R160" s="2"/>
      <c r="S160" s="2"/>
      <c r="T160" s="2"/>
    </row>
    <row r="161" spans="1:20" ht="12.75" customHeight="1" x14ac:dyDescent="0.25">
      <c r="A161" s="2"/>
      <c r="B161" s="2"/>
      <c r="C161" s="2"/>
      <c r="D161" s="2"/>
      <c r="E161" s="2"/>
      <c r="F161" s="2"/>
      <c r="G161" s="2"/>
      <c r="H161" s="2"/>
      <c r="I161" s="2"/>
      <c r="J161" s="2"/>
      <c r="K161" s="2"/>
      <c r="L161" s="2"/>
      <c r="M161" s="2"/>
      <c r="N161" s="2"/>
      <c r="O161" s="2"/>
      <c r="P161" s="2"/>
      <c r="Q161" s="2"/>
      <c r="R161" s="2"/>
      <c r="S161" s="2"/>
      <c r="T161" s="2"/>
    </row>
    <row r="162" spans="1:20" ht="12.75" customHeight="1" x14ac:dyDescent="0.25">
      <c r="A162" s="2"/>
      <c r="B162" s="2"/>
      <c r="C162" s="2"/>
      <c r="D162" s="2"/>
      <c r="E162" s="2"/>
      <c r="F162" s="2"/>
      <c r="G162" s="2"/>
      <c r="H162" s="2"/>
      <c r="I162" s="2"/>
      <c r="J162" s="2"/>
      <c r="K162" s="2"/>
      <c r="L162" s="2"/>
      <c r="M162" s="2"/>
      <c r="N162" s="2"/>
      <c r="O162" s="2"/>
      <c r="P162" s="2"/>
      <c r="Q162" s="2"/>
      <c r="R162" s="2"/>
      <c r="S162" s="2"/>
      <c r="T162" s="2"/>
    </row>
    <row r="163" spans="1:20" ht="12.75" customHeight="1" x14ac:dyDescent="0.25">
      <c r="A163" s="2"/>
      <c r="B163" s="2"/>
      <c r="C163" s="2"/>
      <c r="D163" s="2"/>
      <c r="E163" s="2"/>
      <c r="F163" s="2"/>
      <c r="G163" s="2"/>
      <c r="H163" s="2"/>
      <c r="I163" s="2"/>
      <c r="J163" s="2"/>
      <c r="K163" s="2"/>
      <c r="L163" s="2"/>
      <c r="M163" s="2"/>
      <c r="N163" s="2"/>
      <c r="O163" s="2"/>
      <c r="P163" s="2"/>
      <c r="Q163" s="2"/>
      <c r="R163" s="2"/>
      <c r="S163" s="2"/>
      <c r="T163" s="2"/>
    </row>
    <row r="164" spans="1:20" ht="12.75" customHeight="1" x14ac:dyDescent="0.25">
      <c r="A164" s="2"/>
      <c r="B164" s="2"/>
      <c r="C164" s="2"/>
      <c r="D164" s="2"/>
      <c r="E164" s="2"/>
      <c r="F164" s="2"/>
      <c r="G164" s="2"/>
      <c r="H164" s="2"/>
      <c r="I164" s="2"/>
      <c r="J164" s="2"/>
      <c r="K164" s="2"/>
      <c r="L164" s="2"/>
      <c r="M164" s="2"/>
      <c r="N164" s="2"/>
      <c r="O164" s="2"/>
      <c r="P164" s="2"/>
      <c r="Q164" s="2"/>
      <c r="R164" s="2"/>
      <c r="S164" s="2"/>
      <c r="T164" s="2"/>
    </row>
    <row r="165" spans="1:20" ht="12.75" customHeight="1" x14ac:dyDescent="0.25">
      <c r="A165" s="2"/>
      <c r="B165" s="2"/>
      <c r="C165" s="2"/>
      <c r="D165" s="2"/>
      <c r="E165" s="2"/>
      <c r="F165" s="2"/>
      <c r="G165" s="2"/>
      <c r="H165" s="2"/>
      <c r="I165" s="2"/>
      <c r="J165" s="2"/>
      <c r="K165" s="2"/>
      <c r="L165" s="2"/>
      <c r="M165" s="2"/>
      <c r="N165" s="2"/>
      <c r="O165" s="2"/>
      <c r="P165" s="2"/>
      <c r="Q165" s="2"/>
      <c r="R165" s="2"/>
      <c r="S165" s="2"/>
      <c r="T165" s="2"/>
    </row>
    <row r="166" spans="1:20" ht="13.5" customHeight="1" x14ac:dyDescent="0.25">
      <c r="A166" s="2"/>
      <c r="B166" s="2"/>
      <c r="C166" s="2"/>
      <c r="D166" s="2"/>
      <c r="E166" s="2"/>
      <c r="F166" s="2"/>
      <c r="G166" s="2"/>
      <c r="H166" s="2"/>
      <c r="I166" s="2"/>
      <c r="J166" s="2"/>
      <c r="K166" s="2"/>
      <c r="L166" s="2"/>
      <c r="M166" s="2"/>
      <c r="N166" s="2"/>
      <c r="O166" s="2"/>
      <c r="P166" s="2"/>
      <c r="Q166" s="2"/>
      <c r="R166" s="2"/>
      <c r="S166" s="2"/>
      <c r="T166" s="2"/>
    </row>
    <row r="167" spans="1:20" ht="12.75" customHeight="1" x14ac:dyDescent="0.25">
      <c r="A167" s="2"/>
      <c r="B167" s="2"/>
      <c r="C167" s="2"/>
      <c r="D167" s="2"/>
      <c r="E167" s="2"/>
      <c r="F167" s="2"/>
      <c r="G167" s="2"/>
      <c r="H167" s="2"/>
      <c r="I167" s="2"/>
      <c r="J167" s="2"/>
      <c r="K167" s="2"/>
      <c r="L167" s="2"/>
      <c r="M167" s="2"/>
      <c r="N167" s="2"/>
      <c r="O167" s="2"/>
      <c r="P167" s="2"/>
      <c r="Q167" s="2"/>
      <c r="R167" s="2"/>
      <c r="S167" s="2"/>
      <c r="T167" s="2"/>
    </row>
    <row r="168" spans="1:20" ht="12.75" customHeight="1" x14ac:dyDescent="0.25">
      <c r="A168" s="2"/>
      <c r="B168" s="2"/>
      <c r="C168" s="2"/>
      <c r="D168" s="2"/>
      <c r="E168" s="2"/>
      <c r="F168" s="2"/>
      <c r="G168" s="2"/>
      <c r="H168" s="2"/>
      <c r="I168" s="2"/>
      <c r="J168" s="2"/>
      <c r="K168" s="2"/>
      <c r="L168" s="2"/>
      <c r="M168" s="2"/>
      <c r="N168" s="2"/>
      <c r="O168" s="2"/>
      <c r="P168" s="2"/>
      <c r="Q168" s="2"/>
      <c r="R168" s="2"/>
      <c r="S168" s="2"/>
      <c r="T168" s="2"/>
    </row>
    <row r="169" spans="1:20" ht="13.5" customHeight="1" x14ac:dyDescent="0.25">
      <c r="A169" s="2"/>
      <c r="B169" s="2"/>
      <c r="C169" s="2"/>
      <c r="D169" s="2"/>
      <c r="E169" s="2"/>
      <c r="F169" s="2"/>
      <c r="G169" s="2"/>
      <c r="H169" s="2"/>
      <c r="I169" s="2"/>
      <c r="J169" s="2"/>
      <c r="K169" s="2"/>
      <c r="L169" s="2"/>
      <c r="M169" s="2"/>
      <c r="N169" s="2"/>
      <c r="O169" s="2"/>
      <c r="P169" s="2"/>
      <c r="Q169" s="2"/>
      <c r="R169" s="2"/>
      <c r="S169" s="2"/>
      <c r="T169" s="2"/>
    </row>
    <row r="170" spans="1:20" ht="12.75" customHeight="1" x14ac:dyDescent="0.25">
      <c r="A170" s="2"/>
      <c r="B170" s="2"/>
      <c r="C170" s="2"/>
      <c r="D170" s="2"/>
      <c r="E170" s="2"/>
      <c r="F170" s="2"/>
      <c r="G170" s="2"/>
      <c r="H170" s="2"/>
      <c r="I170" s="2"/>
      <c r="J170" s="2"/>
      <c r="K170" s="2"/>
      <c r="L170" s="2"/>
      <c r="M170" s="2"/>
      <c r="N170" s="2"/>
      <c r="O170" s="2"/>
      <c r="P170" s="2"/>
      <c r="Q170" s="2"/>
      <c r="R170" s="2"/>
      <c r="S170" s="2"/>
      <c r="T170" s="2"/>
    </row>
    <row r="171" spans="1:20" ht="12.75" customHeight="1" x14ac:dyDescent="0.25">
      <c r="A171" s="2"/>
      <c r="B171" s="2"/>
      <c r="C171" s="2"/>
      <c r="D171" s="2"/>
      <c r="E171" s="2"/>
      <c r="F171" s="2"/>
      <c r="G171" s="2"/>
      <c r="H171" s="2"/>
      <c r="I171" s="2"/>
      <c r="J171" s="2"/>
      <c r="K171" s="2"/>
      <c r="L171" s="2"/>
      <c r="M171" s="2"/>
      <c r="N171" s="2"/>
      <c r="O171" s="2"/>
      <c r="P171" s="2"/>
      <c r="Q171" s="2"/>
      <c r="R171" s="2"/>
      <c r="S171" s="2"/>
      <c r="T171" s="2"/>
    </row>
    <row r="172" spans="1:20" ht="12.75" customHeight="1" x14ac:dyDescent="0.25">
      <c r="A172" s="2"/>
      <c r="B172" s="2"/>
      <c r="C172" s="2"/>
      <c r="D172" s="2"/>
      <c r="E172" s="2"/>
      <c r="F172" s="2"/>
      <c r="G172" s="2"/>
      <c r="H172" s="2"/>
      <c r="I172" s="2"/>
      <c r="J172" s="2"/>
      <c r="K172" s="2"/>
      <c r="L172" s="2"/>
      <c r="M172" s="2"/>
      <c r="N172" s="2"/>
      <c r="O172" s="2"/>
      <c r="P172" s="2"/>
      <c r="Q172" s="2"/>
      <c r="R172" s="2"/>
      <c r="S172" s="2"/>
      <c r="T172" s="2"/>
    </row>
    <row r="173" spans="1:20" ht="12.75" customHeight="1" x14ac:dyDescent="0.25">
      <c r="A173" s="2"/>
      <c r="B173" s="2"/>
      <c r="C173" s="2"/>
      <c r="D173" s="2"/>
      <c r="E173" s="2"/>
      <c r="F173" s="2"/>
      <c r="G173" s="2"/>
      <c r="H173" s="2"/>
      <c r="I173" s="2"/>
      <c r="J173" s="2"/>
      <c r="K173" s="2"/>
      <c r="L173" s="2"/>
      <c r="M173" s="2"/>
      <c r="N173" s="2"/>
      <c r="O173" s="2"/>
      <c r="P173" s="2"/>
      <c r="Q173" s="2"/>
      <c r="R173" s="2"/>
      <c r="S173" s="2"/>
      <c r="T173" s="2"/>
    </row>
    <row r="174" spans="1:20" ht="12.75" customHeight="1" x14ac:dyDescent="0.25">
      <c r="A174" s="2"/>
      <c r="B174" s="2"/>
      <c r="C174" s="2"/>
      <c r="D174" s="2"/>
      <c r="E174" s="2"/>
      <c r="F174" s="2"/>
      <c r="G174" s="2"/>
      <c r="H174" s="2"/>
      <c r="I174" s="2"/>
      <c r="J174" s="2"/>
      <c r="K174" s="2"/>
      <c r="L174" s="2"/>
      <c r="M174" s="2"/>
      <c r="N174" s="2"/>
      <c r="O174" s="2"/>
      <c r="P174" s="2"/>
      <c r="Q174" s="2"/>
      <c r="R174" s="2"/>
      <c r="S174" s="2"/>
      <c r="T174" s="2"/>
    </row>
    <row r="175" spans="1:20" ht="12.75" customHeight="1" x14ac:dyDescent="0.25">
      <c r="A175" s="2"/>
      <c r="B175" s="2"/>
      <c r="C175" s="2"/>
      <c r="D175" s="2"/>
      <c r="E175" s="2"/>
      <c r="F175" s="2"/>
      <c r="G175" s="2"/>
      <c r="H175" s="2"/>
      <c r="I175" s="2"/>
      <c r="J175" s="2"/>
      <c r="K175" s="2"/>
      <c r="L175" s="2"/>
      <c r="M175" s="2"/>
      <c r="N175" s="2"/>
      <c r="O175" s="2"/>
      <c r="P175" s="2"/>
      <c r="Q175" s="2"/>
      <c r="R175" s="2"/>
      <c r="S175" s="2"/>
      <c r="T175" s="2"/>
    </row>
    <row r="176" spans="1:20" ht="12.75" customHeight="1" x14ac:dyDescent="0.25">
      <c r="A176" s="2"/>
      <c r="B176" s="2"/>
      <c r="C176" s="2"/>
      <c r="D176" s="2"/>
      <c r="E176" s="2"/>
      <c r="F176" s="2"/>
      <c r="G176" s="2"/>
      <c r="H176" s="2"/>
      <c r="I176" s="2"/>
      <c r="J176" s="2"/>
      <c r="K176" s="2"/>
      <c r="L176" s="2"/>
      <c r="M176" s="2"/>
      <c r="N176" s="2"/>
      <c r="O176" s="2"/>
      <c r="P176" s="2"/>
      <c r="Q176" s="2"/>
      <c r="R176" s="2"/>
      <c r="S176" s="2"/>
      <c r="T176" s="2"/>
    </row>
    <row r="177" spans="1:20" ht="13.5" customHeight="1" x14ac:dyDescent="0.25">
      <c r="A177" s="2"/>
      <c r="B177" s="2"/>
      <c r="C177" s="2"/>
      <c r="D177" s="2"/>
      <c r="E177" s="2"/>
      <c r="F177" s="2"/>
      <c r="G177" s="2"/>
      <c r="H177" s="2"/>
      <c r="I177" s="2"/>
      <c r="J177" s="2"/>
      <c r="K177" s="2"/>
      <c r="L177" s="2"/>
      <c r="M177" s="2"/>
      <c r="N177" s="2"/>
      <c r="O177" s="2"/>
      <c r="P177" s="2"/>
      <c r="Q177" s="2"/>
      <c r="R177" s="2"/>
      <c r="S177" s="2"/>
      <c r="T177" s="2"/>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D35" sqref="D3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39"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825" customWidth="1"/>
    <col min="19" max="19" width="23.42578125" style="825" customWidth="1"/>
    <col min="20" max="20" width="18.42578125" style="825" customWidth="1"/>
    <col min="21" max="21" width="31.7109375" style="825" customWidth="1"/>
    <col min="22" max="22" width="38.28515625" style="825" customWidth="1"/>
    <col min="23" max="23" width="20.42578125" style="825" customWidth="1"/>
    <col min="24" max="24" width="13.42578125" style="825" customWidth="1"/>
    <col min="25" max="25" width="10.42578125" style="825" customWidth="1"/>
    <col min="26" max="26" width="14.42578125" style="1392" customWidth="1"/>
  </cols>
  <sheetData>
    <row r="1" spans="1:28" ht="4.5" customHeight="1" thickBot="1" x14ac:dyDescent="0.3">
      <c r="A1" s="31"/>
      <c r="B1" s="23"/>
      <c r="C1" s="32"/>
      <c r="D1" s="32"/>
      <c r="E1" s="33"/>
      <c r="F1" s="23"/>
      <c r="G1" s="32" t="s">
        <v>6</v>
      </c>
      <c r="H1" s="32" t="s">
        <v>7</v>
      </c>
      <c r="I1" s="33"/>
      <c r="J1" s="31"/>
      <c r="K1" s="30"/>
      <c r="L1" s="31"/>
      <c r="M1" s="33"/>
      <c r="N1" s="33"/>
      <c r="O1" s="33"/>
      <c r="P1" s="33"/>
      <c r="Q1" s="33"/>
      <c r="R1" s="805"/>
      <c r="S1" s="806"/>
      <c r="T1" s="806"/>
      <c r="U1" s="806"/>
      <c r="V1" s="806"/>
      <c r="W1" s="806"/>
      <c r="X1" s="806"/>
      <c r="Y1" s="806"/>
      <c r="Z1" s="1385"/>
    </row>
    <row r="2" spans="1:28" ht="19.899999999999999" customHeight="1" x14ac:dyDescent="0.25">
      <c r="A2" s="31"/>
      <c r="B2" s="23"/>
      <c r="C2" s="2808" t="s">
        <v>424</v>
      </c>
      <c r="D2" s="2672"/>
      <c r="E2" s="691"/>
      <c r="F2" s="1366" t="s">
        <v>436</v>
      </c>
      <c r="G2" s="2799" t="str">
        <f>IF('R-Definição'!D2&lt;&gt;0,'R-Definição'!D2,"")</f>
        <v>CIRSOP - Consórcio RSU Oeste Paulista</v>
      </c>
      <c r="H2" s="2800"/>
      <c r="I2" s="33"/>
      <c r="J2" s="31"/>
      <c r="K2" s="30"/>
      <c r="L2" s="31"/>
      <c r="M2" s="33"/>
      <c r="N2" s="33"/>
      <c r="O2" s="33"/>
      <c r="P2" s="33"/>
      <c r="Q2" s="33"/>
      <c r="R2" s="805"/>
      <c r="S2" s="806"/>
      <c r="T2" s="806"/>
      <c r="U2" s="806"/>
      <c r="V2" s="806"/>
      <c r="W2" s="806"/>
      <c r="X2" s="806"/>
      <c r="Y2" s="806"/>
      <c r="Z2" s="1385"/>
    </row>
    <row r="3" spans="1:28" ht="19.899999999999999" customHeight="1" thickBot="1" x14ac:dyDescent="0.3">
      <c r="A3" s="31"/>
      <c r="B3" s="23"/>
      <c r="C3" s="2807" t="str">
        <f>Apresentação!I2</f>
        <v>RC-RSU V.1.0 - 15/10/2020</v>
      </c>
      <c r="D3" s="2807"/>
      <c r="E3" s="691"/>
      <c r="F3" s="1367" t="s">
        <v>437</v>
      </c>
      <c r="G3" s="2801" t="str">
        <f>IF('R-Definição'!D3&lt;&gt;0,'R-Definição'!D3,"")</f>
        <v>Biodigestão c/ Prod. E. Elétrica</v>
      </c>
      <c r="H3" s="2802"/>
      <c r="I3" s="33"/>
      <c r="J3" s="31"/>
      <c r="K3" s="30"/>
      <c r="L3" s="31"/>
      <c r="M3" s="33"/>
      <c r="N3" s="33"/>
      <c r="O3" s="33"/>
      <c r="P3" s="33"/>
      <c r="Q3" s="33"/>
      <c r="R3" s="805"/>
      <c r="S3" s="806"/>
      <c r="T3" s="806"/>
      <c r="U3" s="806"/>
      <c r="V3" s="806"/>
      <c r="W3" s="806"/>
      <c r="X3" s="806"/>
      <c r="Y3" s="806"/>
      <c r="Z3" s="1385"/>
    </row>
    <row r="4" spans="1:28" ht="4.9000000000000004" customHeight="1" thickBot="1" x14ac:dyDescent="0.3">
      <c r="A4" s="31"/>
      <c r="B4" s="23"/>
      <c r="C4" s="32"/>
      <c r="D4" s="32"/>
      <c r="E4" s="33"/>
      <c r="F4" s="23"/>
      <c r="G4" s="31"/>
      <c r="H4" s="31"/>
      <c r="I4" s="33"/>
      <c r="J4" s="31"/>
      <c r="K4" s="30"/>
      <c r="L4" s="31"/>
      <c r="M4" s="33"/>
      <c r="N4" s="33"/>
      <c r="O4" s="33"/>
      <c r="P4" s="33"/>
      <c r="Q4" s="33"/>
      <c r="R4" s="805"/>
      <c r="S4" s="806"/>
      <c r="T4" s="806"/>
      <c r="U4" s="806"/>
      <c r="V4" s="806"/>
      <c r="W4" s="806"/>
      <c r="X4" s="806"/>
      <c r="Y4" s="806"/>
      <c r="Z4" s="1385"/>
    </row>
    <row r="5" spans="1:28" ht="19.899999999999999" customHeight="1" thickTop="1" x14ac:dyDescent="0.25">
      <c r="A5" s="31"/>
      <c r="B5" s="1310" t="s">
        <v>514</v>
      </c>
      <c r="C5" s="1311" t="s">
        <v>239</v>
      </c>
      <c r="D5" s="1312" t="s">
        <v>240</v>
      </c>
      <c r="E5" s="133"/>
      <c r="F5" s="1316" t="s">
        <v>594</v>
      </c>
      <c r="G5" s="1317" t="s">
        <v>239</v>
      </c>
      <c r="H5" s="1282" t="s">
        <v>240</v>
      </c>
      <c r="I5" s="33"/>
      <c r="J5" s="31"/>
      <c r="K5" s="30"/>
      <c r="L5" s="31"/>
      <c r="M5" s="33"/>
      <c r="N5" s="33"/>
      <c r="O5" s="33"/>
      <c r="P5" s="33"/>
      <c r="Q5" s="33"/>
      <c r="R5" s="805"/>
      <c r="S5" s="806"/>
      <c r="T5" s="806"/>
      <c r="U5" s="806"/>
      <c r="V5" s="806"/>
      <c r="W5" s="806"/>
      <c r="X5" s="806"/>
      <c r="Y5" s="806"/>
      <c r="Z5" s="806"/>
      <c r="AA5" s="1407"/>
      <c r="AB5" s="1407"/>
    </row>
    <row r="6" spans="1:28" s="1758" customFormat="1" ht="17.649999999999999" customHeight="1" x14ac:dyDescent="0.25">
      <c r="A6" s="1499"/>
      <c r="B6" s="1802" t="s">
        <v>241</v>
      </c>
      <c r="C6" s="1753" t="s">
        <v>242</v>
      </c>
      <c r="D6" s="1754">
        <f>D36</f>
        <v>411597</v>
      </c>
      <c r="E6" s="1499"/>
      <c r="F6" s="1802" t="s">
        <v>512</v>
      </c>
      <c r="G6" s="1755" t="s">
        <v>243</v>
      </c>
      <c r="H6" s="1756">
        <f>IF(D24="Sim",L91,0)</f>
        <v>0</v>
      </c>
      <c r="I6" s="1499"/>
      <c r="J6" s="1499"/>
      <c r="K6" s="1757"/>
      <c r="L6" s="1499"/>
      <c r="M6" s="1499"/>
      <c r="N6" s="1499"/>
      <c r="O6" s="1499"/>
      <c r="P6" s="1499"/>
      <c r="Q6" s="1499"/>
      <c r="R6" s="808" t="s">
        <v>244</v>
      </c>
      <c r="S6" s="807" t="s">
        <v>862</v>
      </c>
      <c r="T6" s="807" t="s">
        <v>790</v>
      </c>
      <c r="U6" s="807" t="s">
        <v>791</v>
      </c>
      <c r="V6" s="807" t="s">
        <v>792</v>
      </c>
      <c r="W6" s="807" t="s">
        <v>797</v>
      </c>
      <c r="X6" s="807" t="s">
        <v>280</v>
      </c>
      <c r="Y6" s="807" t="s">
        <v>131</v>
      </c>
      <c r="Z6" s="807" t="s">
        <v>63</v>
      </c>
      <c r="AA6" s="1405" t="s">
        <v>65</v>
      </c>
      <c r="AB6" s="1407"/>
    </row>
    <row r="7" spans="1:28" s="1758" customFormat="1" ht="17.649999999999999" customHeight="1" x14ac:dyDescent="0.25">
      <c r="A7" s="1499"/>
      <c r="B7" s="1802" t="s">
        <v>245</v>
      </c>
      <c r="C7" s="1759" t="s">
        <v>21</v>
      </c>
      <c r="D7" s="1760">
        <f>D38</f>
        <v>467.94871794871796</v>
      </c>
      <c r="E7" s="1499"/>
      <c r="F7" s="1803" t="s">
        <v>512</v>
      </c>
      <c r="G7" s="1761" t="s">
        <v>246</v>
      </c>
      <c r="H7" s="1762">
        <f>H6*1000000/D8</f>
        <v>0</v>
      </c>
      <c r="I7" s="1499"/>
      <c r="J7" s="1499"/>
      <c r="K7" s="1757"/>
      <c r="L7" s="1499"/>
      <c r="M7" s="1499"/>
      <c r="N7" s="1499"/>
      <c r="O7" s="1499"/>
      <c r="P7" s="1499"/>
      <c r="Q7" s="1499"/>
      <c r="R7" s="808" t="s">
        <v>247</v>
      </c>
      <c r="S7" s="1408">
        <f>IF(D24="Não",0,H21/D40)</f>
        <v>0</v>
      </c>
      <c r="T7" s="809">
        <f>L53</f>
        <v>0</v>
      </c>
      <c r="U7" s="809">
        <f>L56</f>
        <v>533.26842603756552</v>
      </c>
      <c r="V7" s="809">
        <f>L59</f>
        <v>0</v>
      </c>
      <c r="W7" s="809">
        <f>L62</f>
        <v>1005.4870361070574</v>
      </c>
      <c r="X7" s="809">
        <f>L65</f>
        <v>0</v>
      </c>
      <c r="Y7" s="809">
        <f>L68</f>
        <v>0</v>
      </c>
      <c r="Z7" s="809">
        <f>L71</f>
        <v>0</v>
      </c>
      <c r="AA7" s="809">
        <f>L74</f>
        <v>125.5642048956753</v>
      </c>
      <c r="AB7" s="1407"/>
    </row>
    <row r="8" spans="1:28" s="1758" customFormat="1" ht="17.649999999999999" customHeight="1" x14ac:dyDescent="0.25">
      <c r="A8" s="1499"/>
      <c r="B8" s="1802" t="s">
        <v>248</v>
      </c>
      <c r="C8" s="1759" t="s">
        <v>249</v>
      </c>
      <c r="D8" s="1760">
        <f>D40</f>
        <v>146000</v>
      </c>
      <c r="E8" s="1499"/>
      <c r="F8" s="1802" t="s">
        <v>513</v>
      </c>
      <c r="G8" s="1759" t="s">
        <v>243</v>
      </c>
      <c r="H8" s="1756">
        <f>O78</f>
        <v>28.374023336722477</v>
      </c>
      <c r="I8" s="1499"/>
      <c r="J8" s="1499"/>
      <c r="K8" s="1757"/>
      <c r="L8" s="1499"/>
      <c r="M8" s="1499"/>
      <c r="N8" s="1499"/>
      <c r="O8" s="1499"/>
      <c r="P8" s="1499"/>
      <c r="Q8" s="1499"/>
      <c r="R8" s="808" t="s">
        <v>251</v>
      </c>
      <c r="S8" s="1408">
        <v>0</v>
      </c>
      <c r="T8" s="810">
        <f>L52</f>
        <v>0</v>
      </c>
      <c r="U8" s="810">
        <f>L55</f>
        <v>531.56469304703</v>
      </c>
      <c r="V8" s="810">
        <f>L58</f>
        <v>0</v>
      </c>
      <c r="W8" s="810">
        <f>L61</f>
        <v>983.94857524736585</v>
      </c>
      <c r="X8" s="810">
        <f>L64</f>
        <v>0</v>
      </c>
      <c r="Y8" s="810">
        <f>L67</f>
        <v>0</v>
      </c>
      <c r="Z8" s="810">
        <f>L70</f>
        <v>0</v>
      </c>
      <c r="AA8" s="810">
        <f>L73</f>
        <v>261.8259068302545</v>
      </c>
      <c r="AB8" s="1407"/>
    </row>
    <row r="9" spans="1:28" s="1758" customFormat="1" ht="17.649999999999999" customHeight="1" x14ac:dyDescent="0.25">
      <c r="A9" s="1499"/>
      <c r="B9" s="1803" t="s">
        <v>509</v>
      </c>
      <c r="C9" s="1761" t="s">
        <v>249</v>
      </c>
      <c r="D9" s="1763">
        <f>D44</f>
        <v>51073.72</v>
      </c>
      <c r="E9" s="1499"/>
      <c r="F9" s="1803" t="s">
        <v>842</v>
      </c>
      <c r="G9" s="1761" t="s">
        <v>243</v>
      </c>
      <c r="H9" s="1764">
        <f>IF('R-Definição'!$E$121="Existente",((D88+D89)*D44+(D89*D11))/1000000,((D85+D88)*D44+(D89*D11))/1000000)</f>
        <v>2.5536859999999999</v>
      </c>
      <c r="I9" s="1499"/>
      <c r="J9" s="1499"/>
      <c r="K9" s="1757"/>
      <c r="L9" s="1499"/>
      <c r="M9" s="1499"/>
      <c r="N9" s="1499"/>
      <c r="O9" s="1499"/>
      <c r="P9" s="1499"/>
      <c r="Q9" s="1499"/>
      <c r="R9" s="808" t="s">
        <v>252</v>
      </c>
      <c r="S9" s="1408">
        <f>L92</f>
        <v>42.800000000000004</v>
      </c>
      <c r="T9" s="809">
        <f>P53</f>
        <v>0</v>
      </c>
      <c r="U9" s="809">
        <f>P56</f>
        <v>82.769105054330879</v>
      </c>
      <c r="V9" s="809">
        <f>P59</f>
        <v>0</v>
      </c>
      <c r="W9" s="809">
        <f>P62</f>
        <v>63.366817417881016</v>
      </c>
      <c r="X9" s="809">
        <f>P65</f>
        <v>0</v>
      </c>
      <c r="Y9" s="809">
        <f>P68</f>
        <v>0</v>
      </c>
      <c r="Z9" s="809">
        <f>P71</f>
        <v>0</v>
      </c>
      <c r="AA9" s="809">
        <f>IF('R-Definição'!E121="Novo",P74,(D44+D46)*D89/D40)</f>
        <v>48.206703121777636</v>
      </c>
      <c r="AB9" s="1407"/>
    </row>
    <row r="10" spans="1:28" s="1758" customFormat="1" ht="17.649999999999999" customHeight="1" x14ac:dyDescent="0.25">
      <c r="A10" s="1499"/>
      <c r="B10" s="1802" t="s">
        <v>664</v>
      </c>
      <c r="C10" s="1759" t="s">
        <v>194</v>
      </c>
      <c r="D10" s="1765">
        <f>D45</f>
        <v>0.65017999999999998</v>
      </c>
      <c r="E10" s="1499"/>
      <c r="F10" s="1803" t="str">
        <f>IF(D24="Sim","Custo Total Rota Tecnológica COM Coleta","Custo Total Rota Tecnológica SEM Coleta")</f>
        <v>Custo Total Rota Tecnológica SEM Coleta</v>
      </c>
      <c r="G10" s="1761" t="s">
        <v>243</v>
      </c>
      <c r="H10" s="1766">
        <f>H6+H8+H9</f>
        <v>30.927709336722476</v>
      </c>
      <c r="I10" s="1499"/>
      <c r="J10" s="1499"/>
      <c r="K10" s="1757"/>
      <c r="L10" s="1499"/>
      <c r="M10" s="1499"/>
      <c r="N10" s="1499"/>
      <c r="O10" s="1499"/>
      <c r="P10" s="1499"/>
      <c r="Q10" s="1499"/>
      <c r="R10" s="808" t="s">
        <v>253</v>
      </c>
      <c r="S10" s="1408">
        <v>0</v>
      </c>
      <c r="T10" s="810">
        <f>P52</f>
        <v>0</v>
      </c>
      <c r="U10" s="810">
        <f>P55</f>
        <v>82.50466701901351</v>
      </c>
      <c r="V10" s="810">
        <f>P58</f>
        <v>0</v>
      </c>
      <c r="W10" s="810">
        <f>P61</f>
        <v>62.009441670857534</v>
      </c>
      <c r="X10" s="810">
        <f>P64</f>
        <v>0</v>
      </c>
      <c r="Y10" s="810">
        <f>P67</f>
        <v>0</v>
      </c>
      <c r="Z10" s="810">
        <f>P70</f>
        <v>0</v>
      </c>
      <c r="AA10" s="809">
        <f>IF('R-Definição'!E121="Novo",P73,D89)</f>
        <v>100.52039727916925</v>
      </c>
      <c r="AB10" s="1407"/>
    </row>
    <row r="11" spans="1:28" s="1758" customFormat="1" ht="17.649999999999999" customHeight="1" x14ac:dyDescent="0.25">
      <c r="A11" s="1499"/>
      <c r="B11" s="1803" t="s">
        <v>510</v>
      </c>
      <c r="C11" s="1761" t="s">
        <v>249</v>
      </c>
      <c r="D11" s="1763">
        <f>'R-Fluxo Massa'!AS49*312</f>
        <v>0</v>
      </c>
      <c r="E11" s="1499"/>
      <c r="F11" s="1802" t="s">
        <v>1019</v>
      </c>
      <c r="G11" s="1759" t="s">
        <v>243</v>
      </c>
      <c r="H11" s="1756">
        <f>H91*(1-D26)</f>
        <v>0</v>
      </c>
      <c r="I11" s="1499"/>
      <c r="J11" s="1499"/>
      <c r="K11" s="1757"/>
      <c r="L11" s="1499"/>
      <c r="M11" s="1499"/>
      <c r="N11" s="1499"/>
      <c r="O11" s="1499"/>
      <c r="P11" s="1499"/>
      <c r="Q11" s="1499"/>
      <c r="R11" s="808" t="s">
        <v>702</v>
      </c>
      <c r="S11" s="1408">
        <v>0</v>
      </c>
      <c r="T11" s="809">
        <f>IF(T12&gt;0,($P36*$D101+$P37*$D102+$P38*$D103+$P39*$D104+$P40*$D105+$P41*$D106)/(T12*312),0)</f>
        <v>0</v>
      </c>
      <c r="U11" s="811">
        <f>IF(U12&gt;0,($L36*$D101+$L37*$D102+$L38*$D103+$L39*$D104+$L40*$D105+$L41*$D106)/(U12*312),0)</f>
        <v>51.029223125909816</v>
      </c>
      <c r="V11" s="811">
        <f>IF(V12&gt;0,($L44*$D112+$L46*$D111)/(V12*312),0)</f>
        <v>0</v>
      </c>
      <c r="W11" s="811">
        <f>IF(W12&gt;0,($L45*$D112+$L47*$D111)/(W12*312),0)</f>
        <v>36.744715122167278</v>
      </c>
      <c r="X11" s="811">
        <f>IF(X12&gt;0,($P42*$D114+$P45*$D117)/(X12*312),0)</f>
        <v>0</v>
      </c>
      <c r="Y11" s="811">
        <f>IF(Y12&gt;0,($L48*$D108+$L49*$D109)/(Y12*312),0)</f>
        <v>0</v>
      </c>
      <c r="Z11" s="811">
        <f>IF(Z12&gt;0,($P43*$D114)/(Z12*312),0)</f>
        <v>0</v>
      </c>
      <c r="AA11" s="811">
        <f>IF(AA12&gt;0,($P44*$D114+$P46*$D117)/(AA12*312),0)</f>
        <v>0</v>
      </c>
      <c r="AB11" s="1407"/>
    </row>
    <row r="12" spans="1:28" s="1758" customFormat="1" ht="17.649999999999999" customHeight="1" x14ac:dyDescent="0.25">
      <c r="A12" s="1499"/>
      <c r="B12" s="1802" t="s">
        <v>511</v>
      </c>
      <c r="C12" s="1759" t="s">
        <v>194</v>
      </c>
      <c r="D12" s="1765">
        <f>(D16)/D8</f>
        <v>8.6464214998186184E-2</v>
      </c>
      <c r="E12" s="1499"/>
      <c r="F12" s="1802"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755" t="s">
        <v>243</v>
      </c>
      <c r="H12" s="1756">
        <f>IF(D25="Sim",H10-H11,H10)</f>
        <v>30.927709336722476</v>
      </c>
      <c r="I12" s="1499"/>
      <c r="J12" s="1499"/>
      <c r="K12" s="1757"/>
      <c r="L12" s="1499"/>
      <c r="M12" s="1499"/>
      <c r="N12" s="1499"/>
      <c r="O12" s="1499"/>
      <c r="P12" s="1499"/>
      <c r="Q12" s="1499"/>
      <c r="R12" s="808" t="s">
        <v>254</v>
      </c>
      <c r="S12" s="1408">
        <f>D38</f>
        <v>467.94871794871796</v>
      </c>
      <c r="T12" s="809">
        <f>$H52/312</f>
        <v>0</v>
      </c>
      <c r="U12" s="809">
        <f>$H55/312</f>
        <v>469.44855358316909</v>
      </c>
      <c r="V12" s="809">
        <f>$H58/312</f>
        <v>0</v>
      </c>
      <c r="W12" s="809">
        <f>$H61/312</f>
        <v>478.19203289365544</v>
      </c>
      <c r="X12" s="809">
        <f>$H64/312</f>
        <v>0</v>
      </c>
      <c r="Y12" s="809">
        <f>$H67/312</f>
        <v>0</v>
      </c>
      <c r="Z12" s="809">
        <f>$H70/312</f>
        <v>0</v>
      </c>
      <c r="AA12" s="809">
        <f>(D44+D46)/312</f>
        <v>163.69782051282053</v>
      </c>
      <c r="AB12" s="1407"/>
    </row>
    <row r="13" spans="1:28" s="1758" customFormat="1" ht="17.649999999999999" customHeight="1" thickBot="1" x14ac:dyDescent="0.3">
      <c r="A13" s="1499"/>
      <c r="B13" s="1804" t="s">
        <v>843</v>
      </c>
      <c r="C13" s="1767" t="s">
        <v>194</v>
      </c>
      <c r="D13" s="1768">
        <f>D16/((SUM('R-Entrada'!G28:G33))*312)</f>
        <v>0.2710476959190789</v>
      </c>
      <c r="E13" s="1499"/>
      <c r="F13" s="1804"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767" t="s">
        <v>246</v>
      </c>
      <c r="H13" s="1769">
        <f>H12*1000000/D8</f>
        <v>211.83362559398955</v>
      </c>
      <c r="I13" s="1499"/>
      <c r="J13" s="1499"/>
      <c r="K13" s="1757"/>
      <c r="L13" s="1499"/>
      <c r="M13" s="1499"/>
      <c r="N13" s="1499"/>
      <c r="O13" s="1499"/>
      <c r="P13" s="1499"/>
      <c r="Q13" s="1499"/>
      <c r="R13" s="1403"/>
      <c r="S13" s="1404"/>
      <c r="T13" s="1404"/>
      <c r="U13" s="1404"/>
      <c r="V13" s="1404"/>
      <c r="W13" s="1404"/>
      <c r="X13" s="1404"/>
      <c r="Y13" s="1404"/>
      <c r="Z13" s="1404"/>
      <c r="AA13" s="1406"/>
    </row>
    <row r="14" spans="1:28" ht="4.9000000000000004" customHeight="1" thickTop="1" thickBot="1" x14ac:dyDescent="0.3">
      <c r="A14" s="31"/>
      <c r="B14" s="235"/>
      <c r="C14" s="133"/>
      <c r="D14" s="133"/>
      <c r="E14" s="133"/>
      <c r="F14" s="235"/>
      <c r="G14" s="133"/>
      <c r="H14" s="133"/>
      <c r="I14" s="33"/>
      <c r="J14" s="31"/>
      <c r="K14" s="30"/>
      <c r="L14" s="31"/>
      <c r="M14" s="33"/>
      <c r="N14" s="33"/>
      <c r="O14" s="33"/>
      <c r="P14" s="33"/>
      <c r="Q14" s="33"/>
      <c r="R14" s="1403"/>
      <c r="S14" s="1404"/>
      <c r="T14" s="1404"/>
      <c r="U14" s="1404"/>
      <c r="V14" s="1404"/>
      <c r="W14" s="1404"/>
      <c r="X14" s="1404"/>
      <c r="Y14" s="1404"/>
      <c r="Z14" s="1404"/>
      <c r="AA14" s="1406"/>
    </row>
    <row r="15" spans="1:28" ht="19.899999999999999" customHeight="1" thickTop="1" x14ac:dyDescent="0.25">
      <c r="A15" s="31"/>
      <c r="B15" s="1316" t="s">
        <v>750</v>
      </c>
      <c r="C15" s="1317" t="s">
        <v>239</v>
      </c>
      <c r="D15" s="1282" t="s">
        <v>240</v>
      </c>
      <c r="E15" s="139"/>
      <c r="F15" s="1316" t="s">
        <v>751</v>
      </c>
      <c r="G15" s="1317" t="s">
        <v>239</v>
      </c>
      <c r="H15" s="1282" t="s">
        <v>240</v>
      </c>
      <c r="I15" s="33"/>
      <c r="J15" s="31"/>
      <c r="K15" s="30"/>
      <c r="L15" s="31"/>
      <c r="M15" s="33"/>
      <c r="N15" s="33"/>
      <c r="O15" s="33"/>
      <c r="P15" s="33"/>
      <c r="Q15" s="33"/>
      <c r="R15" s="1403"/>
      <c r="S15" s="1404"/>
      <c r="T15" s="1404"/>
      <c r="U15" s="1404"/>
      <c r="V15" s="1404"/>
      <c r="W15" s="1404"/>
      <c r="X15" s="1404"/>
      <c r="Y15" s="1404"/>
      <c r="Z15" s="1404"/>
      <c r="AA15" s="1406"/>
    </row>
    <row r="16" spans="1:28" s="1758" customFormat="1" ht="17.649999999999999" customHeight="1" x14ac:dyDescent="0.25">
      <c r="A16" s="1499"/>
      <c r="B16" s="1803" t="s">
        <v>515</v>
      </c>
      <c r="C16" s="1770" t="s">
        <v>249</v>
      </c>
      <c r="D16" s="1771">
        <f>H36</f>
        <v>12623.775389735183</v>
      </c>
      <c r="E16" s="61"/>
      <c r="F16" s="1802" t="s">
        <v>516</v>
      </c>
      <c r="G16" s="1772" t="s">
        <v>255</v>
      </c>
      <c r="H16" s="1756">
        <f>K78</f>
        <v>242.99067138788354</v>
      </c>
      <c r="I16" s="1499"/>
      <c r="J16" s="1499"/>
      <c r="K16" s="1757"/>
      <c r="L16" s="1499"/>
      <c r="M16" s="1499"/>
      <c r="N16" s="1499"/>
      <c r="O16" s="1499"/>
      <c r="P16" s="1499"/>
      <c r="Q16" s="1499"/>
      <c r="R16" s="1403"/>
      <c r="S16" s="1404"/>
      <c r="T16" s="1404"/>
      <c r="U16" s="1404"/>
      <c r="V16" s="1404"/>
      <c r="W16" s="1404"/>
      <c r="X16" s="1404"/>
      <c r="Y16" s="1404"/>
      <c r="Z16" s="1404"/>
      <c r="AA16" s="1406"/>
    </row>
    <row r="17" spans="1:26" s="1758" customFormat="1" ht="17.649999999999999" customHeight="1" x14ac:dyDescent="0.25">
      <c r="A17" s="1499"/>
      <c r="B17" s="1803" t="s">
        <v>517</v>
      </c>
      <c r="C17" s="1770" t="s">
        <v>249</v>
      </c>
      <c r="D17" s="1771">
        <f>SUM(P36:P41)</f>
        <v>0</v>
      </c>
      <c r="E17" s="61"/>
      <c r="F17" s="1802" t="s">
        <v>518</v>
      </c>
      <c r="G17" s="1772" t="s">
        <v>194</v>
      </c>
      <c r="H17" s="1773">
        <f>G76</f>
        <v>0.30658357317811846</v>
      </c>
      <c r="I17" s="1499"/>
      <c r="J17" s="1499"/>
      <c r="K17" s="1757"/>
      <c r="L17" s="1499"/>
      <c r="M17" s="1499"/>
      <c r="N17" s="1499"/>
      <c r="O17" s="1499"/>
      <c r="P17" s="1499"/>
      <c r="Q17" s="1499"/>
      <c r="R17" s="1403"/>
      <c r="S17" s="1404"/>
      <c r="T17" s="1404"/>
      <c r="U17" s="1404"/>
      <c r="V17" s="1404"/>
      <c r="W17" s="1404"/>
      <c r="X17" s="1404"/>
      <c r="Y17" s="1404"/>
      <c r="Z17" s="1404"/>
    </row>
    <row r="18" spans="1:26" s="1758" customFormat="1" ht="17.649999999999999" customHeight="1" x14ac:dyDescent="0.25">
      <c r="A18" s="1499"/>
      <c r="B18" s="1803" t="s">
        <v>895</v>
      </c>
      <c r="C18" s="1770" t="s">
        <v>249</v>
      </c>
      <c r="D18" s="1771">
        <f>H37+H38</f>
        <v>0</v>
      </c>
      <c r="E18" s="61"/>
      <c r="F18" s="1803" t="s">
        <v>519</v>
      </c>
      <c r="G18" s="1770" t="s">
        <v>256</v>
      </c>
      <c r="H18" s="1763">
        <f>H24*1000000/D40</f>
        <v>2135.3786589362362</v>
      </c>
      <c r="I18" s="1499"/>
      <c r="J18" s="1499"/>
      <c r="K18" s="1757"/>
      <c r="L18" s="1499"/>
      <c r="M18" s="1499"/>
      <c r="N18" s="1499"/>
      <c r="O18" s="1499"/>
      <c r="P18" s="1499"/>
      <c r="Q18" s="1499"/>
      <c r="R18" s="1403"/>
      <c r="S18" s="1404"/>
      <c r="T18" s="1404"/>
      <c r="U18" s="1404"/>
      <c r="V18" s="1404"/>
      <c r="W18" s="1404"/>
      <c r="X18" s="1404"/>
      <c r="Y18" s="1404"/>
      <c r="Z18" s="1404"/>
    </row>
    <row r="19" spans="1:26" s="1758" customFormat="1" ht="17.649999999999999" customHeight="1" x14ac:dyDescent="0.25">
      <c r="A19" s="1499"/>
      <c r="B19" s="1803" t="s">
        <v>520</v>
      </c>
      <c r="C19" s="1770" t="s">
        <v>249</v>
      </c>
      <c r="D19" s="1771">
        <f>H39+H40</f>
        <v>54821.613669786333</v>
      </c>
      <c r="E19" s="61"/>
      <c r="F19" s="1803" t="str">
        <f>J77</f>
        <v>Reinvestimento Total Rota (cada 5 anos)</v>
      </c>
      <c r="G19" s="1774" t="s">
        <v>255</v>
      </c>
      <c r="H19" s="1775">
        <f>K77</f>
        <v>4.2327828609503051</v>
      </c>
      <c r="I19" s="1499"/>
      <c r="J19" s="1499"/>
      <c r="K19" s="1757"/>
      <c r="L19" s="1499"/>
      <c r="M19" s="1499"/>
      <c r="N19" s="1499"/>
      <c r="O19" s="1499"/>
      <c r="P19" s="1499"/>
      <c r="Q19" s="1499"/>
      <c r="R19" s="805"/>
      <c r="S19" s="806"/>
      <c r="T19" s="806"/>
      <c r="U19" s="806"/>
      <c r="V19" s="806"/>
      <c r="W19" s="806"/>
      <c r="X19" s="806"/>
      <c r="Y19" s="806"/>
      <c r="Z19" s="1385"/>
    </row>
    <row r="20" spans="1:26" s="1758" customFormat="1" ht="17.649999999999999" customHeight="1" x14ac:dyDescent="0.25">
      <c r="A20" s="1499"/>
      <c r="B20" s="1803" t="s">
        <v>521</v>
      </c>
      <c r="C20" s="1770" t="s">
        <v>257</v>
      </c>
      <c r="D20" s="1771">
        <f>H41</f>
        <v>0</v>
      </c>
      <c r="E20" s="61"/>
      <c r="F20" s="1805" t="s">
        <v>522</v>
      </c>
      <c r="G20" s="1776" t="s">
        <v>255</v>
      </c>
      <c r="H20" s="1777">
        <f>K75</f>
        <v>22.36864730865986</v>
      </c>
      <c r="I20" s="1499"/>
      <c r="J20" s="1499"/>
      <c r="K20" s="1757"/>
      <c r="L20" s="1499"/>
      <c r="M20" s="1499"/>
      <c r="N20" s="1499"/>
      <c r="O20" s="1499"/>
      <c r="P20" s="1499"/>
      <c r="Q20" s="1499"/>
      <c r="R20" s="805"/>
      <c r="S20" s="806"/>
      <c r="T20" s="806"/>
      <c r="U20" s="806"/>
      <c r="V20" s="806"/>
      <c r="W20" s="806"/>
      <c r="X20" s="806"/>
      <c r="Y20" s="806"/>
      <c r="Z20" s="1385"/>
    </row>
    <row r="21" spans="1:26" s="1758" customFormat="1" ht="17.649999999999999" customHeight="1" thickBot="1" x14ac:dyDescent="0.3">
      <c r="A21" s="1499"/>
      <c r="B21" s="1804" t="s">
        <v>523</v>
      </c>
      <c r="C21" s="1778" t="s">
        <v>258</v>
      </c>
      <c r="D21" s="1779">
        <f>H42</f>
        <v>0</v>
      </c>
      <c r="E21" s="61"/>
      <c r="F21" s="1806" t="s">
        <v>524</v>
      </c>
      <c r="G21" s="1780" t="s">
        <v>255</v>
      </c>
      <c r="H21" s="1781">
        <v>0</v>
      </c>
      <c r="I21" s="1499"/>
      <c r="J21" s="1499"/>
      <c r="K21" s="1757"/>
      <c r="L21" s="1499"/>
      <c r="M21" s="1499"/>
      <c r="N21" s="1499"/>
      <c r="O21" s="1499"/>
      <c r="P21" s="1499"/>
      <c r="Q21" s="1499"/>
      <c r="R21" s="805"/>
      <c r="S21" s="806"/>
      <c r="T21" s="806"/>
      <c r="U21" s="806"/>
      <c r="V21" s="806"/>
      <c r="W21" s="806"/>
      <c r="X21" s="806"/>
      <c r="Y21" s="806"/>
      <c r="Z21" s="1385"/>
    </row>
    <row r="22" spans="1:26" ht="4.9000000000000004" customHeight="1" thickTop="1" thickBot="1" x14ac:dyDescent="0.3">
      <c r="A22" s="33"/>
      <c r="B22" s="136"/>
      <c r="C22" s="236"/>
      <c r="D22" s="236"/>
      <c r="E22" s="133"/>
      <c r="F22" s="133"/>
      <c r="G22" s="133"/>
      <c r="H22" s="133"/>
      <c r="I22" s="33"/>
      <c r="J22" s="33"/>
      <c r="K22" s="29"/>
      <c r="L22" s="33"/>
      <c r="M22" s="33"/>
      <c r="N22" s="33"/>
      <c r="O22" s="33"/>
      <c r="P22" s="33"/>
      <c r="Q22" s="33"/>
      <c r="R22" s="805"/>
      <c r="S22" s="806"/>
      <c r="T22" s="806"/>
      <c r="U22" s="806"/>
      <c r="V22" s="806"/>
      <c r="W22" s="806"/>
      <c r="X22" s="806"/>
      <c r="Y22" s="806"/>
      <c r="Z22" s="1385"/>
    </row>
    <row r="23" spans="1:26" ht="19.899999999999999" customHeight="1" thickTop="1" x14ac:dyDescent="0.25">
      <c r="A23" s="33"/>
      <c r="B23" s="1319" t="s">
        <v>525</v>
      </c>
      <c r="C23" s="1320" t="s">
        <v>239</v>
      </c>
      <c r="D23" s="1321" t="s">
        <v>240</v>
      </c>
      <c r="E23" s="133"/>
      <c r="F23" s="1316" t="s">
        <v>793</v>
      </c>
      <c r="G23" s="1317" t="s">
        <v>239</v>
      </c>
      <c r="H23" s="1282" t="s">
        <v>240</v>
      </c>
      <c r="I23" s="33"/>
      <c r="J23" s="33"/>
      <c r="K23" s="29"/>
      <c r="L23" s="33"/>
      <c r="M23" s="33"/>
      <c r="N23" s="33"/>
      <c r="O23" s="33"/>
      <c r="P23" s="33"/>
      <c r="Q23" s="33"/>
      <c r="R23" s="805"/>
      <c r="S23" s="806"/>
      <c r="T23" s="806"/>
      <c r="U23" s="806"/>
      <c r="V23" s="806"/>
      <c r="W23" s="806"/>
      <c r="X23" s="806"/>
      <c r="Y23" s="806"/>
      <c r="Z23" s="1385"/>
    </row>
    <row r="24" spans="1:26" s="1758" customFormat="1" ht="17.649999999999999" customHeight="1" x14ac:dyDescent="0.25">
      <c r="A24" s="1499"/>
      <c r="B24" s="1802" t="s">
        <v>526</v>
      </c>
      <c r="C24" s="1782" t="s">
        <v>259</v>
      </c>
      <c r="D24" s="1783" t="s">
        <v>7</v>
      </c>
      <c r="E24" s="1499"/>
      <c r="F24" s="1802" t="s">
        <v>860</v>
      </c>
      <c r="G24" s="1772" t="s">
        <v>255</v>
      </c>
      <c r="H24" s="1784">
        <f>'C-FCL Real'!G11</f>
        <v>311.76528420469043</v>
      </c>
      <c r="I24" s="1499"/>
      <c r="J24" s="1499"/>
      <c r="K24" s="1757"/>
      <c r="L24" s="1499"/>
      <c r="M24" s="1499"/>
      <c r="N24" s="1499"/>
      <c r="O24" s="1499"/>
      <c r="P24" s="1499"/>
      <c r="Q24" s="1499"/>
      <c r="R24" s="805"/>
      <c r="S24" s="806"/>
      <c r="T24" s="806"/>
      <c r="U24" s="806"/>
      <c r="V24" s="806"/>
      <c r="W24" s="806"/>
      <c r="X24" s="806"/>
      <c r="Y24" s="806"/>
      <c r="Z24" s="1385"/>
    </row>
    <row r="25" spans="1:26" s="1758" customFormat="1" ht="17.649999999999999" customHeight="1" thickBot="1" x14ac:dyDescent="0.3">
      <c r="A25" s="1499"/>
      <c r="B25" s="1802" t="s">
        <v>527</v>
      </c>
      <c r="C25" s="1782" t="s">
        <v>259</v>
      </c>
      <c r="D25" s="1783" t="s">
        <v>7</v>
      </c>
      <c r="E25" s="1499"/>
      <c r="F25" s="1809" t="s">
        <v>1015</v>
      </c>
      <c r="G25" s="1798" t="s">
        <v>194</v>
      </c>
      <c r="H25" s="1799">
        <f>'C-FCL Real'!C28</f>
        <v>9.74E-2</v>
      </c>
      <c r="I25" s="1499"/>
      <c r="J25" s="1499"/>
      <c r="K25" s="1757"/>
      <c r="L25" s="1499"/>
      <c r="M25" s="1499"/>
      <c r="N25" s="1499"/>
      <c r="O25" s="1499"/>
      <c r="P25" s="1499"/>
      <c r="Q25" s="1499"/>
      <c r="R25" s="805"/>
      <c r="S25" s="806"/>
      <c r="T25" s="806"/>
      <c r="U25" s="806"/>
      <c r="V25" s="806"/>
      <c r="W25" s="806"/>
      <c r="X25" s="806"/>
      <c r="Y25" s="806"/>
      <c r="Z25" s="1385"/>
    </row>
    <row r="26" spans="1:26" s="1758" customFormat="1" ht="17.649999999999999" customHeight="1" x14ac:dyDescent="0.25">
      <c r="A26" s="1499"/>
      <c r="B26" s="1803" t="s">
        <v>859</v>
      </c>
      <c r="C26" s="1774" t="s">
        <v>194</v>
      </c>
      <c r="D26" s="1785">
        <v>1</v>
      </c>
      <c r="E26" s="1499"/>
      <c r="F26" s="1810" t="str">
        <f>'C-FCL Real'!K28</f>
        <v>Índice de Retorno do Inv.: Pay Back</v>
      </c>
      <c r="G26" s="1796" t="s">
        <v>260</v>
      </c>
      <c r="H26" s="1797">
        <f>'C-FCL Real'!H13</f>
        <v>35.048421075140865</v>
      </c>
      <c r="I26" s="1499"/>
      <c r="J26" s="1499"/>
      <c r="K26" s="1757"/>
      <c r="L26" s="1499"/>
      <c r="M26" s="1499"/>
      <c r="N26" s="1499"/>
      <c r="O26" s="1499"/>
      <c r="P26" s="1499"/>
      <c r="Q26" s="1499"/>
      <c r="R26" s="805"/>
      <c r="S26" s="806"/>
      <c r="T26" s="806"/>
      <c r="U26" s="806"/>
      <c r="V26" s="806"/>
      <c r="W26" s="806"/>
      <c r="X26" s="806"/>
      <c r="Y26" s="806"/>
      <c r="Z26" s="1385"/>
    </row>
    <row r="27" spans="1:26" s="1758" customFormat="1" ht="17.649999999999999" customHeight="1" x14ac:dyDescent="0.25">
      <c r="A27" s="1499"/>
      <c r="B27" s="1807" t="s">
        <v>528</v>
      </c>
      <c r="C27" s="1774" t="s">
        <v>194</v>
      </c>
      <c r="D27" s="1786">
        <v>4.7000000000000002E-3</v>
      </c>
      <c r="E27" s="1499"/>
      <c r="F27" s="1802" t="str">
        <f>'C-FCL Real'!K26</f>
        <v>Índice de Retorno do Inv.: VPL</v>
      </c>
      <c r="G27" s="1772" t="s">
        <v>255</v>
      </c>
      <c r="H27" s="1784">
        <f>'C-FCL Real'!H8</f>
        <v>-0.56903296952705951</v>
      </c>
      <c r="I27" s="1499"/>
      <c r="J27" s="1499"/>
      <c r="K27" s="1757"/>
      <c r="L27" s="1499"/>
      <c r="M27" s="1499"/>
      <c r="N27" s="1499"/>
      <c r="O27" s="1499"/>
      <c r="P27" s="1499"/>
      <c r="Q27" s="1499"/>
      <c r="R27" s="805"/>
      <c r="S27" s="806"/>
      <c r="T27" s="806"/>
      <c r="U27" s="806"/>
      <c r="V27" s="806"/>
      <c r="W27" s="806"/>
      <c r="X27" s="806"/>
      <c r="Y27" s="806"/>
      <c r="Z27" s="1385"/>
    </row>
    <row r="28" spans="1:26" s="1758" customFormat="1" ht="17.649999999999999" customHeight="1" x14ac:dyDescent="0.25">
      <c r="A28" s="1499"/>
      <c r="B28" s="1803" t="s">
        <v>1016</v>
      </c>
      <c r="C28" s="1774" t="s">
        <v>243</v>
      </c>
      <c r="D28" s="1787">
        <v>1</v>
      </c>
      <c r="E28" s="1499"/>
      <c r="F28" s="1803" t="str">
        <f>'C-FCL Real'!K27</f>
        <v>Índice de Retorno do Inv.: TIR</v>
      </c>
      <c r="G28" s="1774" t="s">
        <v>194</v>
      </c>
      <c r="H28" s="1788">
        <f>'C-FCL Real'!H9</f>
        <v>0.44949608207223823</v>
      </c>
      <c r="I28" s="1499"/>
      <c r="J28" s="1499"/>
      <c r="K28" s="1757"/>
      <c r="L28" s="1499"/>
      <c r="M28" s="1499"/>
      <c r="N28" s="1499"/>
      <c r="O28" s="1499"/>
      <c r="P28" s="1499"/>
      <c r="Q28" s="1499"/>
      <c r="R28" s="805"/>
      <c r="S28" s="806"/>
      <c r="T28" s="806"/>
      <c r="U28" s="806"/>
      <c r="V28" s="806"/>
      <c r="W28" s="806"/>
      <c r="X28" s="806"/>
      <c r="Y28" s="806"/>
      <c r="Z28" s="1385"/>
    </row>
    <row r="29" spans="1:26" s="1758" customFormat="1" ht="17.649999999999999" customHeight="1" thickBot="1" x14ac:dyDescent="0.3">
      <c r="A29" s="1499"/>
      <c r="B29" s="1803" t="s">
        <v>1017</v>
      </c>
      <c r="C29" s="1774" t="s">
        <v>255</v>
      </c>
      <c r="D29" s="1787">
        <v>0</v>
      </c>
      <c r="E29" s="1499"/>
      <c r="F29" s="1811" t="str">
        <f>'C-FCL Real'!O26</f>
        <v>Taxa de Lucratividade do Investimento</v>
      </c>
      <c r="G29" s="1789" t="s">
        <v>194</v>
      </c>
      <c r="H29" s="1790">
        <f>'C-FCL Real'!H14</f>
        <v>0.99817480329479702</v>
      </c>
      <c r="I29" s="1499"/>
      <c r="J29" s="1499"/>
      <c r="K29" s="1757"/>
      <c r="L29" s="1499"/>
      <c r="M29" s="1499"/>
      <c r="N29" s="1499"/>
      <c r="O29" s="1499"/>
      <c r="P29" s="1499"/>
      <c r="Q29" s="1499"/>
      <c r="R29" s="805"/>
      <c r="S29" s="806"/>
      <c r="T29" s="806"/>
      <c r="U29" s="806"/>
      <c r="V29" s="806"/>
      <c r="W29" s="806"/>
      <c r="X29" s="806"/>
      <c r="Y29" s="806"/>
      <c r="Z29" s="1385"/>
    </row>
    <row r="30" spans="1:26" s="1758" customFormat="1" ht="17.649999999999999" customHeight="1" x14ac:dyDescent="0.25">
      <c r="A30" s="1499"/>
      <c r="B30" s="1805" t="s">
        <v>1018</v>
      </c>
      <c r="C30" s="1776" t="s">
        <v>255</v>
      </c>
      <c r="D30" s="1791">
        <v>0</v>
      </c>
      <c r="E30" s="1499"/>
      <c r="F30" s="1812" t="s">
        <v>861</v>
      </c>
      <c r="G30" s="1800" t="s">
        <v>262</v>
      </c>
      <c r="H30" s="1801">
        <f>D32*(D8*H33+D31*312*H31)/1000000000</f>
        <v>1.6952029996910263</v>
      </c>
      <c r="I30" s="1499"/>
      <c r="J30" s="1499"/>
      <c r="K30" s="1757"/>
      <c r="L30" s="1499"/>
      <c r="M30" s="1499"/>
      <c r="N30" s="1499"/>
      <c r="O30" s="1499"/>
      <c r="P30" s="1499"/>
      <c r="Q30" s="1499"/>
      <c r="R30" s="805"/>
      <c r="S30" s="806"/>
      <c r="T30" s="806"/>
      <c r="U30" s="806"/>
      <c r="V30" s="806"/>
      <c r="W30" s="806"/>
      <c r="X30" s="806"/>
      <c r="Y30" s="806"/>
      <c r="Z30" s="1385"/>
    </row>
    <row r="31" spans="1:26" ht="19.899999999999999" customHeight="1" thickBot="1" x14ac:dyDescent="0.3">
      <c r="A31" s="33"/>
      <c r="B31" s="1808" t="s">
        <v>1011</v>
      </c>
      <c r="C31" s="1751" t="s">
        <v>21</v>
      </c>
      <c r="D31" s="1752">
        <v>60</v>
      </c>
      <c r="E31" s="881"/>
      <c r="F31" s="1813" t="str">
        <f>IF('R-Definição'!$E$121="Existente","TEP Disp. RPU | Custo p/ Disp. RPU Aterro Sanitário","TEP Disp. RPU| Custo Calc. na Aba 'Aterro Sanitário'")</f>
        <v>TEP Disp. RPU| Custo Calc. na Aba 'Aterro Sanitário'</v>
      </c>
      <c r="G31" s="1792" t="s">
        <v>293</v>
      </c>
      <c r="H31" s="1793">
        <f>IF('R-Definição'!$E$121="Existente",P89,P73)</f>
        <v>100.52039727916925</v>
      </c>
      <c r="I31" s="33"/>
      <c r="J31" s="33"/>
      <c r="K31" s="29"/>
      <c r="L31" s="33"/>
      <c r="M31" s="33"/>
      <c r="N31" s="33"/>
      <c r="O31" s="33"/>
      <c r="P31" s="33"/>
      <c r="Q31" s="33"/>
      <c r="R31" s="805"/>
      <c r="S31" s="806"/>
      <c r="T31" s="806"/>
      <c r="U31" s="806"/>
      <c r="V31" s="806"/>
      <c r="W31" s="806"/>
      <c r="X31" s="806"/>
      <c r="Y31" s="806"/>
      <c r="Z31" s="1385"/>
    </row>
    <row r="32" spans="1:26" ht="19.899999999999999" customHeight="1" thickTop="1" x14ac:dyDescent="0.25">
      <c r="A32" s="31"/>
      <c r="B32" s="1814" t="s">
        <v>606</v>
      </c>
      <c r="C32" s="1748" t="s">
        <v>260</v>
      </c>
      <c r="D32" s="1829">
        <v>35</v>
      </c>
      <c r="E32" s="885"/>
      <c r="F32" s="1814" t="s">
        <v>1020</v>
      </c>
      <c r="G32" s="1748" t="s">
        <v>1013</v>
      </c>
      <c r="H32" s="1817">
        <f>'C-Calc Tarifa'!M32</f>
        <v>25.608620791269246</v>
      </c>
      <c r="I32" s="33"/>
      <c r="J32" s="31"/>
      <c r="K32" s="30"/>
      <c r="L32" s="31"/>
      <c r="M32" s="33"/>
      <c r="N32" s="33"/>
      <c r="O32" s="33"/>
      <c r="P32" s="33"/>
      <c r="Q32" s="33"/>
      <c r="R32" s="805"/>
      <c r="S32" s="806"/>
      <c r="T32" s="806"/>
      <c r="U32" s="806"/>
      <c r="V32" s="806"/>
      <c r="W32" s="806"/>
      <c r="X32" s="806"/>
      <c r="Y32" s="806"/>
      <c r="Z32" s="1385"/>
    </row>
    <row r="33" spans="1:26" ht="19.899999999999999" customHeight="1" thickBot="1" x14ac:dyDescent="0.3">
      <c r="A33" s="33"/>
      <c r="B33" s="1815" t="s">
        <v>1012</v>
      </c>
      <c r="C33" s="1749" t="s">
        <v>246</v>
      </c>
      <c r="D33" s="1750">
        <v>292.94394556662456</v>
      </c>
      <c r="E33" s="885"/>
      <c r="F33" s="1816" t="s">
        <v>1014</v>
      </c>
      <c r="G33" s="1794" t="s">
        <v>246</v>
      </c>
      <c r="H33" s="1795">
        <v>318.85362727861343</v>
      </c>
      <c r="I33" s="33"/>
      <c r="J33" s="33"/>
      <c r="K33" s="29"/>
      <c r="L33" s="33"/>
      <c r="M33" s="33"/>
      <c r="N33" s="33"/>
      <c r="O33" s="33"/>
      <c r="P33" s="33"/>
      <c r="Q33" s="33"/>
      <c r="R33" s="805"/>
      <c r="S33" s="806"/>
      <c r="T33" s="806"/>
      <c r="U33" s="806"/>
      <c r="V33" s="806"/>
      <c r="W33" s="806"/>
      <c r="X33" s="806"/>
      <c r="Y33" s="806"/>
      <c r="Z33" s="1385"/>
    </row>
    <row r="34" spans="1:26" ht="25.15" customHeight="1" thickTop="1" thickBot="1" x14ac:dyDescent="0.3">
      <c r="A34" s="31"/>
      <c r="D34">
        <f>IF('C-Triagem Mec'!E7="SIM",'C-Triagem Mec'!E29*'C-Triagem Mec'!E30,IF('C-Triagem Mec'!I7="SIM",'C-Triagem Mec'!I29*'C-Triagem Mec'!I30,IF('C-Triagem Mec'!M7="SIM",'C-Triagem Mec'!M29*'C-Triagem Mec'!M30,IF('C-Triagem Mec'!Q7="SIM",'C-Triagem Mec'!Q29*'C-Triagem Mec'!Q30,IF('C-Triagem Mec'!U7="SIM",'C-Triagem Mec'!U29*'C-Triagem Mec'!U30)))))+IF('C-Produção CDR-TMB'!E7="SIM",'C-Produção CDR-TMB'!E29*'C-Produção CDR-TMB'!E30,IF('C-Produção CDR-TMB'!I7="SIM",'C-Produção CDR-TMB'!I29*'C-Produção CDR-TMB'!I30,IF('C-Produção CDR-TMB'!M7="SIM",'C-Produção CDR-TMB'!M29*'C-Produção CDR-TMB'!M30,IF('C-Produção CDR-TMB'!Q7="SIM",'C-Produção CDR-TMB'!Q29*'C-Produção CDR-TMB'!Q30,IF('C-Produção CDR-TMB'!U7="SIM",'C-Produção CDR-TMB'!U29*'C-Produção CDR-TMB'!U30)))))+1+5+15</f>
        <v>97</v>
      </c>
      <c r="E34" s="33"/>
      <c r="F34" s="23"/>
      <c r="G34" s="31"/>
      <c r="H34" s="31"/>
      <c r="I34" s="33"/>
      <c r="J34" s="31"/>
      <c r="K34" s="30"/>
      <c r="M34" s="33"/>
      <c r="N34" s="33"/>
      <c r="O34" s="33"/>
      <c r="P34" s="33"/>
      <c r="Q34" s="33"/>
      <c r="R34" s="805"/>
      <c r="S34" s="806"/>
      <c r="T34" s="806"/>
      <c r="U34" s="806"/>
      <c r="V34" s="806"/>
      <c r="W34" s="806"/>
      <c r="X34" s="806"/>
      <c r="Y34" s="806"/>
      <c r="Z34" s="1385"/>
    </row>
    <row r="35" spans="1:26" s="59" customFormat="1" ht="19.899999999999999" customHeight="1" collapsed="1" thickTop="1" x14ac:dyDescent="0.25">
      <c r="A35" s="45"/>
      <c r="B35" s="1316" t="s">
        <v>592</v>
      </c>
      <c r="C35" s="1317" t="s">
        <v>239</v>
      </c>
      <c r="D35" s="1282" t="s">
        <v>240</v>
      </c>
      <c r="E35" s="686"/>
      <c r="F35" s="1316" t="s">
        <v>798</v>
      </c>
      <c r="G35" s="1317" t="s">
        <v>239</v>
      </c>
      <c r="H35" s="1282" t="s">
        <v>240</v>
      </c>
      <c r="I35" s="687"/>
      <c r="J35" s="1316" t="s">
        <v>593</v>
      </c>
      <c r="K35" s="1317" t="s">
        <v>239</v>
      </c>
      <c r="L35" s="1282" t="s">
        <v>240</v>
      </c>
      <c r="M35" s="686"/>
      <c r="N35" s="1316" t="s">
        <v>593</v>
      </c>
      <c r="O35" s="1317" t="s">
        <v>239</v>
      </c>
      <c r="P35" s="1282" t="s">
        <v>240</v>
      </c>
      <c r="Q35" s="242"/>
      <c r="R35" s="812"/>
      <c r="S35" s="813"/>
      <c r="T35" s="813"/>
      <c r="U35" s="813"/>
      <c r="V35" s="813"/>
      <c r="W35" s="813"/>
      <c r="X35" s="813"/>
      <c r="Y35" s="813"/>
      <c r="Z35" s="1386"/>
    </row>
    <row r="36" spans="1:26" ht="17.649999999999999" hidden="1" customHeight="1" outlineLevel="1" x14ac:dyDescent="0.25">
      <c r="A36" s="40"/>
      <c r="B36" s="1313" t="s">
        <v>241</v>
      </c>
      <c r="C36" s="246" t="s">
        <v>242</v>
      </c>
      <c r="D36" s="1326">
        <f>'R-Entrada'!E8</f>
        <v>411597</v>
      </c>
      <c r="E36" s="139"/>
      <c r="F36" s="1313" t="s">
        <v>799</v>
      </c>
      <c r="G36" s="246" t="s">
        <v>249</v>
      </c>
      <c r="H36" s="1324">
        <f>SUM(L36:L43)+SUM(P36:P41)</f>
        <v>12623.775389735183</v>
      </c>
      <c r="I36" s="139"/>
      <c r="J36" s="1313" t="s">
        <v>806</v>
      </c>
      <c r="K36" s="246" t="s">
        <v>249</v>
      </c>
      <c r="L36" s="1324">
        <f>('R-Resumo Bal. Massa'!F58+'R-Resumo Bal. Massa'!G58)*312*D48/D8</f>
        <v>5184.0582321483053</v>
      </c>
      <c r="M36" s="139"/>
      <c r="N36" s="1313" t="s">
        <v>820</v>
      </c>
      <c r="O36" s="246" t="s">
        <v>249</v>
      </c>
      <c r="P36" s="1324">
        <f>'R-Resumo Bal. Massa'!E58*312*D48/D8</f>
        <v>0</v>
      </c>
      <c r="Q36" s="133"/>
      <c r="R36" s="805"/>
      <c r="S36" s="806"/>
      <c r="T36" s="806"/>
      <c r="U36" s="806"/>
      <c r="V36" s="806"/>
      <c r="W36" s="806"/>
      <c r="X36" s="806"/>
      <c r="Y36" s="806"/>
      <c r="Z36" s="1385"/>
    </row>
    <row r="37" spans="1:26" ht="17.649999999999999" hidden="1" customHeight="1" outlineLevel="1" x14ac:dyDescent="0.25">
      <c r="A37" s="40"/>
      <c r="B37" s="1313" t="s">
        <v>703</v>
      </c>
      <c r="C37" s="1276" t="s">
        <v>704</v>
      </c>
      <c r="D37" s="1327">
        <f>D38*1000*312/D36/365</f>
        <v>0.97182438161599816</v>
      </c>
      <c r="E37" s="139"/>
      <c r="F37" s="1313" t="s">
        <v>800</v>
      </c>
      <c r="G37" s="1276" t="s">
        <v>249</v>
      </c>
      <c r="H37" s="1324">
        <f>L48</f>
        <v>0</v>
      </c>
      <c r="I37" s="139"/>
      <c r="J37" s="1313" t="s">
        <v>807</v>
      </c>
      <c r="K37" s="1276" t="s">
        <v>249</v>
      </c>
      <c r="L37" s="1324">
        <f>('R-Resumo Bal. Massa'!F59+'R-Resumo Bal. Massa'!G59)*312*D48/D8</f>
        <v>3521.9937607725124</v>
      </c>
      <c r="M37" s="139"/>
      <c r="N37" s="1313" t="s">
        <v>821</v>
      </c>
      <c r="O37" s="1276" t="s">
        <v>249</v>
      </c>
      <c r="P37" s="1324">
        <f>'R-Resumo Bal. Massa'!E59*312*D48/D8</f>
        <v>0</v>
      </c>
      <c r="Q37" s="133"/>
      <c r="R37" s="805"/>
      <c r="S37" s="806"/>
      <c r="T37" s="806"/>
      <c r="U37" s="806"/>
      <c r="V37" s="806"/>
      <c r="W37" s="806"/>
      <c r="X37" s="806"/>
      <c r="Y37" s="806"/>
      <c r="Z37" s="1385"/>
    </row>
    <row r="38" spans="1:26" ht="17.649999999999999" hidden="1" customHeight="1" outlineLevel="1" x14ac:dyDescent="0.25">
      <c r="A38" s="40"/>
      <c r="B38" s="1313" t="s">
        <v>245</v>
      </c>
      <c r="C38" s="1276" t="s">
        <v>21</v>
      </c>
      <c r="D38" s="1324">
        <f>'R-Entrada'!E14</f>
        <v>467.94871794871796</v>
      </c>
      <c r="E38" s="139"/>
      <c r="F38" s="1313" t="s">
        <v>801</v>
      </c>
      <c r="G38" s="1276" t="s">
        <v>249</v>
      </c>
      <c r="H38" s="1324">
        <f>L49</f>
        <v>0</v>
      </c>
      <c r="I38" s="139"/>
      <c r="J38" s="1313" t="s">
        <v>808</v>
      </c>
      <c r="K38" s="1276" t="s">
        <v>249</v>
      </c>
      <c r="L38" s="1324">
        <f>('R-Resumo Bal. Massa'!F60+'R-Resumo Bal. Massa'!G60)*312*D48/D8</f>
        <v>1820.3563257925346</v>
      </c>
      <c r="M38" s="139"/>
      <c r="N38" s="1313" t="s">
        <v>822</v>
      </c>
      <c r="O38" s="1276" t="s">
        <v>249</v>
      </c>
      <c r="P38" s="1324">
        <f>'R-Resumo Bal. Massa'!E60*312*D48/D8</f>
        <v>0</v>
      </c>
      <c r="Q38" s="133"/>
      <c r="R38" s="805"/>
      <c r="S38" s="806"/>
      <c r="T38" s="806"/>
      <c r="U38" s="806"/>
      <c r="V38" s="806"/>
      <c r="W38" s="806"/>
      <c r="X38" s="806"/>
      <c r="Y38" s="806"/>
      <c r="Z38" s="1385"/>
    </row>
    <row r="39" spans="1:26" ht="17.649999999999999" hidden="1" customHeight="1" outlineLevel="1" x14ac:dyDescent="0.25">
      <c r="A39" s="40"/>
      <c r="B39" s="1313" t="s">
        <v>263</v>
      </c>
      <c r="C39" s="1276" t="s">
        <v>264</v>
      </c>
      <c r="D39" s="1324">
        <f>D40/12</f>
        <v>12166.666666666666</v>
      </c>
      <c r="E39" s="139"/>
      <c r="F39" s="1313" t="s">
        <v>802</v>
      </c>
      <c r="G39" s="1276" t="s">
        <v>249</v>
      </c>
      <c r="H39" s="1324">
        <f>L44+L45</f>
        <v>54821.613669786333</v>
      </c>
      <c r="I39" s="139"/>
      <c r="J39" s="1313" t="s">
        <v>809</v>
      </c>
      <c r="K39" s="1276" t="s">
        <v>249</v>
      </c>
      <c r="L39" s="1324">
        <f>('R-Resumo Bal. Massa'!F61+'R-Resumo Bal. Massa'!G61)*312*D48/D8</f>
        <v>949.75112650045298</v>
      </c>
      <c r="M39" s="139"/>
      <c r="N39" s="1313" t="s">
        <v>823</v>
      </c>
      <c r="O39" s="1276" t="s">
        <v>249</v>
      </c>
      <c r="P39" s="1324">
        <f>'R-Resumo Bal. Massa'!E61*312*D48/D8</f>
        <v>0</v>
      </c>
      <c r="Q39" s="133"/>
      <c r="R39" s="805"/>
      <c r="S39" s="806"/>
      <c r="T39" s="806"/>
      <c r="U39" s="806"/>
      <c r="V39" s="806"/>
      <c r="W39" s="806"/>
      <c r="X39" s="806"/>
      <c r="Y39" s="806"/>
      <c r="Z39" s="1385"/>
    </row>
    <row r="40" spans="1:26" ht="17.649999999999999" hidden="1" customHeight="1" outlineLevel="1" x14ac:dyDescent="0.25">
      <c r="A40" s="40"/>
      <c r="B40" s="1313" t="s">
        <v>248</v>
      </c>
      <c r="C40" s="1276" t="s">
        <v>249</v>
      </c>
      <c r="D40" s="1324">
        <f>D38*312</f>
        <v>146000</v>
      </c>
      <c r="E40" s="139"/>
      <c r="F40" s="1313" t="s">
        <v>803</v>
      </c>
      <c r="G40" s="1276" t="s">
        <v>249</v>
      </c>
      <c r="H40" s="1324">
        <f>L46+L47</f>
        <v>0</v>
      </c>
      <c r="I40" s="139"/>
      <c r="J40" s="1313" t="s">
        <v>810</v>
      </c>
      <c r="K40" s="1276" t="s">
        <v>249</v>
      </c>
      <c r="L40" s="1324">
        <f>('R-Resumo Bal. Massa'!F63+'R-Resumo Bal. Massa'!G63)*312*D48/D8</f>
        <v>237.43778162511325</v>
      </c>
      <c r="M40" s="139"/>
      <c r="N40" s="1313" t="s">
        <v>824</v>
      </c>
      <c r="O40" s="1276" t="s">
        <v>249</v>
      </c>
      <c r="P40" s="1324">
        <f>'R-Resumo Bal. Massa'!E63*312*D48/D8</f>
        <v>0</v>
      </c>
      <c r="Q40" s="133"/>
      <c r="R40" s="805"/>
      <c r="S40" s="806"/>
      <c r="T40" s="806"/>
      <c r="U40" s="806"/>
      <c r="V40" s="806"/>
      <c r="W40" s="806"/>
      <c r="X40" s="806"/>
      <c r="Y40" s="806"/>
      <c r="Z40" s="1385"/>
    </row>
    <row r="41" spans="1:26" ht="17.649999999999999" hidden="1" customHeight="1" outlineLevel="1" x14ac:dyDescent="0.25">
      <c r="A41" s="40"/>
      <c r="B41" s="1313" t="s">
        <v>529</v>
      </c>
      <c r="C41" s="1276" t="s">
        <v>249</v>
      </c>
      <c r="D41" s="1326" t="str">
        <f>IF('R-Resumo Bal. Massa'!D13&gt;0,'R-Resumo Bal. Massa'!D13*312,"0")</f>
        <v>0</v>
      </c>
      <c r="E41" s="139"/>
      <c r="F41" s="1313" t="s">
        <v>804</v>
      </c>
      <c r="G41" s="1276" t="s">
        <v>257</v>
      </c>
      <c r="H41" s="1324">
        <f>P42+P43+P44</f>
        <v>0</v>
      </c>
      <c r="I41" s="139"/>
      <c r="J41" s="1313" t="s">
        <v>811</v>
      </c>
      <c r="K41" s="1276" t="s">
        <v>249</v>
      </c>
      <c r="L41" s="1324">
        <f>('R-Resumo Bal. Massa'!F62+'R-Resumo Bal. Massa'!G62)*312*D48/D8</f>
        <v>910.17816289626728</v>
      </c>
      <c r="M41" s="139"/>
      <c r="N41" s="1313" t="s">
        <v>825</v>
      </c>
      <c r="O41" s="1276" t="s">
        <v>249</v>
      </c>
      <c r="P41" s="1324">
        <f>'R-Resumo Bal. Massa'!E62*312*D48/D8</f>
        <v>0</v>
      </c>
      <c r="Q41" s="133"/>
      <c r="R41" s="805"/>
      <c r="S41" s="806"/>
      <c r="T41" s="806"/>
      <c r="U41" s="806"/>
      <c r="V41" s="806"/>
      <c r="W41" s="806"/>
      <c r="X41" s="806"/>
      <c r="Y41" s="806"/>
      <c r="Z41" s="1385"/>
    </row>
    <row r="42" spans="1:26" ht="17.649999999999999" hidden="1" customHeight="1" outlineLevel="1" x14ac:dyDescent="0.25">
      <c r="A42" s="40"/>
      <c r="B42" s="1313" t="s">
        <v>530</v>
      </c>
      <c r="C42" s="1276" t="s">
        <v>249</v>
      </c>
      <c r="D42" s="1324" t="str">
        <f>IF('R-Resumo Bal. Massa'!D14&gt;0,'R-Resumo Bal. Massa'!D14*312,"0")</f>
        <v>0</v>
      </c>
      <c r="E42" s="139"/>
      <c r="F42" s="1313" t="s">
        <v>805</v>
      </c>
      <c r="G42" s="457" t="s">
        <v>258</v>
      </c>
      <c r="H42" s="1324">
        <f>P45+P46</f>
        <v>0</v>
      </c>
      <c r="I42" s="139"/>
      <c r="J42" s="1313" t="s">
        <v>812</v>
      </c>
      <c r="K42" s="1276" t="s">
        <v>249</v>
      </c>
      <c r="L42" s="1324">
        <f>('R-Resumo Bal. Massa'!J63)*312*D48/D8</f>
        <v>0</v>
      </c>
      <c r="M42" s="139"/>
      <c r="N42" s="1313" t="s">
        <v>830</v>
      </c>
      <c r="O42" s="1276" t="s">
        <v>257</v>
      </c>
      <c r="P42" s="1324">
        <f>IF('R-Definição'!J59&gt;0,'R-Resumo Bal. Massa'!I74*312/1000,0)*D48/D8</f>
        <v>0</v>
      </c>
      <c r="Q42" s="133"/>
      <c r="R42" s="805"/>
      <c r="S42" s="806"/>
      <c r="T42" s="806"/>
      <c r="U42" s="806"/>
      <c r="V42" s="806"/>
      <c r="W42" s="806"/>
      <c r="X42" s="806"/>
      <c r="Y42" s="806"/>
      <c r="Z42" s="1385"/>
    </row>
    <row r="43" spans="1:26" ht="17.649999999999999" hidden="1" customHeight="1" outlineLevel="1" x14ac:dyDescent="0.25">
      <c r="A43" s="40"/>
      <c r="B43" s="1313" t="s">
        <v>531</v>
      </c>
      <c r="C43" s="1276" t="s">
        <v>249</v>
      </c>
      <c r="D43" s="1324">
        <f>IF('R-Resumo Bal. Massa'!D15&gt;0,('R-Resumo Bal. Massa'!D15)*312,"0")</f>
        <v>146000.00000000003</v>
      </c>
      <c r="E43" s="139"/>
      <c r="F43" s="1313"/>
      <c r="G43" s="246"/>
      <c r="H43" s="1324"/>
      <c r="I43" s="139"/>
      <c r="J43" s="1313" t="s">
        <v>813</v>
      </c>
      <c r="K43" s="1276" t="s">
        <v>249</v>
      </c>
      <c r="L43" s="1324">
        <f>('R-Resumo Bal. Massa'!J62)*312*D48/D8</f>
        <v>0</v>
      </c>
      <c r="M43" s="139"/>
      <c r="N43" s="1313" t="s">
        <v>829</v>
      </c>
      <c r="O43" s="1276" t="s">
        <v>257</v>
      </c>
      <c r="P43" s="1324">
        <f>'R-Resumo Bal. Massa'!J74*312/1000*D48/D8</f>
        <v>0</v>
      </c>
      <c r="Q43" s="133"/>
      <c r="R43" s="805"/>
      <c r="S43" s="806"/>
      <c r="T43" s="806"/>
      <c r="U43" s="806"/>
      <c r="V43" s="806"/>
      <c r="W43" s="806"/>
      <c r="X43" s="806"/>
      <c r="Y43" s="806"/>
      <c r="Z43" s="1385"/>
    </row>
    <row r="44" spans="1:26" ht="17.649999999999999" hidden="1" customHeight="1" outlineLevel="1" x14ac:dyDescent="0.25">
      <c r="A44" s="40"/>
      <c r="B44" s="1313" t="s">
        <v>509</v>
      </c>
      <c r="C44" s="1276" t="s">
        <v>249</v>
      </c>
      <c r="D44" s="1324">
        <f>'R-Resumo Bal. Massa'!D53*312+IF(OR(D108&lt;0,D109&lt;0),D18,0)+(IF(OR(D111&lt;0,D112&lt;0),D19,0))</f>
        <v>51073.72</v>
      </c>
      <c r="E44" s="139"/>
      <c r="F44" s="1313"/>
      <c r="G44" s="1276"/>
      <c r="H44" s="1324"/>
      <c r="I44" s="139"/>
      <c r="J44" s="1313" t="s">
        <v>814</v>
      </c>
      <c r="K44" s="246" t="s">
        <v>249</v>
      </c>
      <c r="L44" s="1324">
        <f>IF('R-Definição'!I51&gt;0,('R-Definição'!I49-'R-Definição'!O53-'R-Definição'!O55)*'R-Definição'!L50/100*312,0)*D48/D8</f>
        <v>0</v>
      </c>
      <c r="M44" s="139"/>
      <c r="N44" s="1313" t="s">
        <v>828</v>
      </c>
      <c r="O44" s="1276" t="s">
        <v>257</v>
      </c>
      <c r="P44" s="1324">
        <f>'R-Resumo Bal. Massa'!K74*312/1000*D48/D8</f>
        <v>0</v>
      </c>
      <c r="Q44" s="133"/>
      <c r="R44" s="805"/>
      <c r="S44" s="806"/>
      <c r="T44" s="806"/>
      <c r="U44" s="806"/>
      <c r="V44" s="806"/>
      <c r="W44" s="806"/>
      <c r="X44" s="806"/>
      <c r="Y44" s="806"/>
      <c r="Z44" s="1385"/>
    </row>
    <row r="45" spans="1:26" ht="17.649999999999999" hidden="1" customHeight="1" outlineLevel="1" x14ac:dyDescent="0.25">
      <c r="A45" s="40"/>
      <c r="B45" s="1313" t="s">
        <v>665</v>
      </c>
      <c r="C45" s="1276" t="s">
        <v>194</v>
      </c>
      <c r="D45" s="1328">
        <f>(D40-D44)/D40</f>
        <v>0.65017999999999998</v>
      </c>
      <c r="E45" s="243"/>
      <c r="F45" s="1313"/>
      <c r="G45" s="1276"/>
      <c r="H45" s="1324"/>
      <c r="I45" s="243"/>
      <c r="J45" s="1313" t="s">
        <v>815</v>
      </c>
      <c r="K45" s="1276" t="s">
        <v>249</v>
      </c>
      <c r="L45" s="1324">
        <f>IF('R-Definição'!I52&gt;0,('R-Definição'!I49-'R-Definição'!O53-'R-Definição'!O55)*'R-Definição'!L50/100*312,0)*D48/D8</f>
        <v>54821.613669786333</v>
      </c>
      <c r="M45" s="243"/>
      <c r="N45" s="1313" t="s">
        <v>827</v>
      </c>
      <c r="O45" s="457" t="s">
        <v>258</v>
      </c>
      <c r="P45" s="1324">
        <f>IF('R-Definição'!J59&gt;0,'R-Resumo Bal. Massa'!I75*312,0)*D48/D8</f>
        <v>0</v>
      </c>
      <c r="Q45" s="133"/>
      <c r="R45" s="805"/>
      <c r="S45" s="806"/>
      <c r="T45" s="806"/>
      <c r="U45" s="806"/>
      <c r="V45" s="806"/>
      <c r="W45" s="806"/>
      <c r="X45" s="806"/>
      <c r="Y45" s="806"/>
      <c r="Z45" s="1385"/>
    </row>
    <row r="46" spans="1:26" ht="17.649999999999999" hidden="1" customHeight="1" outlineLevel="1" x14ac:dyDescent="0.25">
      <c r="A46" s="40"/>
      <c r="B46" s="1313" t="s">
        <v>510</v>
      </c>
      <c r="C46" s="239" t="s">
        <v>249</v>
      </c>
      <c r="D46" s="1314">
        <f>'R-Fluxo Massa'!AS49*312</f>
        <v>0</v>
      </c>
      <c r="E46" s="139"/>
      <c r="F46" s="1313"/>
      <c r="G46" s="1276"/>
      <c r="H46" s="1324"/>
      <c r="I46" s="243"/>
      <c r="J46" s="1313" t="s">
        <v>816</v>
      </c>
      <c r="K46" s="1276" t="s">
        <v>249</v>
      </c>
      <c r="L46" s="1324">
        <f>IF('R-Definição'!I51&gt;0,('R-Definição'!I49-'R-Definição'!O53-'R-Definição'!O55)*'R-Definição'!L49/100*312,0)*D48/D8</f>
        <v>0</v>
      </c>
      <c r="M46" s="243"/>
      <c r="N46" s="1313" t="s">
        <v>826</v>
      </c>
      <c r="O46" s="457" t="s">
        <v>258</v>
      </c>
      <c r="P46" s="1324">
        <f>'R-Resumo Bal. Massa'!K75*312*D48/D8</f>
        <v>0</v>
      </c>
      <c r="Q46" s="133"/>
      <c r="R46" s="805"/>
      <c r="S46" s="806"/>
      <c r="T46" s="806"/>
      <c r="U46" s="806"/>
      <c r="V46" s="806"/>
      <c r="W46" s="806"/>
      <c r="X46" s="806"/>
      <c r="Y46" s="806"/>
      <c r="Z46" s="1385"/>
    </row>
    <row r="47" spans="1:26" ht="17.649999999999999" hidden="1" customHeight="1" outlineLevel="1" x14ac:dyDescent="0.25">
      <c r="A47" s="40"/>
      <c r="B47" s="1313"/>
      <c r="C47" s="1276"/>
      <c r="D47" s="1324"/>
      <c r="E47" s="139"/>
      <c r="F47" s="1313"/>
      <c r="G47" s="1276"/>
      <c r="H47" s="1324"/>
      <c r="I47" s="243"/>
      <c r="J47" s="1313" t="s">
        <v>817</v>
      </c>
      <c r="K47" s="1276" t="s">
        <v>249</v>
      </c>
      <c r="L47" s="1324">
        <f>IF('R-Definição'!I52&gt;0,('R-Definição'!I49-'R-Definição'!O53-'R-Definição'!O55)*'R-Definição'!L49/100*312,0)*D48/D8</f>
        <v>0</v>
      </c>
      <c r="M47" s="243"/>
      <c r="N47" s="1313"/>
      <c r="O47" s="1276"/>
      <c r="P47" s="1324"/>
      <c r="Q47" s="133"/>
      <c r="R47" s="805"/>
      <c r="S47" s="806"/>
      <c r="T47" s="806"/>
      <c r="U47" s="806"/>
      <c r="V47" s="806"/>
      <c r="W47" s="806"/>
      <c r="X47" s="806"/>
      <c r="Y47" s="806"/>
      <c r="Z47" s="1385"/>
    </row>
    <row r="48" spans="1:26" ht="17.649999999999999" hidden="1" customHeight="1" outlineLevel="1" x14ac:dyDescent="0.25">
      <c r="A48" s="40"/>
      <c r="B48" s="1313" t="s">
        <v>1027</v>
      </c>
      <c r="C48" s="1276" t="s">
        <v>249</v>
      </c>
      <c r="D48" s="1540">
        <f>SUMIF('C-FCL Real'!$C$33:'C-FCL Real'!$BG$33,1,'C-FCL Real'!C35:'C-FCL Real'!BG35)/D32</f>
        <v>158291.85441674214</v>
      </c>
      <c r="E48" s="243"/>
      <c r="F48" s="1313"/>
      <c r="G48" s="1276"/>
      <c r="H48" s="1324"/>
      <c r="I48" s="243"/>
      <c r="J48" s="1313" t="s">
        <v>818</v>
      </c>
      <c r="K48" s="1276" t="s">
        <v>249</v>
      </c>
      <c r="L48" s="1324">
        <f>'R-Resumo Bal. Massa'!I66*312*D48/D8</f>
        <v>0</v>
      </c>
      <c r="M48" s="243"/>
      <c r="N48" s="1313"/>
      <c r="O48" s="1276"/>
      <c r="P48" s="1324"/>
      <c r="Q48" s="133"/>
      <c r="R48" s="805"/>
      <c r="S48" s="806"/>
      <c r="T48" s="806"/>
      <c r="U48" s="806"/>
      <c r="V48" s="806"/>
      <c r="W48" s="806"/>
      <c r="X48" s="806"/>
      <c r="Y48" s="806"/>
      <c r="Z48" s="1385"/>
    </row>
    <row r="49" spans="1:26" ht="17.649999999999999" hidden="1" customHeight="1" outlineLevel="1" thickBot="1" x14ac:dyDescent="0.3">
      <c r="A49" s="31"/>
      <c r="B49" s="1315"/>
      <c r="C49" s="1329"/>
      <c r="D49" s="1325"/>
      <c r="E49" s="139"/>
      <c r="F49" s="1315"/>
      <c r="G49" s="1329"/>
      <c r="H49" s="1325"/>
      <c r="I49" s="139"/>
      <c r="J49" s="1315" t="s">
        <v>819</v>
      </c>
      <c r="K49" s="1329" t="s">
        <v>249</v>
      </c>
      <c r="L49" s="1325">
        <f>'R-Resumo Bal. Massa'!I67*312*D48/D8</f>
        <v>0</v>
      </c>
      <c r="M49" s="139"/>
      <c r="N49" s="1315"/>
      <c r="O49" s="1329"/>
      <c r="P49" s="1325"/>
      <c r="Q49" s="133"/>
      <c r="R49" s="805"/>
      <c r="S49" s="806"/>
      <c r="T49" s="806"/>
      <c r="U49" s="806"/>
      <c r="V49" s="806"/>
      <c r="W49" s="806"/>
      <c r="X49" s="806"/>
      <c r="Y49" s="806"/>
      <c r="Z49" s="1385"/>
    </row>
    <row r="50" spans="1:26" ht="10.15" customHeight="1" thickBot="1" x14ac:dyDescent="0.3">
      <c r="A50" s="31"/>
      <c r="B50" s="136"/>
      <c r="C50" s="236"/>
      <c r="D50" s="236"/>
      <c r="E50" s="133"/>
      <c r="F50" s="136"/>
      <c r="G50" s="236" t="s">
        <v>6</v>
      </c>
      <c r="H50" s="236" t="s">
        <v>7</v>
      </c>
      <c r="I50" s="133"/>
      <c r="J50" s="133"/>
      <c r="K50" s="98"/>
      <c r="L50" s="133"/>
      <c r="M50" s="133"/>
      <c r="N50" s="133"/>
      <c r="O50" s="133"/>
      <c r="P50" s="133"/>
      <c r="Q50" s="133"/>
      <c r="R50" s="805"/>
      <c r="S50" s="806"/>
      <c r="T50" s="806"/>
      <c r="U50" s="806"/>
      <c r="V50" s="806"/>
      <c r="W50" s="806"/>
      <c r="X50" s="806"/>
      <c r="Y50" s="806"/>
      <c r="Z50" s="1385"/>
    </row>
    <row r="51" spans="1:26" s="691" customFormat="1" ht="30.4" customHeight="1" collapsed="1" thickTop="1" x14ac:dyDescent="0.25">
      <c r="A51" s="688"/>
      <c r="B51" s="1319" t="s">
        <v>549</v>
      </c>
      <c r="C51" s="1357" t="s">
        <v>239</v>
      </c>
      <c r="D51" s="1321" t="s">
        <v>240</v>
      </c>
      <c r="E51" s="689"/>
      <c r="F51" s="1316" t="s">
        <v>545</v>
      </c>
      <c r="G51" s="1349" t="s">
        <v>265</v>
      </c>
      <c r="H51" s="1282" t="s">
        <v>266</v>
      </c>
      <c r="I51" s="690"/>
      <c r="J51" s="1316" t="s">
        <v>545</v>
      </c>
      <c r="K51" s="1317" t="s">
        <v>267</v>
      </c>
      <c r="L51" s="1282" t="s">
        <v>268</v>
      </c>
      <c r="M51" s="690"/>
      <c r="N51" s="1316" t="s">
        <v>545</v>
      </c>
      <c r="O51" s="1317" t="s">
        <v>269</v>
      </c>
      <c r="P51" s="1282" t="s">
        <v>270</v>
      </c>
      <c r="Q51" s="688"/>
      <c r="R51" s="814"/>
      <c r="S51" s="815"/>
      <c r="T51" s="815"/>
      <c r="U51" s="815"/>
      <c r="V51" s="815"/>
      <c r="W51" s="815"/>
      <c r="X51" s="815"/>
      <c r="Y51" s="815"/>
      <c r="Z51" s="1387"/>
    </row>
    <row r="52" spans="1:26" ht="17.649999999999999" hidden="1" customHeight="1" outlineLevel="1" x14ac:dyDescent="0.25">
      <c r="A52" s="40"/>
      <c r="B52" s="1313" t="s">
        <v>532</v>
      </c>
      <c r="C52" s="1276" t="s">
        <v>271</v>
      </c>
      <c r="D52" s="1358">
        <v>6</v>
      </c>
      <c r="E52" s="133"/>
      <c r="F52" s="899" t="s">
        <v>540</v>
      </c>
      <c r="G52" s="899" t="str">
        <f>'C-Triagem Man'!L2</f>
        <v>Não</v>
      </c>
      <c r="H52" s="899">
        <f>IF('C-Triagem Man'!D2&gt;0,'C-Triagem Man'!H2,0)</f>
        <v>0</v>
      </c>
      <c r="I52" s="609"/>
      <c r="J52" s="899" t="s">
        <v>540</v>
      </c>
      <c r="K52" s="1409">
        <f>IF('C-Triagem Man'!$E$7="SIM",'C-Triagem Man'!$E$19,IF('C-Triagem Man'!$I$7="SIM",'C-Triagem Man'!$I$19,IF('C-Triagem Man'!$M$7="SIM",'C-Triagem Man'!$M$19,IF('C-Triagem Man'!$Q$7="SIM",'C-Triagem Man'!$Q$19,IF('C-Triagem Man'!$U$7="SIM",'C-Triagem Man'!$U$19,0)))))</f>
        <v>0</v>
      </c>
      <c r="L52" s="899">
        <f>IF('C-Triagem Man'!$E$7="SIM",'C-Triagem Man'!$E$20,IF('C-Triagem Man'!$I$7="SIM",'C-Triagem Man'!$I$20,IF('C-Triagem Man'!$M$7="SIM",'C-Triagem Man'!$M$20,IF('C-Triagem Man'!$Q$7="SIM",'C-Triagem Man'!$Q$20,IF('C-Triagem Man'!$U$7="SIM",'C-Triagem Man'!$U$20,0)))))</f>
        <v>0</v>
      </c>
      <c r="M52" s="133"/>
      <c r="N52" s="899" t="s">
        <v>540</v>
      </c>
      <c r="O52" s="1409">
        <f>IF('C-Triagem Man'!$E$7="SIM",'C-Triagem Man'!$E$43,IF('C-Triagem Man'!$I$7="SIM",'C-Triagem Man'!$I$43,IF('C-Triagem Man'!$M$7="SIM",'C-Triagem Man'!$M$43,IF('C-Triagem Man'!$Q$7="SIM",'C-Triagem Man'!$Q$43,IF('C-Triagem Man'!$U$7="SIM",'C-Triagem Man'!$U$43,0)))))</f>
        <v>0</v>
      </c>
      <c r="P52" s="899">
        <f>IF('C-Triagem Man'!$E$7="SIM",'C-Triagem Man'!$E$42,IF('C-Triagem Man'!$I$7="SIM",'C-Triagem Man'!$I$42,IF('C-Triagem Man'!$M$7="SIM",'C-Triagem Man'!$M$42,IF('C-Triagem Man'!$Q$7="SIM",'C-Triagem Man'!$Q$42,IF('C-Triagem Man'!$U$7="SIM",'C-Triagem Man'!$U$42,0)))))</f>
        <v>0</v>
      </c>
      <c r="Q52" s="133"/>
      <c r="R52" s="805"/>
      <c r="S52" s="806"/>
      <c r="T52" s="806"/>
      <c r="U52" s="806"/>
      <c r="V52" s="806"/>
      <c r="W52" s="806"/>
      <c r="X52" s="806"/>
      <c r="Y52" s="806"/>
      <c r="Z52" s="1385"/>
    </row>
    <row r="53" spans="1:26" ht="17.649999999999999" hidden="1" customHeight="1" outlineLevel="1" x14ac:dyDescent="0.25">
      <c r="A53" s="40"/>
      <c r="B53" s="1298" t="s">
        <v>533</v>
      </c>
      <c r="C53" s="457" t="s">
        <v>272</v>
      </c>
      <c r="D53" s="1359">
        <v>5.5</v>
      </c>
      <c r="E53" s="133"/>
      <c r="F53" s="1260" t="s">
        <v>541</v>
      </c>
      <c r="G53" s="248">
        <v>1</v>
      </c>
      <c r="H53" s="1350">
        <v>0</v>
      </c>
      <c r="I53" s="609"/>
      <c r="J53" s="1313"/>
      <c r="K53" s="210" t="s">
        <v>273</v>
      </c>
      <c r="L53" s="1341">
        <f>IF(K52&gt;0,K52*1000000/$D$40,0)</f>
        <v>0</v>
      </c>
      <c r="M53" s="133"/>
      <c r="N53" s="1313" t="s">
        <v>274</v>
      </c>
      <c r="O53" s="253">
        <f>IF(H52&gt;0,((P36*D101)+(P37*D102)+(P38*D103)+(P39*D104)+(P40*D106)+(P41*D105))/$D$40,0)</f>
        <v>0</v>
      </c>
      <c r="P53" s="1299">
        <f>IF(O52&gt;0,O52*1000000/$D$40,0)</f>
        <v>0</v>
      </c>
      <c r="Q53" s="133"/>
      <c r="R53" s="805"/>
      <c r="S53" s="806"/>
      <c r="T53" s="806"/>
      <c r="U53" s="806"/>
      <c r="V53" s="806"/>
      <c r="W53" s="806"/>
      <c r="X53" s="806"/>
      <c r="Y53" s="806"/>
      <c r="Z53" s="1385"/>
    </row>
    <row r="54" spans="1:26" ht="17.649999999999999" hidden="1" customHeight="1" outlineLevel="1" x14ac:dyDescent="0.25">
      <c r="A54" s="40"/>
      <c r="B54" s="1313" t="s">
        <v>869</v>
      </c>
      <c r="C54" s="1276" t="s">
        <v>194</v>
      </c>
      <c r="D54" s="1323">
        <v>0.4</v>
      </c>
      <c r="E54" s="133"/>
      <c r="F54" s="1313" t="s">
        <v>542</v>
      </c>
      <c r="G54" s="239" t="str">
        <f>IF('C-Triagem Man'!$E$7="SIM",'C-Triagem Man'!$D$17,IF('C-Triagem Man'!$I$7="SIM",'C-Triagem Man'!$H$17,IF('C-Triagem Man'!$M$7="SIM",'C-Triagem Man'!$L$17,IF('C-Triagem Man'!$Q$7="SIM",'C-Triagem Man'!$P$17,IF('C-Triagem Man'!$U$7="SIM",'C-Triagem Man'!$T$17,"0")))))</f>
        <v>0</v>
      </c>
      <c r="H54" s="1351"/>
      <c r="I54" s="609"/>
      <c r="J54" s="1342" t="s">
        <v>275</v>
      </c>
      <c r="K54" s="246" t="str">
        <f>IF('C-Triagem Man'!$E$7="SIM",'C-Triagem Man'!$E$23,IF('C-Triagem Man'!$I$7="SIM",'C-Triagem Man'!$I$23,IF('C-Triagem Man'!$M$7="SIM",'C-Triagem Man'!$M$23,IF('C-Triagem Man'!$Q$7="SIM",'C-Triagem Man'!$Q$23,IF('C-Triagem Man'!$U$7="SIM",'C-Triagem Man'!$U$23,"0")))))</f>
        <v>0</v>
      </c>
      <c r="L54" s="1343"/>
      <c r="M54" s="133"/>
      <c r="N54" s="1313" t="s">
        <v>276</v>
      </c>
      <c r="O54" s="253">
        <f>IF('C-Triagem Man'!$E$7="SIM",'C-Triagem Man'!$E$44,IF('C-Triagem Man'!$I$7="SIM",'C-Triagem Man'!$I$44,IF('C-Triagem Man'!$M$7="SIM",'C-Triagem Man'!$M$44,IF('C-Triagem Man'!$Q$7="SIM",'C-Triagem Man'!$Q$44,IF('C-Triagem Man'!$U$7="SIM",'C-Triagem Man'!$U$44,0)))))</f>
        <v>0</v>
      </c>
      <c r="P54" s="1318">
        <f>IF('C-Triagem Man'!$E$7="SIM",'C-Triagem Man'!$E$45,IF('C-Triagem Man'!$I$7="SIM",'C-Triagem Man'!$I$45,IF('C-Triagem Man'!$M$7="SIM",'C-Triagem Man'!$M$45,IF('C-Triagem Man'!$Q$7="SIM",'C-Triagem Man'!$Q$45,IF('C-Triagem Man'!$U$7="SIM",'C-Triagem Man'!$U$45,0)))))</f>
        <v>0</v>
      </c>
      <c r="Q54" s="133"/>
      <c r="R54" s="805"/>
      <c r="S54" s="806"/>
      <c r="T54" s="806"/>
      <c r="U54" s="806"/>
      <c r="V54" s="806"/>
      <c r="W54" s="806"/>
      <c r="X54" s="806"/>
      <c r="Y54" s="806"/>
      <c r="Z54" s="1385"/>
    </row>
    <row r="55" spans="1:26" ht="17.649999999999999" hidden="1" customHeight="1" outlineLevel="1" x14ac:dyDescent="0.25">
      <c r="A55" s="41"/>
      <c r="B55" s="1313" t="s">
        <v>534</v>
      </c>
      <c r="C55" s="1276" t="s">
        <v>705</v>
      </c>
      <c r="D55" s="1358">
        <v>0</v>
      </c>
      <c r="E55" s="133"/>
      <c r="F55" s="899" t="s">
        <v>277</v>
      </c>
      <c r="G55" s="899" t="str">
        <f>'C-Triagem Mec'!L2</f>
        <v>Sim</v>
      </c>
      <c r="H55" s="899">
        <f>IF('C-Triagem Mec'!D2&gt;0,'C-Triagem Mec'!H2,0)</f>
        <v>146467.94871794875</v>
      </c>
      <c r="I55" s="609"/>
      <c r="J55" s="899" t="s">
        <v>277</v>
      </c>
      <c r="K55" s="1409">
        <f>IF('C-Triagem Mec'!$E$7="SIM",'C-Triagem Mec'!$E$19,IF('C-Triagem Mec'!$I$7="SIM",'C-Triagem Mec'!$I$19,IF('C-Triagem Mec'!$M$7="SIM",'C-Triagem Mec'!$M$19,IF('C-Triagem Mec'!$Q$7="SIM",'C-Triagem Mec'!$Q$19,IF('C-Triagem Mec'!$U$7="SIM",'C-Triagem Mec'!$U$19,0)))))</f>
        <v>77.857190201484556</v>
      </c>
      <c r="L55" s="899">
        <f>IF('C-Triagem Mec'!$E$7="SIM",'C-Triagem Mec'!$E$20,IF('C-Triagem Mec'!$I$7="SIM",'C-Triagem Mec'!$I$20,IF('C-Triagem Mec'!$M$7="SIM",'C-Triagem Mec'!$M$20,IF('C-Triagem Mec'!$Q$7="SIM",'C-Triagem Mec'!$Q$20,IF('C-Triagem Mec'!$U$7="SIM",'C-Triagem Mec'!$U$20,0)))))</f>
        <v>531.56469304703</v>
      </c>
      <c r="M55" s="133"/>
      <c r="N55" s="899" t="s">
        <v>277</v>
      </c>
      <c r="O55" s="1409">
        <f>IF('C-Triagem Mec'!$E$7="SIM",'C-Triagem Mec'!$E$43,IF('C-Triagem Mec'!$I$7="SIM",'C-Triagem Mec'!$I$43,IF('C-Triagem Mec'!$M$7="SIM",'C-Triagem Mec'!$M$43,IF('C-Triagem Mec'!$Q$7="SIM",'C-Triagem Mec'!$Q$43,IF('C-Triagem Mec'!$U$7="SIM",'C-Triagem Mec'!$U$43,0)))))</f>
        <v>12.08428933793231</v>
      </c>
      <c r="P55" s="899">
        <f>IF('C-Triagem Mec'!$E$7="SIM",'C-Triagem Mec'!$E$42,IF('C-Triagem Mec'!$I$7="SIM",'C-Triagem Mec'!$I$42,IF('C-Triagem Mec'!$M$7="SIM",'C-Triagem Mec'!$M$42,IF('C-Triagem Mec'!$Q$7="SIM",'C-Triagem Mec'!$Q$42,IF('C-Triagem Mec'!$U$7="SIM",'C-Triagem Mec'!$U$42,0)))))</f>
        <v>82.50466701901351</v>
      </c>
      <c r="Q55" s="133"/>
      <c r="R55" s="805"/>
      <c r="S55" s="806"/>
      <c r="T55" s="806"/>
      <c r="U55" s="806"/>
      <c r="V55" s="806"/>
      <c r="W55" s="806"/>
      <c r="X55" s="806"/>
      <c r="Y55" s="806"/>
      <c r="Z55" s="1385"/>
    </row>
    <row r="56" spans="1:26" ht="17.649999999999999" hidden="1" customHeight="1" outlineLevel="1" x14ac:dyDescent="0.25">
      <c r="A56" s="40"/>
      <c r="B56" s="1313" t="s">
        <v>535</v>
      </c>
      <c r="C56" s="1276" t="s">
        <v>705</v>
      </c>
      <c r="D56" s="1358">
        <v>25</v>
      </c>
      <c r="E56" s="133"/>
      <c r="F56" s="1260" t="s">
        <v>541</v>
      </c>
      <c r="G56" s="248">
        <v>0.25</v>
      </c>
      <c r="H56" s="1350">
        <v>0</v>
      </c>
      <c r="I56" s="609"/>
      <c r="J56" s="1313"/>
      <c r="K56" s="210" t="s">
        <v>273</v>
      </c>
      <c r="L56" s="1341">
        <f>IF(K55&gt;0,K55*1000000/$D$40,0)</f>
        <v>533.26842603756552</v>
      </c>
      <c r="M56" s="133"/>
      <c r="N56" s="1313" t="s">
        <v>274</v>
      </c>
      <c r="O56" s="253">
        <f>IF(AND(H55&gt;0,D98="Não"),((L36*D101)+(L37*D102)+(L38*D103)+(L39*D104)+(L40*D106)+(L41*D105))/$D$40,((L36*D101)+(L37*D102)+(L38*D103)+(L39*D104)+(L40*D106)+(L41*D105))/$D$40*(1-D99))</f>
        <v>0</v>
      </c>
      <c r="P56" s="1299">
        <f>IF(O55&gt;0,O55*1000000/$D$40,0)</f>
        <v>82.769105054330879</v>
      </c>
      <c r="Q56" s="133"/>
      <c r="R56" s="805"/>
      <c r="S56" s="806"/>
      <c r="T56" s="806"/>
      <c r="U56" s="806"/>
      <c r="V56" s="806"/>
      <c r="W56" s="806"/>
      <c r="X56" s="806"/>
      <c r="Y56" s="806"/>
      <c r="Z56" s="1385"/>
    </row>
    <row r="57" spans="1:26" ht="17.649999999999999" hidden="1" customHeight="1" outlineLevel="1" x14ac:dyDescent="0.25">
      <c r="A57" s="41"/>
      <c r="B57" s="1313" t="s">
        <v>536</v>
      </c>
      <c r="C57" s="1276" t="s">
        <v>705</v>
      </c>
      <c r="D57" s="1358">
        <v>500</v>
      </c>
      <c r="E57" s="133"/>
      <c r="F57" s="1313" t="s">
        <v>542</v>
      </c>
      <c r="G57" s="239">
        <f>IF('C-Triagem Mec'!$E$7="SIM",'C-Triagem Mec'!$D$17,IF('C-Triagem Mec'!$I$7="SIM",'C-Triagem Mec'!$H$17,IF('C-Triagem Mec'!$M$7="SIM",'C-Triagem Mec'!$L$17,IF('C-Triagem Mec'!$Q$7="SIM",'C-Triagem Mec'!$P$17,IF('C-Triagem Mec'!$U$7="SIM",'C-Triagem Mec'!$T$17,"0")))))</f>
        <v>14241.773353931867</v>
      </c>
      <c r="H57" s="1352"/>
      <c r="I57" s="609"/>
      <c r="J57" s="1342" t="s">
        <v>275</v>
      </c>
      <c r="K57" s="246">
        <f>IF('C-Triagem Mec'!$E$7="SIM",'C-Triagem Mec'!$E$23,IF('C-Triagem Mec'!$I$7="SIM",'C-Triagem Mec'!$I$23,IF('C-Triagem Mec'!$M$7="SIM",'C-Triagem Mec'!$M$23,IF('C-Triagem Mec'!$Q$7="SIM",'C-Triagem Mec'!$Q$23,IF('C-Triagem Mec'!$U$7="SIM",'C-Triagem Mec'!$U$23,"0")))))</f>
        <v>1.5491928586415613</v>
      </c>
      <c r="L57" s="1343"/>
      <c r="M57" s="133"/>
      <c r="N57" s="1313" t="s">
        <v>276</v>
      </c>
      <c r="O57" s="253">
        <f>IF('C-Triagem Mec'!$E$7="SIM",'C-Triagem Mec'!$E$44,IF('C-Triagem Mec'!$I$7="SIM",'C-Triagem Mec'!$I$44,IF('C-Triagem Mec'!$M$7="SIM",'C-Triagem Mec'!$M$44,IF('C-Triagem Mec'!$Q$7="SIM",'C-Triagem Mec'!$Q$44,IF('C-Triagem Mec'!$U$7="SIM",'C-Triagem Mec'!$U$44,0)))))</f>
        <v>3.6503999999999999</v>
      </c>
      <c r="P57" s="1318">
        <f>IF('C-Triagem Mec'!$E$7="SIM",'C-Triagem Mec'!$E$45,IF('C-Triagem Mec'!$I$7="SIM",'C-Triagem Mec'!$I$45,IF('C-Triagem Mec'!$M$7="SIM",'C-Triagem Mec'!$M$45,IF('C-Triagem Mec'!$Q$7="SIM",'C-Triagem Mec'!$Q$45,IF('C-Triagem Mec'!$U$7="SIM",'C-Triagem Mec'!$U$45,0)))))</f>
        <v>57.581808250577282</v>
      </c>
      <c r="Q57" s="133"/>
      <c r="R57" s="805"/>
      <c r="S57" s="806"/>
      <c r="T57" s="806"/>
      <c r="U57" s="806"/>
      <c r="V57" s="806"/>
      <c r="W57" s="806"/>
      <c r="X57" s="806"/>
      <c r="Y57" s="806"/>
      <c r="Z57" s="1385"/>
    </row>
    <row r="58" spans="1:26" ht="17.649999999999999" hidden="1" customHeight="1" outlineLevel="1" x14ac:dyDescent="0.25">
      <c r="A58" s="40"/>
      <c r="B58" s="1313" t="s">
        <v>1021</v>
      </c>
      <c r="C58" s="1276" t="s">
        <v>194</v>
      </c>
      <c r="D58" s="1323">
        <v>0.65</v>
      </c>
      <c r="E58" s="133"/>
      <c r="F58" s="899" t="s">
        <v>543</v>
      </c>
      <c r="G58" s="899" t="str">
        <f>'C-Produção CDR-TM'!L2</f>
        <v>Não</v>
      </c>
      <c r="H58" s="899">
        <f>IF('C-Produção CDR-TM'!D2&gt;0,'C-Produção CDR-TM'!H2,0)</f>
        <v>0</v>
      </c>
      <c r="I58" s="609"/>
      <c r="J58" s="899" t="s">
        <v>543</v>
      </c>
      <c r="K58" s="1409">
        <f>IF('C-Produção CDR-TM'!$E$7="SIM",'C-Produção CDR-TM'!$E$19,IF('C-Produção CDR-TM'!$I$7="SIM",'C-Produção CDR-TM'!$I$19,IF('C-Produção CDR-TM'!$M$7="SIM",'C-Produção CDR-TM'!$M$19,IF('C-Produção CDR-TM'!$Q$7="SIM",'C-Produção CDR-TM'!$Q$19,IF('C-Produção CDR-TM'!$U$7="SIM",'C-Produção CDR-TM'!$U$19,0)))))</f>
        <v>0</v>
      </c>
      <c r="L58" s="899">
        <f>IF('C-Produção CDR-TM'!$E$7="SIM",'C-Produção CDR-TM'!$E$20,IF('C-Produção CDR-TM'!$I$7="SIM",'C-Produção CDR-TM'!$I$20,IF('C-Produção CDR-TM'!$M$7="SIM",'C-Produção CDR-TM'!$M$20,IF('C-Produção CDR-TM'!$Q$7="SIM",'C-Produção CDR-TM'!$Q$20,IF('C-Produção CDR-TM'!$U$7="SIM",'C-Produção CDR-TM'!$U$20,0)))))</f>
        <v>0</v>
      </c>
      <c r="M58" s="133"/>
      <c r="N58" s="899" t="s">
        <v>543</v>
      </c>
      <c r="O58" s="1409">
        <f>IF('C-Produção CDR-TM'!$E$7="SIM",'C-Produção CDR-TM'!$E$43,IF('C-Produção CDR-TM'!$I$7="SIM",'C-Produção CDR-TM'!$I$43,IF('C-Produção CDR-TM'!$M$7="SIM",'C-Produção CDR-TM'!$M$43,IF('C-Produção CDR-TM'!$Q$7="SIM",'C-Produção CDR-TM'!$Q$43,IF('C-Produção CDR-TM'!$U$7="SIM",'C-Produção CDR-TM'!$U$43,0)))))</f>
        <v>0</v>
      </c>
      <c r="P58" s="899">
        <f>IF('C-Produção CDR-TM'!$E$7="SIM",'C-Produção CDR-TM'!$E$42,IF('C-Produção CDR-TM'!$I$7="SIM",'C-Produção CDR-TM'!$I$42,IF('C-Produção CDR-TM'!$M$7="SIM",'C-Produção CDR-TM'!$M$42,IF('C-Produção CDR-TM'!$Q$7="SIM",'C-Produção CDR-TM'!$Q$42,IF('C-Produção CDR-TM'!$U$7="SIM",'C-Produção CDR-TM'!$U$42,0)))))</f>
        <v>0</v>
      </c>
      <c r="Q58" s="133"/>
      <c r="R58" s="805"/>
      <c r="S58" s="806"/>
      <c r="T58" s="806"/>
      <c r="U58" s="806"/>
      <c r="V58" s="806"/>
      <c r="W58" s="806"/>
      <c r="X58" s="806"/>
      <c r="Y58" s="806"/>
      <c r="Z58" s="1385"/>
    </row>
    <row r="59" spans="1:26" ht="17.649999999999999" hidden="1" customHeight="1" outlineLevel="1" x14ac:dyDescent="0.25">
      <c r="A59" s="41"/>
      <c r="B59" s="1313" t="s">
        <v>537</v>
      </c>
      <c r="C59" s="457" t="s">
        <v>278</v>
      </c>
      <c r="D59" s="1358">
        <v>5000</v>
      </c>
      <c r="E59" s="133"/>
      <c r="F59" s="1260" t="s">
        <v>541</v>
      </c>
      <c r="G59" s="248">
        <v>0.25</v>
      </c>
      <c r="H59" s="1350">
        <v>0</v>
      </c>
      <c r="I59" s="609"/>
      <c r="J59" s="1313"/>
      <c r="K59" s="210" t="s">
        <v>273</v>
      </c>
      <c r="L59" s="1341">
        <f>IF(K58&gt;0,K58*1000000/$D$40,0)</f>
        <v>0</v>
      </c>
      <c r="M59" s="133"/>
      <c r="N59" s="1313" t="s">
        <v>274</v>
      </c>
      <c r="O59" s="253">
        <f>IF(H58&gt;0,((L44*D112)+(L46*D111))/$D$40,0)</f>
        <v>0</v>
      </c>
      <c r="P59" s="1297">
        <f>IF(O58&gt;0,O58*1000000/$D$40,0)</f>
        <v>0</v>
      </c>
      <c r="Q59" s="133"/>
      <c r="R59" s="805"/>
      <c r="S59" s="806"/>
      <c r="T59" s="806"/>
      <c r="U59" s="806"/>
      <c r="V59" s="806"/>
      <c r="W59" s="806"/>
      <c r="X59" s="806"/>
      <c r="Y59" s="806"/>
      <c r="Z59" s="1385"/>
    </row>
    <row r="60" spans="1:26" ht="17.649999999999999" hidden="1" customHeight="1" outlineLevel="1" x14ac:dyDescent="0.25">
      <c r="A60" s="40"/>
      <c r="B60" s="1313" t="s">
        <v>538</v>
      </c>
      <c r="C60" s="1276" t="s">
        <v>705</v>
      </c>
      <c r="D60" s="1358">
        <v>1500</v>
      </c>
      <c r="E60" s="133"/>
      <c r="F60" s="1313" t="s">
        <v>542</v>
      </c>
      <c r="G60" s="239" t="str">
        <f>IF('C-Produção CDR-TM'!$E$7="SIM",'C-Produção CDR-TM'!$D$17,IF('C-Produção CDR-TM'!$I$7="SIM",'C-Produção CDR-TM'!$H$17,IF('C-Produção CDR-TM'!$M$7="SIM",'C-Produção CDR-TM'!$L$17,IF('C-Produção CDR-TM'!$Q$7="SIM",'C-Produção CDR-TM'!$P$17,IF('C-Produção CDR-TM'!$U$7="SIM",'C-Produção CDR-TM'!$T$17,"0")))))</f>
        <v>0</v>
      </c>
      <c r="H60" s="1351"/>
      <c r="I60" s="609"/>
      <c r="J60" s="1342" t="s">
        <v>275</v>
      </c>
      <c r="K60" s="246" t="str">
        <f>IF('C-Produção CDR-TM'!$E$7="SIM",'C-Produção CDR-TM'!$E$23,IF('C-Produção CDR-TM'!$I$7="SIM",'C-Produção CDR-TM'!$I$23,IF('C-Produção CDR-TM'!$M$7="SIM",'C-Produção CDR-TM'!$M$23,IF('C-Produção CDR-TM'!$Q$7="SIM",'C-Produção CDR-TM'!$Q$23,IF('C-Produção CDR-TM'!$U$7="SIM",'C-Produção CDR-TM'!$U$23,"0")))))</f>
        <v>0</v>
      </c>
      <c r="L60" s="1343"/>
      <c r="M60" s="133"/>
      <c r="N60" s="1313" t="s">
        <v>276</v>
      </c>
      <c r="O60" s="253">
        <f>IF('C-Produção CDR-TM'!$E$7="SIM",'C-Produção CDR-TM'!$E$44,IF('C-Produção CDR-TM'!$I$7="SIM",'C-Produção CDR-TM'!$I$44,IF('C-Produção CDR-TM'!$M$7="SIM",'C-Produção CDR-TM'!$M$44,IF('C-Produção CDR-TM'!$Q$7="SIM",'C-Produção CDR-TM'!$Q$44,IF('C-Produção CDR-TM'!$U$7="SIM",'C-Produção CDR-TM'!$U$44,0)))))</f>
        <v>0</v>
      </c>
      <c r="P60" s="1318">
        <f>IF('C-Produção CDR-TM'!$E$7="SIM",'C-Produção CDR-TM'!$E$45,IF('C-Produção CDR-TM'!$I$7="SIM",'C-Produção CDR-TM'!$I$45,IF('C-Produção CDR-TM'!$M$7="SIM",'C-Produção CDR-TM'!$M$45,IF('C-Produção CDR-TM'!$Q$7="SIM",'C-Produção CDR-TM'!$Q$45,IF('C-Produção CDR-TM'!$U$7="SIM",'C-Produção CDR-TM'!$U$45,0)))))</f>
        <v>0</v>
      </c>
      <c r="Q60" s="133"/>
      <c r="R60" s="805"/>
      <c r="S60" s="806"/>
      <c r="T60" s="806"/>
      <c r="U60" s="806"/>
      <c r="V60" s="806"/>
      <c r="W60" s="806"/>
      <c r="X60" s="806"/>
      <c r="Y60" s="806"/>
      <c r="Z60" s="1385"/>
    </row>
    <row r="61" spans="1:26" ht="17.649999999999999" hidden="1" customHeight="1" outlineLevel="1" x14ac:dyDescent="0.25">
      <c r="A61" s="40"/>
      <c r="B61" s="1313" t="s">
        <v>539</v>
      </c>
      <c r="C61" s="457" t="s">
        <v>194</v>
      </c>
      <c r="D61" s="1323">
        <v>0</v>
      </c>
      <c r="E61" s="133"/>
      <c r="F61" s="899" t="s">
        <v>434</v>
      </c>
      <c r="G61" s="899" t="str">
        <f>'C-Produção CDR-TMB'!L2</f>
        <v>Sim</v>
      </c>
      <c r="H61" s="899">
        <f>IF('C-Produção CDR-TMB'!D2&gt;0,'C-Produção CDR-TMB'!H2,0)</f>
        <v>149195.9142628205</v>
      </c>
      <c r="I61" s="609"/>
      <c r="J61" s="899" t="s">
        <v>546</v>
      </c>
      <c r="K61" s="899">
        <f>IF('C-Produção CDR-TMB'!$E$7="SIM",'C-Produção CDR-TMB'!$E$19,IF('C-Produção CDR-TMB'!$I$7="SIM",'C-Produção CDR-TMB'!$I$19,IF('C-Produção CDR-TMB'!$M$7="SIM",'C-Produção CDR-TMB'!$M$19,IF('C-Produção CDR-TMB'!$Q$7="SIM",'C-Produção CDR-TMB'!$Q$19,IF('C-Produção CDR-TMB'!$U$7="SIM",'C-Produção CDR-TMB'!$U$19,0)))))</f>
        <v>146.80110727163037</v>
      </c>
      <c r="L61" s="1409">
        <f>IF('C-Produção CDR-TMB'!$E$7="SIM",'C-Produção CDR-TMB'!$E$20,IF('C-Produção CDR-TMB'!$I$7="SIM",'C-Produção CDR-TMB'!$I$20,IF('C-Produção CDR-TMB'!$M$7="SIM",'C-Produção CDR-TMB'!$M$20,IF('C-Produção CDR-TMB'!$Q$7="SIM",'C-Produção CDR-TMB'!$Q$20,IF('C-Produção CDR-TMB'!$U$7="SIM",'C-Produção CDR-TMB'!$U$20,0)))))</f>
        <v>983.94857524736585</v>
      </c>
      <c r="M61" s="133"/>
      <c r="N61" s="899" t="s">
        <v>546</v>
      </c>
      <c r="O61" s="899">
        <f>IF('C-Produção CDR-TMB'!$E$7="SIM",'C-Produção CDR-TMB'!$E$43,IF('C-Produção CDR-TMB'!$I$7="SIM",'C-Produção CDR-TMB'!$I$43,IF('C-Produção CDR-TMB'!$M$7="SIM",'C-Produção CDR-TMB'!$M$43,IF('C-Produção CDR-TMB'!$Q$7="SIM",'C-Produção CDR-TMB'!$Q$43,IF('C-Produção CDR-TMB'!$U$7="SIM",'C-Produção CDR-TMB'!$U$43,0)))))</f>
        <v>9.2515553430106294</v>
      </c>
      <c r="P61" s="1409">
        <f>IF('C-Produção CDR-TMB'!$E$7="SIM",'C-Produção CDR-TMB'!$E$42,IF('C-Produção CDR-TMB'!$I$7="SIM",'C-Produção CDR-TMB'!$I$42,IF('C-Produção CDR-TMB'!$M$7="SIM",'C-Produção CDR-TMB'!$M$42,IF('C-Produção CDR-TMB'!$Q$7="SIM",'C-Produção CDR-TMB'!$Q$42,IF('C-Produção CDR-TMB'!$U$7="SIM",'C-Produção CDR-TMB'!$U$42,0)))))</f>
        <v>62.009441670857534</v>
      </c>
      <c r="Q61" s="133"/>
      <c r="R61" s="805"/>
      <c r="S61" s="806"/>
      <c r="T61" s="806"/>
      <c r="U61" s="806"/>
      <c r="V61" s="806"/>
      <c r="W61" s="806"/>
      <c r="X61" s="806"/>
      <c r="Y61" s="806"/>
      <c r="Z61" s="1385"/>
    </row>
    <row r="62" spans="1:26" ht="17.649999999999999" hidden="1" customHeight="1" outlineLevel="1" x14ac:dyDescent="0.25">
      <c r="A62" s="40"/>
      <c r="B62" s="1361" t="s">
        <v>550</v>
      </c>
      <c r="C62" s="695" t="s">
        <v>239</v>
      </c>
      <c r="D62" s="1362" t="s">
        <v>240</v>
      </c>
      <c r="E62" s="133"/>
      <c r="F62" s="1260" t="s">
        <v>541</v>
      </c>
      <c r="G62" s="248">
        <v>0.25</v>
      </c>
      <c r="H62" s="1350">
        <v>0.25</v>
      </c>
      <c r="I62" s="609"/>
      <c r="J62" s="1313"/>
      <c r="K62" s="210" t="s">
        <v>273</v>
      </c>
      <c r="L62" s="1341">
        <f>IF(K61&gt;0,K61*1000000/$D$40,0)</f>
        <v>1005.4870361070574</v>
      </c>
      <c r="M62" s="133"/>
      <c r="N62" s="1313" t="s">
        <v>274</v>
      </c>
      <c r="O62" s="253">
        <f>IF(H61&gt;0,((L45*D112)+(L47*D111))/$D$40,0)</f>
        <v>37.549050458757762</v>
      </c>
      <c r="P62" s="1299">
        <f>IF(O61&gt;0,O61*1000000/$D$40,0)</f>
        <v>63.366817417881016</v>
      </c>
      <c r="Q62" s="133"/>
      <c r="R62" s="805"/>
      <c r="S62" s="806"/>
      <c r="T62" s="806"/>
      <c r="U62" s="806"/>
      <c r="V62" s="806"/>
      <c r="W62" s="806"/>
      <c r="X62" s="806"/>
      <c r="Y62" s="806"/>
      <c r="Z62" s="1385"/>
    </row>
    <row r="63" spans="1:26" ht="17.649999999999999" hidden="1" customHeight="1" outlineLevel="1" x14ac:dyDescent="0.25">
      <c r="A63" s="40"/>
      <c r="B63" s="1313" t="s">
        <v>551</v>
      </c>
      <c r="C63" s="247" t="s">
        <v>279</v>
      </c>
      <c r="D63" s="1360">
        <v>20000</v>
      </c>
      <c r="E63" s="244"/>
      <c r="F63" s="1313" t="s">
        <v>542</v>
      </c>
      <c r="G63" s="239">
        <f>IF('C-Produção CDR-TMB'!$E$7="SIM",'C-Produção CDR-TMB'!$D$17,IF('C-Produção CDR-TMB'!$I$7="SIM",'C-Produção CDR-TMB'!$H$17,IF('C-Produção CDR-TMB'!$M$7="SIM",'C-Produção CDR-TMB'!$L$17,IF('C-Produção CDR-TMB'!$Q$7="SIM",'C-Produção CDR-TMB'!$P$17,IF('C-Produção CDR-TMB'!$U$7="SIM",'C-Produção CDR-TMB'!$T$17,"0")))))</f>
        <v>23044.271909999159</v>
      </c>
      <c r="H63" s="1353"/>
      <c r="I63" s="609"/>
      <c r="J63" s="1342" t="s">
        <v>275</v>
      </c>
      <c r="K63" s="246">
        <f>IF('C-Produção CDR-TMB'!$E$7="SIM",'C-Produção CDR-TMB'!$E$23,IF('C-Produção CDR-TMB'!$I$7="SIM",'C-Produção CDR-TMB'!$I$23,IF('C-Produção CDR-TMB'!$M$7="SIM",'C-Produção CDR-TMB'!$M$23,IF('C-Produção CDR-TMB'!$Q$7="SIM",'C-Produção CDR-TMB'!$Q$23,IF('C-Produção CDR-TMB'!$U$7="SIM",'C-Produção CDR-TMB'!$U$23,"0")))))</f>
        <v>2.683590002308744</v>
      </c>
      <c r="L63" s="1344"/>
      <c r="M63" s="133"/>
      <c r="N63" s="1313" t="s">
        <v>276</v>
      </c>
      <c r="O63" s="457">
        <f>IF('C-Produção CDR-TMB'!$E$7="SIM",'C-Produção CDR-TMB'!$E$44,IF('C-Produção CDR-TMB'!$I$7="SIM",'C-Produção CDR-TMB'!$I$44,IF('C-Produção CDR-TMB'!$M$7="SIM",'C-Produção CDR-TMB'!$M$44,IF('C-Produção CDR-TMB'!$Q$7="SIM",'C-Produção CDR-TMB'!$Q$44,IF('C-Produção CDR-TMB'!$U$7="SIM",'C-Produção CDR-TMB'!$U$44,0)))))</f>
        <v>2.2180800000000001</v>
      </c>
      <c r="P63" s="1324">
        <f>IF('C-Produção CDR-TMB'!$E$7="SIM",'C-Produção CDR-TMB'!$E$45,IF('C-Produção CDR-TMB'!$I$7="SIM",'C-Produção CDR-TMB'!$I$45,IF('C-Produção CDR-TMB'!$M$7="SIM",'C-Produção CDR-TMB'!$M$45,IF('C-Produção CDR-TMB'!$Q$7="SIM",'C-Produção CDR-TMB'!$Q$45,IF('C-Produção CDR-TMB'!$U$7="SIM",'C-Produção CDR-TMB'!$U$45,0)))))</f>
        <v>47.142546615724349</v>
      </c>
      <c r="Q63" s="244"/>
      <c r="R63" s="808"/>
      <c r="S63" s="816"/>
      <c r="T63" s="816"/>
      <c r="U63" s="816"/>
      <c r="V63" s="816"/>
      <c r="W63" s="816"/>
      <c r="X63" s="816"/>
      <c r="Y63" s="816"/>
      <c r="Z63" s="1388"/>
    </row>
    <row r="64" spans="1:26" ht="17.649999999999999" hidden="1" customHeight="1" outlineLevel="1" x14ac:dyDescent="0.25">
      <c r="A64" s="40"/>
      <c r="B64" s="1313" t="s">
        <v>552</v>
      </c>
      <c r="C64" s="457" t="s">
        <v>279</v>
      </c>
      <c r="D64" s="1360">
        <v>10000</v>
      </c>
      <c r="E64" s="245"/>
      <c r="F64" s="899" t="s">
        <v>280</v>
      </c>
      <c r="G64" s="899" t="str">
        <f>'C-Biodigestão'!L2</f>
        <v>Não'</v>
      </c>
      <c r="H64" s="899">
        <f>IF('C-Biodigestão'!D2&gt;0,'C-Biodigestão'!H2,0)</f>
        <v>0</v>
      </c>
      <c r="I64" s="609"/>
      <c r="J64" s="899" t="s">
        <v>280</v>
      </c>
      <c r="K64" s="1409">
        <f>IF('C-Biodigestão'!$E$7="SIM",'C-Biodigestão'!$E$19,IF('C-Biodigestão'!$I$7="SIM",'C-Biodigestão'!$I$19,IF('C-Biodigestão'!$M$7="SIM",'C-Biodigestão'!$M$19,IF('C-Biodigestão'!$Q$7="SIM",'C-Biodigestão'!$Q$19,IF('C-Biodigestão'!$U$7="SIM",'C-Biodigestão'!$U$19,0)))))</f>
        <v>0</v>
      </c>
      <c r="L64" s="899">
        <f>IF('C-Biodigestão'!$E$7="SIM",'C-Biodigestão'!$E$20,IF('C-Biodigestão'!$I$7="SIM",'C-Biodigestão'!$I$20,IF('C-Biodigestão'!$M$7="SIM",'C-Biodigestão'!$M$20,IF('C-Biodigestão'!$Q$7="SIM",'C-Biodigestão'!$Q$20,IF('C-Biodigestão'!$U$7="SIM",'C-Biodigestão'!$U$20,0)))))</f>
        <v>0</v>
      </c>
      <c r="M64" s="255"/>
      <c r="N64" s="899" t="s">
        <v>280</v>
      </c>
      <c r="O64" s="1409">
        <f>IF('C-Biodigestão'!$E$7="SIM",'C-Biodigestão'!$E$46,IF('C-Biodigestão'!$I$7="SIM",'C-Biodigestão'!$I$46,IF('C-Biodigestão'!$M$7="SIM",'C-Biodigestão'!$M$46,IF('C-Biodigestão'!$Q$7="SIM",'C-Biodigestão'!$Q$46,IF('C-Biodigestão'!$U$7="SIM",'C-Biodigestão'!$U$46,0)))))</f>
        <v>0</v>
      </c>
      <c r="P64" s="899">
        <f>IF('C-Biodigestão'!$E$7="SIM",'C-Biodigestão'!$E$45,IF('C-Biodigestão'!$I$7="SIM",'C-Biodigestão'!$I$45,IF('C-Biodigestão'!$M$7="SIM",'C-Biodigestão'!$M$45,IF('C-Biodigestão'!$Q$7="SIM",'C-Biodigestão'!$Q$45,IF('C-Biodigestão'!$U$7="SIM",'C-Biodigestão'!$U$45,0)))))</f>
        <v>0</v>
      </c>
      <c r="Q64" s="133"/>
      <c r="R64" s="805"/>
      <c r="S64" s="806"/>
      <c r="T64" s="806"/>
      <c r="U64" s="806"/>
      <c r="V64" s="806"/>
      <c r="W64" s="806"/>
      <c r="X64" s="806"/>
      <c r="Y64" s="806"/>
      <c r="Z64" s="1385"/>
    </row>
    <row r="65" spans="1:26" ht="17.649999999999999" hidden="1" customHeight="1" outlineLevel="1" x14ac:dyDescent="0.25">
      <c r="A65" s="40"/>
      <c r="B65" s="1313" t="s">
        <v>553</v>
      </c>
      <c r="C65" s="1276" t="s">
        <v>279</v>
      </c>
      <c r="D65" s="1360">
        <v>1500</v>
      </c>
      <c r="E65" s="133"/>
      <c r="F65" s="1260" t="s">
        <v>541</v>
      </c>
      <c r="G65" s="248">
        <v>0.25</v>
      </c>
      <c r="H65" s="1350">
        <v>0</v>
      </c>
      <c r="I65" s="693"/>
      <c r="J65" s="1313"/>
      <c r="K65" s="210" t="s">
        <v>273</v>
      </c>
      <c r="L65" s="1341">
        <f>IF(K64&gt;0,K64*1000000/$D$40,0)</f>
        <v>0</v>
      </c>
      <c r="M65" s="256"/>
      <c r="N65" s="1313" t="s">
        <v>274</v>
      </c>
      <c r="O65" s="253">
        <f>IF(H64&gt;0,((P42*D114)+(P45*D117))/$D$40,0)</f>
        <v>0</v>
      </c>
      <c r="P65" s="1299">
        <f>IF(O64&gt;0,O64*1000000/$D$40,0)</f>
        <v>0</v>
      </c>
      <c r="Q65" s="133"/>
      <c r="R65" s="805"/>
      <c r="S65" s="806"/>
      <c r="T65" s="806"/>
      <c r="U65" s="806"/>
      <c r="V65" s="806"/>
      <c r="W65" s="806"/>
      <c r="X65" s="806"/>
      <c r="Y65" s="806"/>
      <c r="Z65" s="1385"/>
    </row>
    <row r="66" spans="1:26" ht="17.649999999999999" hidden="1" customHeight="1" outlineLevel="1" x14ac:dyDescent="0.25">
      <c r="A66" s="34"/>
      <c r="B66" s="1313" t="s">
        <v>706</v>
      </c>
      <c r="C66" s="2805" t="s">
        <v>281</v>
      </c>
      <c r="D66" s="2806"/>
      <c r="E66" s="245"/>
      <c r="F66" s="1313" t="s">
        <v>542</v>
      </c>
      <c r="G66" s="239" t="str">
        <f>IF('C-Biodigestão'!$E$7="SIM",'C-Biodigestão'!$D$17,IF('C-Biodigestão'!$I$7="SIM",'C-Biodigestão'!$H$17,IF('C-Biodigestão'!$M$7="SIM",'C-Biodigestão'!$L$17,IF('C-Biodigestão'!$Q$7="SIM",'C-Biodigestão'!$P$17,IF('C-Biodigestão'!$U$7="SIM",'C-Biodigestão'!$T$17,"0")))))</f>
        <v>0</v>
      </c>
      <c r="H66" s="1351"/>
      <c r="I66" s="693"/>
      <c r="J66" s="1342" t="s">
        <v>275</v>
      </c>
      <c r="K66" s="246" t="str">
        <f>IF('C-Biodigestão'!$E$7="SIM",'C-Biodigestão'!$E$26,IF('C-Biodigestão'!$I$7="SIM",'C-Biodigestão'!$I$26,IF('C-Biodigestão'!$M$7="SIM",'C-Biodigestão'!$M$26,IF('C-Biodigestão'!$Q$7="SIM",'C-Biodigestão'!$Q$26,IF('C-Biodigestão'!$U$7="SIM",'C-Biodigestão'!$U$26,"0")))))</f>
        <v>0</v>
      </c>
      <c r="L66" s="1344"/>
      <c r="M66" s="256"/>
      <c r="N66" s="1313" t="s">
        <v>276</v>
      </c>
      <c r="O66" s="253">
        <f>IF('C-Biodigestão'!$E$7="SIM",'C-Biodigestão'!$E$47,IF('C-Biodigestão'!$I$7="SIM",'C-Biodigestão'!$I$47,IF('C-Biodigestão'!$M$7="SIM",'C-Biodigestão'!$M$47,IF('C-Biodigestão'!$Q$7="SIM",'C-Biodigestão'!$Q$47,IF('C-Biodigestão'!$U$7="SIM",'C-Biodigestão'!$U$47,0)))))</f>
        <v>0</v>
      </c>
      <c r="P66" s="1318">
        <f>IF('C-Biodigestão'!$E$7="SIM",'C-Biodigestão'!$E$48,IF('C-Biodigestão'!$I$7="SIM",'C-Biodigestão'!$I$48,IF('C-Biodigestão'!$M$7="SIM",'C-Biodigestão'!$M$48,IF('C-Biodigestão'!$Q$7="SIM",'C-Biodigestão'!$Q$48,IF('C-Biodigestão'!$U$7="SIM",'C-Biodigestão'!$U$48,0)))))</f>
        <v>0</v>
      </c>
      <c r="Q66" s="133"/>
      <c r="R66" s="817"/>
      <c r="S66" s="818"/>
      <c r="T66" s="818"/>
      <c r="U66" s="818"/>
      <c r="V66" s="818"/>
      <c r="W66" s="818"/>
      <c r="X66" s="818"/>
      <c r="Y66" s="818"/>
      <c r="Z66" s="1389"/>
    </row>
    <row r="67" spans="1:26" ht="17.649999999999999" hidden="1" customHeight="1" outlineLevel="1" x14ac:dyDescent="0.25">
      <c r="A67" s="43"/>
      <c r="B67" s="1313" t="s">
        <v>554</v>
      </c>
      <c r="C67" s="1276" t="s">
        <v>279</v>
      </c>
      <c r="D67" s="1360">
        <v>1250</v>
      </c>
      <c r="E67" s="244"/>
      <c r="F67" s="899" t="s">
        <v>131</v>
      </c>
      <c r="G67" s="899" t="str">
        <f>'C-Compostagem'!L2</f>
        <v>Não</v>
      </c>
      <c r="H67" s="899">
        <f>IF('C-Compostagem'!D2&gt;0,'C-Compostagem'!H2,0)</f>
        <v>0</v>
      </c>
      <c r="I67" s="609"/>
      <c r="J67" s="899" t="s">
        <v>131</v>
      </c>
      <c r="K67" s="1409">
        <f>IF('C-Compostagem'!$E$7="SIM",'C-Compostagem'!$E$19,IF('C-Compostagem'!$I$7="SIM",'C-Compostagem'!$I$19,IF('C-Compostagem'!$M$7="SIM",'C-Compostagem'!$M$19,IF('C-Compostagem'!$Q$7="SIM",'C-Compostagem'!$Q$19,IF('C-Compostagem'!$U$7="SIM",'C-Compostagem'!$U$19,0)))))</f>
        <v>0</v>
      </c>
      <c r="L67" s="899">
        <f>IF('C-Compostagem'!$E$7="SIM",'C-Compostagem'!$E$20,IF('C-Compostagem'!$I$7="SIM",'C-Compostagem'!$I$20,IF('C-Compostagem'!$M$7="SIM",'C-Compostagem'!$M$20,IF('C-Compostagem'!$Q$7="SIM",'C-Compostagem'!$Q$20,IF('C-Compostagem'!$U$7="SIM",'C-Compostagem'!$U$20,0)))))</f>
        <v>0</v>
      </c>
      <c r="M67" s="255"/>
      <c r="N67" s="899" t="s">
        <v>131</v>
      </c>
      <c r="O67" s="1409">
        <f>IF('C-Compostagem'!$E$7="SIM",'C-Compostagem'!$E$43,IF('C-Compostagem'!$I$7="SIM",'C-Compostagem'!$I$43,IF('C-Compostagem'!$M$7="SIM",'C-Compostagem'!$M$43,IF('C-Compostagem'!$Q$7="SIM",'C-Compostagem'!$Q$43,IF('C-Compostagem'!$U$7="SIM",'C-Compostagem'!$U$43,0)))))</f>
        <v>0</v>
      </c>
      <c r="P67" s="899">
        <f>IF('C-Compostagem'!$E$7="SIM",'C-Compostagem'!$E$42,IF('C-Compostagem'!$I$7="SIM",'C-Compostagem'!$I$42,IF('C-Compostagem'!$M$7="SIM",'C-Compostagem'!$M$42,IF('C-Compostagem'!$Q$7="SIM",'C-Compostagem'!$Q$42,IF('C-Compostagem'!$U$7="SIM",'C-Compostagem'!$U$42,0)))))</f>
        <v>0</v>
      </c>
      <c r="Q67" s="96"/>
      <c r="R67" s="819"/>
      <c r="S67" s="820"/>
      <c r="T67" s="820"/>
      <c r="U67" s="820"/>
      <c r="V67" s="820"/>
      <c r="W67" s="820"/>
      <c r="X67" s="820"/>
      <c r="Y67" s="820"/>
      <c r="Z67" s="1390"/>
    </row>
    <row r="68" spans="1:26" ht="17.649999999999999" hidden="1" customHeight="1" outlineLevel="1" x14ac:dyDescent="0.25">
      <c r="A68" s="31"/>
      <c r="B68" s="1313" t="s">
        <v>555</v>
      </c>
      <c r="C68" s="457" t="s">
        <v>282</v>
      </c>
      <c r="D68" s="1360">
        <v>0</v>
      </c>
      <c r="E68" s="133"/>
      <c r="F68" s="1260" t="s">
        <v>541</v>
      </c>
      <c r="G68" s="248">
        <v>0.25</v>
      </c>
      <c r="H68" s="1350">
        <v>0</v>
      </c>
      <c r="I68" s="693"/>
      <c r="J68" s="1313"/>
      <c r="K68" s="210" t="s">
        <v>273</v>
      </c>
      <c r="L68" s="1341">
        <f>IF(K67&gt;0,K67*1000000/$D$40,0)</f>
        <v>0</v>
      </c>
      <c r="M68" s="256"/>
      <c r="N68" s="1313" t="s">
        <v>274</v>
      </c>
      <c r="O68" s="253">
        <f>IF(H67&gt;0,((L48*D108)+(L49*D109))/$D$40,0)</f>
        <v>0</v>
      </c>
      <c r="P68" s="1299">
        <f>IF(O67&gt;0,O67*1000000/$D$40,0)</f>
        <v>0</v>
      </c>
      <c r="Q68" s="133"/>
      <c r="R68" s="805"/>
      <c r="S68" s="806"/>
      <c r="T68" s="806"/>
      <c r="U68" s="806"/>
      <c r="V68" s="806"/>
      <c r="W68" s="806"/>
      <c r="X68" s="806"/>
      <c r="Y68" s="806"/>
      <c r="Z68" s="1385"/>
    </row>
    <row r="69" spans="1:26" ht="17.649999999999999" hidden="1" customHeight="1" outlineLevel="1" x14ac:dyDescent="0.25">
      <c r="A69" s="31"/>
      <c r="B69" s="1313" t="s">
        <v>556</v>
      </c>
      <c r="C69" s="457" t="s">
        <v>838</v>
      </c>
      <c r="D69" s="1360">
        <v>0</v>
      </c>
      <c r="E69" s="133"/>
      <c r="F69" s="1313" t="s">
        <v>542</v>
      </c>
      <c r="G69" s="239" t="str">
        <f>IF('C-Compostagem'!$E$7="SIM",'C-Compostagem'!$D$17,IF('C-Compostagem'!$I$7="SIM",'C-Compostagem'!$H$17,IF('C-Compostagem'!$M$7="SIM",'C-Compostagem'!$L$17,IF('C-Compostagem'!$Q$7="SIM",'C-Compostagem'!$P$17,IF('C-Compostagem'!$U$7="SIM",'C-Compostagem'!$T$17,"0")))))</f>
        <v>0</v>
      </c>
      <c r="H69" s="1354"/>
      <c r="I69" s="693"/>
      <c r="J69" s="1342" t="s">
        <v>275</v>
      </c>
      <c r="K69" s="246" t="str">
        <f>IF('C-Compostagem'!$E$7="SIM",'C-Compostagem'!$E$23,IF('C-Compostagem'!$I$7="SIM",'C-Compostagem'!$I$23,IF('C-Compostagem'!$M$7="SIM",'C-Compostagem'!$M$23,IF('C-Compostagem'!$Q$7="SIM",'C-Compostagem'!$Q$23,IF('C-Compostagem'!$U$7="SIM",'C-Compostagem'!$U$23,"0")))))</f>
        <v>0</v>
      </c>
      <c r="L69" s="1344"/>
      <c r="M69" s="256"/>
      <c r="N69" s="1313" t="s">
        <v>276</v>
      </c>
      <c r="O69" s="253">
        <f>IF('C-Compostagem'!$E$7="SIM",'C-Compostagem'!$E$44,IF('C-Compostagem'!$I$7="SIM",'C-Compostagem'!$I$44,IF('C-Compostagem'!$M$7="SIM",'C-Compostagem'!$M$44,IF('C-Compostagem'!$Q$7="SIM",'C-Compostagem'!$Q$44,IF('C-Compostagem'!$U$7="SIM",'C-Compostagem'!$U$44,0)))))</f>
        <v>0</v>
      </c>
      <c r="P69" s="1324">
        <f>IF('C-Compostagem'!$E$7="SIM",'C-Compostagem'!$E$45,IF('C-Compostagem'!$I$7="SIM",'C-Compostagem'!$I$45,IF('C-Compostagem'!$M$7="SIM",'C-Compostagem'!$M$45,IF('C-Compostagem'!$Q$7="SIM",'C-Compostagem'!$Q$45,IF('C-Compostagem'!$U$7="SIM",'C-Compostagem'!$U$45,0)))))</f>
        <v>0</v>
      </c>
      <c r="Q69" s="133"/>
      <c r="R69" s="805"/>
      <c r="S69" s="806"/>
      <c r="T69" s="806"/>
      <c r="U69" s="806"/>
      <c r="V69" s="806"/>
      <c r="W69" s="806"/>
      <c r="X69" s="806"/>
      <c r="Y69" s="806"/>
      <c r="Z69" s="1385"/>
    </row>
    <row r="70" spans="1:26" ht="17.649999999999999" hidden="1" customHeight="1" outlineLevel="1" x14ac:dyDescent="0.25">
      <c r="A70" s="31"/>
      <c r="B70" s="1313" t="s">
        <v>557</v>
      </c>
      <c r="C70" s="1276" t="s">
        <v>279</v>
      </c>
      <c r="D70" s="1360">
        <v>100000</v>
      </c>
      <c r="E70" s="133"/>
      <c r="F70" s="899" t="s">
        <v>63</v>
      </c>
      <c r="G70" s="899" t="str">
        <f>'C-Incineração'!L2</f>
        <v>Não</v>
      </c>
      <c r="H70" s="899">
        <f>IF('C-Incineração'!D2&gt;0,'C-Incineração'!H2,0)</f>
        <v>0</v>
      </c>
      <c r="I70" s="609"/>
      <c r="J70" s="899" t="s">
        <v>63</v>
      </c>
      <c r="K70" s="1409">
        <f>IF('C-Incineração'!$E$7="SIM",'C-Incineração'!$E$19,IF('C-Incineração'!$I$7="SIM",'C-Incineração'!$I$19,IF('C-Incineração'!$M$7="SIM",'C-Incineração'!$M$19,IF('C-Incineração'!$Q$7="SIM",'C-Incineração'!$Q$19,IF('C-Incineração'!$U$7="SIM",'C-Incineração'!$U$19,0)))))</f>
        <v>0</v>
      </c>
      <c r="L70" s="899">
        <f>IF('C-Incineração'!$E$7="SIM",'C-Incineração'!$E$20,IF('C-Incineração'!$I$7="SIM",'C-Incineração'!$I$20,IF('C-Incineração'!$M$7="SIM",'C-Incineração'!$M$20,IF('C-Incineração'!$Q$7="SIM",'C-Incineração'!$Q$20,IF('C-Incineração'!$U$7="SIM",'C-Incineração'!$U$20,0)))))</f>
        <v>0</v>
      </c>
      <c r="M70" s="255"/>
      <c r="N70" s="899" t="s">
        <v>63</v>
      </c>
      <c r="O70" s="1409">
        <f>IF('C-Incineração'!$E$7="SIM",'C-Incineração'!$E$52,IF('C-Incineração'!$I$7="SIM",'C-Incineração'!$I$52,IF('C-Incineração'!$M$7="SIM",'C-Incineração'!$M$52,IF('C-Incineração'!$Q$7="SIM",'C-Incineração'!$Q$52,IF('C-Incineração'!$U$7="SIM",'C-Incineração'!$U$52,0)))))</f>
        <v>0</v>
      </c>
      <c r="P70" s="899">
        <f>IF('C-Incineração'!$E$7="SIM",'C-Incineração'!$E$51,IF('C-Incineração'!$I$7="SIM",'C-Incineração'!$I$51,IF('C-Incineração'!$M$7="SIM",'C-Incineração'!$M$51,IF('C-Incineração'!$Q$7="SIM",'C-Incineração'!$Q$51,IF('C-Incineração'!$U$7="SIM",'C-Incineração'!$U$51,0)))))</f>
        <v>0</v>
      </c>
      <c r="Q70" s="133"/>
      <c r="R70" s="805"/>
      <c r="S70" s="806"/>
      <c r="T70" s="806"/>
      <c r="U70" s="806"/>
      <c r="V70" s="806"/>
      <c r="W70" s="806"/>
      <c r="X70" s="806"/>
      <c r="Y70" s="806"/>
      <c r="Z70" s="1385"/>
    </row>
    <row r="71" spans="1:26" ht="17.649999999999999" hidden="1" customHeight="1" outlineLevel="1" x14ac:dyDescent="0.25">
      <c r="A71" s="31"/>
      <c r="B71" s="1313" t="s">
        <v>558</v>
      </c>
      <c r="C71" s="1276" t="s">
        <v>283</v>
      </c>
      <c r="D71" s="1360">
        <v>25000</v>
      </c>
      <c r="E71" s="133"/>
      <c r="F71" s="1260" t="s">
        <v>541</v>
      </c>
      <c r="G71" s="248">
        <v>0.25</v>
      </c>
      <c r="H71" s="1350">
        <v>0</v>
      </c>
      <c r="I71" s="693"/>
      <c r="J71" s="1313"/>
      <c r="K71" s="210" t="s">
        <v>273</v>
      </c>
      <c r="L71" s="1341">
        <f>IF(K70&gt;0,K70*1000000/$D$40,0)</f>
        <v>0</v>
      </c>
      <c r="M71" s="256"/>
      <c r="N71" s="1313" t="s">
        <v>274</v>
      </c>
      <c r="O71" s="253">
        <f>IF(H70&gt;0,((P43*D114))/$D$40,0)</f>
        <v>0</v>
      </c>
      <c r="P71" s="1299">
        <f>IF(O70&gt;0,O70*1000000/$D$40,0)</f>
        <v>0</v>
      </c>
      <c r="Q71" s="133"/>
      <c r="R71" s="805"/>
      <c r="S71" s="806"/>
      <c r="T71" s="806"/>
      <c r="U71" s="806"/>
      <c r="V71" s="806"/>
      <c r="W71" s="806"/>
      <c r="X71" s="806"/>
      <c r="Y71" s="806"/>
      <c r="Z71" s="1385"/>
    </row>
    <row r="72" spans="1:26" ht="17.649999999999999" hidden="1" customHeight="1" outlineLevel="1" x14ac:dyDescent="0.25">
      <c r="A72" s="44"/>
      <c r="B72" s="1313" t="s">
        <v>559</v>
      </c>
      <c r="C72" s="1276" t="s">
        <v>284</v>
      </c>
      <c r="D72" s="1358">
        <v>100</v>
      </c>
      <c r="E72" s="133"/>
      <c r="F72" s="1313" t="s">
        <v>542</v>
      </c>
      <c r="G72" s="239" t="str">
        <f>IF('C-Incineração'!$E$7="SIM",'C-Incineração'!$D$17,IF('C-Incineração'!$I$7="SIM",'C-Incineração'!$H$17,IF('C-Incineração'!$M$7="SIM",'C-Incineração'!$L$17,IF('C-Incineração'!$Q$7="SIM",'C-Incineração'!$P$17,IF('C-Incineração'!$U$7="SIM",'C-Incineração'!$T$17,"0")))))</f>
        <v>0</v>
      </c>
      <c r="H72" s="1355"/>
      <c r="I72" s="693"/>
      <c r="J72" s="1342" t="s">
        <v>275</v>
      </c>
      <c r="K72" s="246" t="str">
        <f>IF('C-Incineração'!$E$7="SIM",'C-Incineração'!$E$25,IF('C-Incineração'!$I$7="SIM",'C-Incineração'!$I$25,IF('C-Incineração'!$M$7="SIM",'C-Incineração'!$M$25,IF('C-Incineração'!$Q$7="SIM",'C-Incineração'!$Q$25,IF('C-Incineração'!$U$7="SIM",'C-Incineração'!$U$25,"0")))))</f>
        <v>0</v>
      </c>
      <c r="L72" s="1344"/>
      <c r="M72" s="256"/>
      <c r="N72" s="1313" t="s">
        <v>276</v>
      </c>
      <c r="O72" s="253">
        <f>IF('C-Incineração'!$E$7="SIM",'C-Incineração'!$E$53,IF('C-Incineração'!$I$7="SIM",'C-Incineração'!$I$53,IF('C-Incineração'!$M$7="SIM",'C-Incineração'!$M$53,IF('C-Incineração'!$Q$7="SIM",'C-Incineração'!$Q$53,IF('C-Incineração'!$U$7="SIM",'C-Incineração'!$U$53,0)))))</f>
        <v>0</v>
      </c>
      <c r="P72" s="1324">
        <f>IF('C-Incineração'!$E$7="SIM",'C-Incineração'!$E$54,IF('C-Incineração'!$I$7="SIM",'C-Incineração'!$I$54,IF('C-Incineração'!$M$7="SIM",'C-Incineração'!$M$54,IF('C-Incineração'!$Q$7="SIM",'C-Incineração'!$Q$54,IF('C-Incineração'!$U$7="SIM",'C-Incineração'!$U$54,0)))))</f>
        <v>0</v>
      </c>
      <c r="Q72" s="133"/>
      <c r="R72" s="805"/>
      <c r="S72" s="806"/>
      <c r="T72" s="806"/>
      <c r="U72" s="806"/>
      <c r="V72" s="806"/>
      <c r="W72" s="806"/>
      <c r="X72" s="806"/>
      <c r="Y72" s="806"/>
      <c r="Z72" s="1385"/>
    </row>
    <row r="73" spans="1:26" ht="17.649999999999999" hidden="1" customHeight="1" outlineLevel="1" x14ac:dyDescent="0.25">
      <c r="A73" s="31"/>
      <c r="B73" s="1313" t="s">
        <v>560</v>
      </c>
      <c r="C73" s="457" t="s">
        <v>278</v>
      </c>
      <c r="D73" s="1358">
        <v>53</v>
      </c>
      <c r="E73" s="133"/>
      <c r="F73" s="899" t="s">
        <v>65</v>
      </c>
      <c r="G73" s="899" t="str">
        <f>'C-Aterro Sanitário'!L2</f>
        <v>Sim</v>
      </c>
      <c r="H73" s="899">
        <f>IF('C-Aterro Sanitário'!D2&gt;0,'C-Aterro Sanitário'!H2,0)</f>
        <v>70017.417820512841</v>
      </c>
      <c r="I73" s="609"/>
      <c r="J73" s="899" t="s">
        <v>65</v>
      </c>
      <c r="K73" s="1409">
        <f>IF('C-Aterro Sanitário'!$E$7="SIM",'C-Aterro Sanitário'!$E$18,IF('C-Aterro Sanitário'!$I$7="SIM",'C-Aterro Sanitário'!$I$18,IF('C-Aterro Sanitário'!$M$7="SIM",'C-Aterro Sanitário'!$M$18,IF('C-Aterro Sanitário'!$Q$7="SIM",'C-Aterro Sanitário'!$Q$18,IF('C-Aterro Sanitário'!$U$7="SIM",'C-Aterro Sanitário'!$U$18,0)))))</f>
        <v>18.332373914768596</v>
      </c>
      <c r="L73" s="899">
        <f>IF('C-Aterro Sanitário'!$E$7="SIM",'C-Aterro Sanitário'!$E$19,IF('C-Aterro Sanitário'!$I$7="SIM",'C-Aterro Sanitário'!$I$19,IF('C-Aterro Sanitário'!$M$7="SIM",'C-Aterro Sanitário'!$M$19,IF('C-Aterro Sanitário'!$Q$7="SIM",'C-Aterro Sanitário'!$Q$19,IF('C-Aterro Sanitário'!$U$7="SIM",'C-Aterro Sanitário'!$U$19,0)))))</f>
        <v>261.8259068302545</v>
      </c>
      <c r="M73" s="255"/>
      <c r="N73" s="899" t="s">
        <v>65</v>
      </c>
      <c r="O73" s="1409">
        <f>IF('C-Aterro Sanitário'!$E$7="SIM",'C-Aterro Sanitário'!$E$46,IF('C-Aterro Sanitário'!$I$7="SIM",'C-Aterro Sanitário'!$I$46,IF('C-Aterro Sanitário'!$M$7="SIM",'C-Aterro Sanitário'!$M$46,IF('C-Aterro Sanitário'!$Q$7="SIM",'C-Aterro Sanitário'!$Q$46,IF('C-Aterro Sanitário'!$U$7="SIM",'C-Aterro Sanitário'!$U$46,0)))))</f>
        <v>7.0381786557795349</v>
      </c>
      <c r="P73" s="899">
        <f>IF('C-Aterro Sanitário'!$E$7="SIM",'C-Aterro Sanitário'!$E$45,IF('C-Aterro Sanitário'!$I$7="SIM",'C-Aterro Sanitário'!$I$45,IF('C-Aterro Sanitário'!$M$7="SIM",'C-Aterro Sanitário'!$M$45,IF('C-Aterro Sanitário'!$Q$7="SIM",'C-Aterro Sanitário'!$Q$45,IF('C-Aterro Sanitário'!$U$7="SIM",'C-Aterro Sanitário'!$U$45,0)))))</f>
        <v>100.52039727916925</v>
      </c>
      <c r="Q73" s="133"/>
      <c r="R73" s="805"/>
      <c r="S73" s="806"/>
      <c r="T73" s="806"/>
      <c r="U73" s="806"/>
      <c r="V73" s="806"/>
      <c r="W73" s="806"/>
      <c r="X73" s="806"/>
      <c r="Y73" s="806"/>
      <c r="Z73" s="1385"/>
    </row>
    <row r="74" spans="1:26" ht="17.649999999999999" hidden="1" customHeight="1" outlineLevel="1" x14ac:dyDescent="0.25">
      <c r="A74" s="44"/>
      <c r="B74" s="1313" t="s">
        <v>561</v>
      </c>
      <c r="C74" s="457" t="s">
        <v>285</v>
      </c>
      <c r="D74" s="1358">
        <v>3</v>
      </c>
      <c r="E74" s="133"/>
      <c r="F74" s="1260" t="s">
        <v>541</v>
      </c>
      <c r="G74" s="248">
        <v>1</v>
      </c>
      <c r="H74" s="1393">
        <v>0</v>
      </c>
      <c r="I74" s="693"/>
      <c r="J74" s="1313"/>
      <c r="K74" s="210" t="s">
        <v>273</v>
      </c>
      <c r="L74" s="1341">
        <f>IF(K73&gt;0,K73*1000000/$D$40,0)</f>
        <v>125.5642048956753</v>
      </c>
      <c r="M74" s="256"/>
      <c r="N74" s="1313" t="s">
        <v>274</v>
      </c>
      <c r="O74" s="253">
        <f>IF(H73&gt;0,((P44*D114+P46*D117))/$D$40,0)</f>
        <v>0</v>
      </c>
      <c r="P74" s="1299">
        <f>IF(O73&gt;0,O73*1000000/$D$40,0)</f>
        <v>48.206703121777636</v>
      </c>
      <c r="Q74" s="133"/>
      <c r="R74" s="805"/>
      <c r="S74" s="806"/>
      <c r="T74" s="806"/>
      <c r="U74" s="806"/>
      <c r="V74" s="806"/>
      <c r="W74" s="806"/>
      <c r="X74" s="806"/>
      <c r="Y74" s="806"/>
      <c r="Z74" s="1385"/>
    </row>
    <row r="75" spans="1:26" ht="17.649999999999999" hidden="1" customHeight="1" outlineLevel="1" x14ac:dyDescent="0.25">
      <c r="A75" s="44"/>
      <c r="B75" s="1313" t="s">
        <v>562</v>
      </c>
      <c r="C75" s="1276" t="s">
        <v>831</v>
      </c>
      <c r="D75" s="1824">
        <v>1.681</v>
      </c>
      <c r="E75" s="133"/>
      <c r="F75" s="1260" t="s">
        <v>286</v>
      </c>
      <c r="G75" s="238">
        <f>IF('C-Aterro Sanitário'!$E$7="SIM",'C-Aterro Sanitário'!$D$17*10000,IF('C-Aterro Sanitário'!$I$7="SIM",'C-Aterro Sanitário'!$H$17*10000,IF('C-Aterro Sanitário'!$M$7="SIM",'C-Aterro Sanitário'!$L$17*10000,IF('C-Aterro Sanitário'!$Q$7="SIM",'C-Aterro Sanitário'!$P$17*10000,IF('C-Aterro Sanitário'!$U$7="SIM",'C-Aterro Sanitário'!$T$17*10000,"0")))))</f>
        <v>90094</v>
      </c>
      <c r="H75" s="1354"/>
      <c r="I75" s="693"/>
      <c r="J75" s="1342" t="s">
        <v>547</v>
      </c>
      <c r="K75" s="253">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22.36864730865986</v>
      </c>
      <c r="L75" s="1324">
        <f>IF(K73&gt;0,K75*1000000/(H73*20),0)</f>
        <v>15.973630565755146</v>
      </c>
      <c r="M75" s="256"/>
      <c r="N75" s="1313" t="s">
        <v>276</v>
      </c>
      <c r="O75" s="253">
        <f>IF('C-Aterro Sanitário'!$E$7="SIM",'C-Aterro Sanitário'!$E$47,IF('C-Aterro Sanitário'!$I$7="SIM",'C-Aterro Sanitário'!$I$47,IF('C-Aterro Sanitário'!$M$7="SIM",'C-Aterro Sanitário'!$M$47,IF('C-Aterro Sanitário'!$Q$7="SIM",'C-Aterro Sanitário'!$Q$47,IF('C-Aterro Sanitário'!$U$7="SIM",'C-Aterro Sanitário'!$U$47,0)))))</f>
        <v>1.9980058325094072</v>
      </c>
      <c r="P75" s="1324">
        <f>IF('C-Aterro Sanitário'!$E$7="SIM",'C-Aterro Sanitário'!$E$48,IF('C-Aterro Sanitário'!$I$7="SIM",'C-Aterro Sanitário'!$I$48,IF('C-Aterro Sanitário'!$M$7="SIM",'C-Aterro Sanitário'!$M$48,IF('C-Aterro Sanitário'!$Q$7="SIM",'C-Aterro Sanitário'!$Q$48,IF('C-Aterro Sanitário'!$U$7="SIM",'C-Aterro Sanitário'!$U$48,0)))))</f>
        <v>71.984557273883368</v>
      </c>
      <c r="Q75" s="133"/>
      <c r="R75" s="805"/>
      <c r="S75" s="806"/>
      <c r="T75" s="806"/>
      <c r="U75" s="806"/>
      <c r="V75" s="806"/>
      <c r="W75" s="806"/>
      <c r="X75" s="806"/>
      <c r="Y75" s="806"/>
      <c r="Z75" s="1385"/>
    </row>
    <row r="76" spans="1:26" ht="17.649999999999999" hidden="1" customHeight="1" outlineLevel="1" x14ac:dyDescent="0.25">
      <c r="A76" s="44"/>
      <c r="B76" s="1313" t="s">
        <v>563</v>
      </c>
      <c r="C76" s="1276" t="s">
        <v>831</v>
      </c>
      <c r="D76" s="1824">
        <v>1.0780000000000001</v>
      </c>
      <c r="E76" s="133"/>
      <c r="F76" s="1260" t="s">
        <v>287</v>
      </c>
      <c r="G76" s="250">
        <f>IF(K78&lt;&gt;0,(G53*K52+G56*K55+G59*K58+G62*K61+G65*K64+G68*K67+G71*K70+G74*K73)/K78,0)</f>
        <v>0.30658357317811846</v>
      </c>
      <c r="H76" s="1356"/>
      <c r="I76" s="693"/>
      <c r="J76" s="1260"/>
      <c r="K76" s="251"/>
      <c r="L76" s="1330"/>
      <c r="M76" s="256"/>
      <c r="N76" s="1313"/>
      <c r="O76" s="450"/>
      <c r="P76" s="1331"/>
      <c r="Q76" s="133"/>
      <c r="R76" s="805"/>
      <c r="S76" s="806"/>
      <c r="T76" s="806"/>
      <c r="U76" s="806"/>
      <c r="V76" s="806"/>
      <c r="W76" s="806"/>
      <c r="X76" s="806"/>
      <c r="Y76" s="806"/>
      <c r="Z76" s="1385"/>
    </row>
    <row r="77" spans="1:26" ht="17.649999999999999" hidden="1" customHeight="1" outlineLevel="1" x14ac:dyDescent="0.25">
      <c r="A77" s="31"/>
      <c r="B77" s="1313" t="s">
        <v>564</v>
      </c>
      <c r="C77" s="1276" t="s">
        <v>831</v>
      </c>
      <c r="D77" s="1824">
        <v>7.26</v>
      </c>
      <c r="E77" s="133"/>
      <c r="F77" s="1260" t="s">
        <v>544</v>
      </c>
      <c r="G77" s="238">
        <f>G54+G57+G60+G63+G66+G69+G72</f>
        <v>37286.045263931024</v>
      </c>
      <c r="H77" s="1354"/>
      <c r="I77" s="693"/>
      <c r="J77" s="1345" t="s">
        <v>288</v>
      </c>
      <c r="K77" s="254">
        <f>K54+K57+K60+K63+K66+K69+K72</f>
        <v>4.2327828609503051</v>
      </c>
      <c r="L77" s="1314" t="s">
        <v>289</v>
      </c>
      <c r="M77" s="256"/>
      <c r="N77" s="1313"/>
      <c r="O77" s="450"/>
      <c r="P77" s="1331"/>
      <c r="Q77" s="133"/>
      <c r="R77" s="805"/>
      <c r="S77" s="806"/>
      <c r="T77" s="806"/>
      <c r="U77" s="806"/>
      <c r="V77" s="806"/>
      <c r="W77" s="806"/>
      <c r="X77" s="806"/>
      <c r="Y77" s="806"/>
      <c r="Z77" s="1385"/>
    </row>
    <row r="78" spans="1:26" ht="17.649999999999999" hidden="1" customHeight="1" outlineLevel="1" thickBot="1" x14ac:dyDescent="0.3">
      <c r="A78" s="31"/>
      <c r="B78" s="1820" t="s">
        <v>1024</v>
      </c>
      <c r="C78" s="698" t="s">
        <v>1023</v>
      </c>
      <c r="D78" s="1825">
        <v>2.2000000000000002</v>
      </c>
      <c r="E78" s="133"/>
      <c r="F78" s="2803" t="s">
        <v>566</v>
      </c>
      <c r="G78" s="2804"/>
      <c r="H78" s="1334">
        <f>'R-Resumo Bal. Massa'!D16*312</f>
        <v>146000.00000000003</v>
      </c>
      <c r="I78" s="609"/>
      <c r="J78" s="1332" t="s">
        <v>290</v>
      </c>
      <c r="K78" s="1333">
        <f>K52+K55+K58+K61+K64+K67+K70+K73</f>
        <v>242.99067138788354</v>
      </c>
      <c r="L78" s="1334">
        <f>K78*1000000/H78</f>
        <v>1664.3196670402979</v>
      </c>
      <c r="M78" s="255"/>
      <c r="N78" s="1332" t="s">
        <v>548</v>
      </c>
      <c r="O78" s="1333">
        <f>O52+O55+O58+O61+O64+O67+O70+O73</f>
        <v>28.374023336722477</v>
      </c>
      <c r="P78" s="1334">
        <f>O78*1000000/H78</f>
        <v>194.34262559398954</v>
      </c>
      <c r="Q78" s="133"/>
      <c r="R78" s="805"/>
      <c r="S78" s="806"/>
      <c r="T78" s="806"/>
      <c r="U78" s="806"/>
      <c r="V78" s="806"/>
      <c r="W78" s="806"/>
      <c r="X78" s="806"/>
      <c r="Y78" s="806"/>
      <c r="Z78" s="1385"/>
    </row>
    <row r="79" spans="1:26" ht="15" hidden="1" customHeight="1" outlineLevel="1" thickTop="1" thickBot="1" x14ac:dyDescent="0.3">
      <c r="A79" s="31"/>
      <c r="B79" s="1742" t="s">
        <v>565</v>
      </c>
      <c r="C79" s="1743" t="s">
        <v>278</v>
      </c>
      <c r="D79" s="1821">
        <v>15</v>
      </c>
      <c r="E79" s="133"/>
      <c r="F79" s="136"/>
      <c r="G79" s="133"/>
      <c r="H79" s="133"/>
      <c r="I79" s="133"/>
      <c r="J79" s="133"/>
      <c r="K79" s="98"/>
      <c r="L79" s="133"/>
      <c r="M79" s="133"/>
      <c r="N79" s="133"/>
      <c r="O79" s="133"/>
      <c r="P79" s="133"/>
      <c r="Q79" s="133"/>
      <c r="R79" s="805"/>
      <c r="S79" s="806"/>
      <c r="T79" s="806"/>
      <c r="U79" s="806"/>
      <c r="V79" s="806"/>
      <c r="W79" s="806"/>
      <c r="X79" s="806"/>
      <c r="Y79" s="806"/>
      <c r="Z79" s="1385"/>
    </row>
    <row r="80" spans="1:26" s="691" customFormat="1" ht="10.15" customHeight="1" thickBot="1" x14ac:dyDescent="0.3">
      <c r="A80" s="38"/>
      <c r="B80" s="136"/>
      <c r="C80" s="236"/>
      <c r="D80" s="236"/>
      <c r="E80" s="653"/>
      <c r="Q80" s="38"/>
      <c r="R80" s="821"/>
      <c r="S80" s="822"/>
      <c r="T80" s="822"/>
      <c r="U80" s="822"/>
      <c r="V80" s="822"/>
      <c r="W80" s="822"/>
      <c r="X80" s="822"/>
      <c r="Y80" s="822"/>
      <c r="Z80" s="1391"/>
    </row>
    <row r="81" spans="1:26" ht="17.649999999999999" customHeight="1" collapsed="1" thickTop="1" x14ac:dyDescent="0.25">
      <c r="A81" s="33"/>
      <c r="B81" s="1319" t="s">
        <v>291</v>
      </c>
      <c r="C81" s="1320" t="s">
        <v>239</v>
      </c>
      <c r="D81" s="1321" t="s">
        <v>240</v>
      </c>
      <c r="E81" s="255"/>
      <c r="F81" s="1316" t="s">
        <v>292</v>
      </c>
      <c r="G81" s="1317" t="s">
        <v>239</v>
      </c>
      <c r="H81" s="1282" t="s">
        <v>240</v>
      </c>
      <c r="I81" s="696"/>
      <c r="J81" s="1310" t="s">
        <v>581</v>
      </c>
      <c r="K81" s="1311" t="s">
        <v>239</v>
      </c>
      <c r="L81" s="1312" t="s">
        <v>240</v>
      </c>
      <c r="M81" s="696"/>
      <c r="N81" s="1316" t="s">
        <v>586</v>
      </c>
      <c r="O81" s="1317" t="s">
        <v>239</v>
      </c>
      <c r="P81" s="1282" t="s">
        <v>240</v>
      </c>
      <c r="Q81" s="133"/>
      <c r="R81" s="823"/>
      <c r="S81" s="806"/>
      <c r="T81" s="806"/>
      <c r="U81" s="806"/>
      <c r="V81" s="806"/>
      <c r="W81" s="806"/>
      <c r="X81" s="806"/>
      <c r="Y81" s="806"/>
      <c r="Z81" s="1385"/>
    </row>
    <row r="82" spans="1:26" ht="17.649999999999999" hidden="1" customHeight="1" outlineLevel="1" x14ac:dyDescent="0.25">
      <c r="A82" s="33"/>
      <c r="B82" s="1313" t="s">
        <v>567</v>
      </c>
      <c r="C82" s="455" t="s">
        <v>293</v>
      </c>
      <c r="D82" s="1364">
        <v>498</v>
      </c>
      <c r="E82" s="133"/>
      <c r="F82" s="1313" t="s">
        <v>666</v>
      </c>
      <c r="G82" s="457" t="s">
        <v>243</v>
      </c>
      <c r="H82" s="1336">
        <f>((L36)*D101+(L37)*D102+(L38)*D103+(L39)*D104+(L40+L42)*D105+(L41+L43)*D106)/1000000</f>
        <v>7.4741456359225236</v>
      </c>
      <c r="I82" s="458"/>
      <c r="J82" s="1313" t="s">
        <v>576</v>
      </c>
      <c r="K82" s="457" t="s">
        <v>243</v>
      </c>
      <c r="L82" s="1336">
        <f>D82*D41/1000000</f>
        <v>0</v>
      </c>
      <c r="M82" s="255"/>
      <c r="N82" s="1313" t="s">
        <v>587</v>
      </c>
      <c r="O82" s="455" t="s">
        <v>294</v>
      </c>
      <c r="P82" s="1372">
        <f>IF(AND(O58&lt;&gt;0,O61&lt;&gt;0),(O58+O61)*1000000/(H39+H40),IF(AND(O58&lt;&gt;0,O61=0),O58*1000000/(H39+H40),IF(AND(O61&lt;&gt;0,O58=0),O61*1000000/(H40+H39),0)))</f>
        <v>168.75744298109578</v>
      </c>
      <c r="Q82" s="133"/>
      <c r="R82" s="823"/>
      <c r="S82" s="806"/>
      <c r="T82" s="806"/>
      <c r="U82" s="806"/>
      <c r="V82" s="806"/>
      <c r="W82" s="806"/>
      <c r="X82" s="806"/>
      <c r="Y82" s="806"/>
      <c r="Z82" s="1385"/>
    </row>
    <row r="83" spans="1:26" ht="17.649999999999999" hidden="1" customHeight="1" outlineLevel="1" x14ac:dyDescent="0.25">
      <c r="A83" s="33"/>
      <c r="B83" s="1313" t="s">
        <v>568</v>
      </c>
      <c r="C83" s="455" t="s">
        <v>293</v>
      </c>
      <c r="D83" s="1364">
        <v>0</v>
      </c>
      <c r="E83" s="133"/>
      <c r="F83" s="1313" t="s">
        <v>571</v>
      </c>
      <c r="G83" s="457" t="s">
        <v>243</v>
      </c>
      <c r="H83" s="1336">
        <f>((L44+L45)*D112+(L46+L47)*D111)/1000000</f>
        <v>5.4821613669786329</v>
      </c>
      <c r="I83" s="139"/>
      <c r="J83" s="1313" t="s">
        <v>577</v>
      </c>
      <c r="K83" s="457" t="s">
        <v>243</v>
      </c>
      <c r="L83" s="1336">
        <f>D83*D42/1000000</f>
        <v>0</v>
      </c>
      <c r="M83" s="133"/>
      <c r="N83" s="1313" t="s">
        <v>894</v>
      </c>
      <c r="O83" s="455" t="s">
        <v>295</v>
      </c>
      <c r="P83" s="1372">
        <f>IF(O67&lt;&gt;0,O67*1000000/(H37+H38),0)</f>
        <v>0</v>
      </c>
      <c r="Q83" s="133"/>
      <c r="R83" s="823"/>
      <c r="S83" s="806"/>
      <c r="T83" s="806"/>
      <c r="U83" s="806"/>
      <c r="V83" s="806"/>
      <c r="W83" s="806"/>
      <c r="X83" s="806"/>
      <c r="Y83" s="806"/>
      <c r="Z83" s="1385"/>
    </row>
    <row r="84" spans="1:26" ht="17.649999999999999" hidden="1" customHeight="1" outlineLevel="1" x14ac:dyDescent="0.25">
      <c r="A84" s="33"/>
      <c r="B84" s="1313" t="s">
        <v>569</v>
      </c>
      <c r="C84" s="455" t="s">
        <v>293</v>
      </c>
      <c r="D84" s="1364">
        <v>42.8</v>
      </c>
      <c r="E84" s="133"/>
      <c r="F84" s="1313" t="s">
        <v>667</v>
      </c>
      <c r="G84" s="457" t="s">
        <v>243</v>
      </c>
      <c r="H84" s="1336">
        <f>(L48*D108+L49*D109)/1000000</f>
        <v>0</v>
      </c>
      <c r="I84" s="139"/>
      <c r="J84" s="1313" t="s">
        <v>578</v>
      </c>
      <c r="K84" s="457" t="s">
        <v>243</v>
      </c>
      <c r="L84" s="1336">
        <f>D84*D43/1000000</f>
        <v>6.248800000000001</v>
      </c>
      <c r="M84" s="133"/>
      <c r="N84" s="1313" t="s">
        <v>668</v>
      </c>
      <c r="O84" s="455" t="s">
        <v>296</v>
      </c>
      <c r="P84" s="1372">
        <f>IF(O52&lt;&gt;0,O52*1000000/(SUM(P36:P41)),0)</f>
        <v>0</v>
      </c>
      <c r="Q84" s="133"/>
      <c r="R84" s="823"/>
      <c r="S84" s="806"/>
      <c r="T84" s="806"/>
      <c r="U84" s="806"/>
      <c r="V84" s="806"/>
      <c r="W84" s="806"/>
      <c r="X84" s="806"/>
      <c r="Y84" s="806"/>
      <c r="Z84" s="1385"/>
    </row>
    <row r="85" spans="1:26" ht="17.649999999999999" hidden="1" customHeight="1" outlineLevel="1" x14ac:dyDescent="0.25">
      <c r="A85" s="33"/>
      <c r="B85" s="1402" t="str">
        <f>IF('R-Definição'!$O$120="Sim","Custo Operação Estação Transbordo Coleta Mistos/Rejeitos","")</f>
        <v/>
      </c>
      <c r="C85" s="451" t="str">
        <f>IF('R-Definição'!$O$120="Sim","R$/t","")</f>
        <v/>
      </c>
      <c r="D85" s="1360">
        <f>IF('R-Definição'!$O$120="Sim",10,0)</f>
        <v>0</v>
      </c>
      <c r="E85" s="133"/>
      <c r="F85" s="1313" t="s">
        <v>572</v>
      </c>
      <c r="G85" s="457" t="s">
        <v>243</v>
      </c>
      <c r="H85" s="1336">
        <f>P43*D114/1000000</f>
        <v>0</v>
      </c>
      <c r="I85" s="139"/>
      <c r="J85" s="1313" t="s">
        <v>579</v>
      </c>
      <c r="K85" s="457" t="s">
        <v>243</v>
      </c>
      <c r="L85" s="1336">
        <f>IF('R-Definição'!O120="Sim",D85*D43/1000000,0)</f>
        <v>0</v>
      </c>
      <c r="M85" s="133"/>
      <c r="N85" s="1313" t="s">
        <v>669</v>
      </c>
      <c r="O85" s="455" t="s">
        <v>296</v>
      </c>
      <c r="P85" s="1372">
        <f>IF(O55&lt;&gt;0,O55*1000000/(SUM(L36:L41)),0)</f>
        <v>957.26428622600906</v>
      </c>
      <c r="Q85" s="133"/>
      <c r="R85" s="823"/>
      <c r="S85" s="806"/>
      <c r="T85" s="806"/>
      <c r="U85" s="806"/>
      <c r="V85" s="806"/>
      <c r="W85" s="806"/>
      <c r="X85" s="806"/>
      <c r="Y85" s="806"/>
      <c r="Z85" s="1385"/>
    </row>
    <row r="86" spans="1:26" ht="17.649999999999999" hidden="1" customHeight="1" outlineLevel="1" x14ac:dyDescent="0.25">
      <c r="A86" s="33"/>
      <c r="B86" s="1313"/>
      <c r="C86" s="457"/>
      <c r="D86" s="1324"/>
      <c r="E86" s="133"/>
      <c r="F86" s="1313" t="s">
        <v>573</v>
      </c>
      <c r="G86" s="457" t="s">
        <v>243</v>
      </c>
      <c r="H86" s="1336">
        <f>P42*D114/1000000</f>
        <v>0</v>
      </c>
      <c r="I86" s="139"/>
      <c r="J86" s="1313"/>
      <c r="K86" s="457"/>
      <c r="L86" s="1336"/>
      <c r="M86" s="133"/>
      <c r="N86" s="1313" t="s">
        <v>588</v>
      </c>
      <c r="O86" s="457" t="s">
        <v>282</v>
      </c>
      <c r="P86" s="1372">
        <f>IF(AND(O64&lt;&gt;0,'R-Definição'!$J$65="Sim"),O64*1000000/P42,0)</f>
        <v>0</v>
      </c>
      <c r="Q86" s="133"/>
      <c r="R86" s="823"/>
      <c r="S86" s="806"/>
      <c r="T86" s="806"/>
      <c r="U86" s="806"/>
      <c r="V86" s="806"/>
      <c r="W86" s="806"/>
      <c r="X86" s="806"/>
      <c r="Y86" s="806"/>
      <c r="Z86" s="1385"/>
    </row>
    <row r="87" spans="1:26" ht="17.649999999999999" hidden="1" customHeight="1" outlineLevel="1" x14ac:dyDescent="0.25">
      <c r="A87" s="33"/>
      <c r="B87" s="1313"/>
      <c r="C87" s="457"/>
      <c r="D87" s="1324"/>
      <c r="E87" s="133"/>
      <c r="F87" s="1313" t="s">
        <v>574</v>
      </c>
      <c r="G87" s="457" t="s">
        <v>243</v>
      </c>
      <c r="H87" s="1336">
        <f>P44*D115/1000000</f>
        <v>0</v>
      </c>
      <c r="I87" s="139"/>
      <c r="J87" s="1313"/>
      <c r="K87" s="457"/>
      <c r="L87" s="1336"/>
      <c r="M87" s="133"/>
      <c r="N87" s="1313" t="s">
        <v>589</v>
      </c>
      <c r="O87" s="457" t="s">
        <v>282</v>
      </c>
      <c r="P87" s="1372">
        <f>IF(O70&lt;&gt;0,O70*1000000/P43,0)</f>
        <v>0</v>
      </c>
      <c r="Q87" s="133"/>
      <c r="R87" s="823"/>
      <c r="S87" s="806"/>
      <c r="T87" s="806"/>
      <c r="U87" s="806"/>
      <c r="V87" s="806"/>
      <c r="W87" s="806"/>
      <c r="X87" s="806"/>
      <c r="Y87" s="806"/>
      <c r="Z87" s="1385"/>
    </row>
    <row r="88" spans="1:26" ht="17.649999999999999" hidden="1" customHeight="1" outlineLevel="1" x14ac:dyDescent="0.25">
      <c r="A88" s="33"/>
      <c r="B88" s="1313" t="s">
        <v>846</v>
      </c>
      <c r="C88" s="457" t="s">
        <v>293</v>
      </c>
      <c r="D88" s="1360">
        <v>50</v>
      </c>
      <c r="E88" s="133"/>
      <c r="F88" s="1313" t="s">
        <v>730</v>
      </c>
      <c r="G88" s="457" t="s">
        <v>243</v>
      </c>
      <c r="H88" s="1336">
        <f>P45*D117/1000000</f>
        <v>0</v>
      </c>
      <c r="I88" s="139"/>
      <c r="J88" s="1313"/>
      <c r="K88" s="457"/>
      <c r="L88" s="1336"/>
      <c r="M88" s="133"/>
      <c r="N88" s="1313" t="s">
        <v>590</v>
      </c>
      <c r="O88" s="457" t="s">
        <v>282</v>
      </c>
      <c r="P88" s="1372">
        <f>IF(AND(O73&lt;&gt;0,'R-Definição'!$J$123="Sim"),O73*1000000/P44,0)</f>
        <v>0</v>
      </c>
      <c r="Q88" s="133"/>
      <c r="R88" s="823"/>
      <c r="S88" s="806"/>
      <c r="T88" s="806"/>
      <c r="U88" s="806"/>
      <c r="V88" s="806"/>
      <c r="W88" s="806"/>
      <c r="X88" s="806"/>
      <c r="Y88" s="806"/>
      <c r="Z88" s="1385"/>
    </row>
    <row r="89" spans="1:26" ht="17.649999999999999" hidden="1" customHeight="1" outlineLevel="1" x14ac:dyDescent="0.25">
      <c r="A89" s="33"/>
      <c r="B89" s="1313" t="str">
        <f>IF('R-Definição'!$E$121="Existente","Custo para Disposição Aterro Sanitário","Custo calculado na Aba 'Aterro Sanitário'")</f>
        <v>Custo calculado na Aba 'Aterro Sanitário'</v>
      </c>
      <c r="C89" s="457" t="s">
        <v>293</v>
      </c>
      <c r="D89" s="1360">
        <v>0</v>
      </c>
      <c r="E89" s="133"/>
      <c r="F89" s="1313" t="s">
        <v>731</v>
      </c>
      <c r="G89" s="457" t="s">
        <v>243</v>
      </c>
      <c r="H89" s="1336">
        <f>P46*D118/1000000</f>
        <v>0</v>
      </c>
      <c r="I89" s="139"/>
      <c r="J89" s="1298"/>
      <c r="K89" s="457"/>
      <c r="L89" s="1337"/>
      <c r="M89" s="133"/>
      <c r="N89" s="1313" t="s">
        <v>591</v>
      </c>
      <c r="O89" s="455" t="s">
        <v>297</v>
      </c>
      <c r="P89" s="1372">
        <f>IF(AND(O64&lt;&gt;0,'R-Definição'!$J$65="Não"),O64*1000000/P45,0)</f>
        <v>0</v>
      </c>
      <c r="Q89" s="133"/>
      <c r="R89" s="823"/>
      <c r="S89" s="806"/>
      <c r="T89" s="806"/>
      <c r="U89" s="806"/>
      <c r="V89" s="806"/>
      <c r="W89" s="806"/>
      <c r="X89" s="806"/>
      <c r="Y89" s="806"/>
      <c r="Z89" s="1385"/>
    </row>
    <row r="90" spans="1:26" ht="17.649999999999999" hidden="1" customHeight="1" outlineLevel="1" thickBot="1" x14ac:dyDescent="0.3">
      <c r="A90" s="33"/>
      <c r="B90" s="1313" t="s">
        <v>845</v>
      </c>
      <c r="C90" s="457" t="s">
        <v>293</v>
      </c>
      <c r="D90" s="1360">
        <v>250</v>
      </c>
      <c r="E90" s="133"/>
      <c r="F90" s="1346" t="s">
        <v>844</v>
      </c>
      <c r="G90" s="701" t="s">
        <v>243</v>
      </c>
      <c r="H90" s="1347">
        <f>((P36)*D101+(P37)*D102+(P38)*D103+(P39)*D104+(P40)*D105+(P41)*D106)/1000000</f>
        <v>0</v>
      </c>
      <c r="I90" s="139"/>
      <c r="J90" s="1298"/>
      <c r="K90" s="457"/>
      <c r="L90" s="1337"/>
      <c r="M90" s="133"/>
      <c r="N90" s="1315" t="s">
        <v>433</v>
      </c>
      <c r="O90" s="1335" t="s">
        <v>297</v>
      </c>
      <c r="P90" s="1368" t="e">
        <f>IF(AND(O73&lt;&gt;0,'R-Definição'!$J$124="Sim"),O73*1000000/P46,0)</f>
        <v>#DIV/0!</v>
      </c>
      <c r="Q90" s="133"/>
      <c r="R90" s="823"/>
      <c r="S90" s="806"/>
      <c r="T90" s="806"/>
      <c r="U90" s="806"/>
      <c r="V90" s="806"/>
      <c r="W90" s="806"/>
      <c r="X90" s="806"/>
      <c r="Y90" s="806"/>
      <c r="Z90" s="1385"/>
    </row>
    <row r="91" spans="1:26" ht="17.649999999999999" hidden="1" customHeight="1" outlineLevel="1" thickTop="1" x14ac:dyDescent="0.25">
      <c r="A91" s="33"/>
      <c r="B91" s="1313" t="s">
        <v>1034</v>
      </c>
      <c r="C91" s="457" t="s">
        <v>1035</v>
      </c>
      <c r="D91" s="1360">
        <v>15</v>
      </c>
      <c r="E91" s="133"/>
      <c r="F91" s="1348" t="s">
        <v>736</v>
      </c>
      <c r="G91" s="241" t="s">
        <v>243</v>
      </c>
      <c r="H91" s="1339">
        <f>SUM(H82:H89)</f>
        <v>12.956307002901156</v>
      </c>
      <c r="I91" s="244"/>
      <c r="J91" s="1338" t="s">
        <v>512</v>
      </c>
      <c r="K91" s="241" t="s">
        <v>243</v>
      </c>
      <c r="L91" s="1339">
        <f>SUM(L82:L85)</f>
        <v>6.248800000000001</v>
      </c>
      <c r="M91" s="133"/>
      <c r="N91" s="244"/>
      <c r="O91" s="133"/>
      <c r="P91" s="133"/>
      <c r="Q91" s="133"/>
      <c r="R91" s="823"/>
      <c r="S91" s="806"/>
      <c r="T91" s="806"/>
      <c r="U91" s="806"/>
      <c r="V91" s="806"/>
      <c r="W91" s="806"/>
      <c r="X91" s="806"/>
      <c r="Y91" s="806"/>
      <c r="Z91" s="1385"/>
    </row>
    <row r="92" spans="1:26" ht="17.649999999999999" hidden="1" customHeight="1" outlineLevel="1" x14ac:dyDescent="0.25">
      <c r="A92" s="33"/>
      <c r="B92" s="1313"/>
      <c r="C92" s="457"/>
      <c r="D92" s="1324"/>
      <c r="E92" s="133"/>
      <c r="F92" s="1298" t="s">
        <v>298</v>
      </c>
      <c r="G92" s="457" t="s">
        <v>293</v>
      </c>
      <c r="H92" s="1324">
        <f>H91*1000000/D40</f>
        <v>88.741828786994219</v>
      </c>
      <c r="I92" s="139"/>
      <c r="J92" s="1313" t="s">
        <v>580</v>
      </c>
      <c r="K92" s="457" t="s">
        <v>293</v>
      </c>
      <c r="L92" s="1324">
        <f>L91*1000000/D40</f>
        <v>42.800000000000004</v>
      </c>
      <c r="M92" s="133"/>
      <c r="N92" s="133"/>
      <c r="O92" s="133"/>
      <c r="P92" s="133"/>
      <c r="Q92" s="133"/>
      <c r="R92" s="823"/>
      <c r="S92" s="806"/>
      <c r="T92" s="806"/>
      <c r="U92" s="806"/>
      <c r="V92" s="806"/>
      <c r="W92" s="806"/>
      <c r="X92" s="806"/>
      <c r="Y92" s="806"/>
      <c r="Z92" s="1385"/>
    </row>
    <row r="93" spans="1:26" ht="15" hidden="1" customHeight="1" outlineLevel="1" thickBot="1" x14ac:dyDescent="0.3">
      <c r="A93" s="33"/>
      <c r="B93" s="1315"/>
      <c r="C93" s="1301"/>
      <c r="D93" s="1741"/>
      <c r="E93" s="133"/>
      <c r="F93" s="1300" t="s">
        <v>732</v>
      </c>
      <c r="G93" s="1301" t="s">
        <v>837</v>
      </c>
      <c r="H93" s="1340">
        <f>H92*($D$7*30/$D$6)</f>
        <v>3.0267440002695776</v>
      </c>
      <c r="I93" s="139"/>
      <c r="J93" s="1315" t="s">
        <v>733</v>
      </c>
      <c r="K93" s="1301" t="s">
        <v>250</v>
      </c>
      <c r="L93" s="1340">
        <f>L92*($D$7*30/$D$6)</f>
        <v>1.4597923547697236</v>
      </c>
      <c r="M93" s="133"/>
      <c r="N93" s="133"/>
      <c r="O93" s="133"/>
      <c r="P93" s="133"/>
      <c r="Q93" s="133"/>
      <c r="R93" s="823"/>
      <c r="S93" s="806"/>
      <c r="T93" s="806"/>
      <c r="U93" s="806"/>
      <c r="V93" s="806"/>
      <c r="W93" s="806"/>
      <c r="X93" s="806"/>
      <c r="Y93" s="806"/>
      <c r="Z93" s="1385"/>
    </row>
    <row r="94" spans="1:26" s="691" customFormat="1" ht="19.899999999999999" hidden="1" customHeight="1" outlineLevel="1" thickTop="1" thickBot="1" x14ac:dyDescent="0.3">
      <c r="A94" s="38"/>
      <c r="B94" s="692"/>
      <c r="C94" s="133"/>
      <c r="D94" s="133"/>
      <c r="F94" s="692"/>
      <c r="G94" s="139"/>
      <c r="H94" s="139"/>
      <c r="I94" s="139"/>
      <c r="J94" s="139"/>
      <c r="K94" s="227"/>
      <c r="L94" s="139"/>
      <c r="M94" s="133"/>
      <c r="N94" s="133"/>
      <c r="O94" s="133"/>
      <c r="P94" s="133"/>
      <c r="Q94" s="38"/>
      <c r="R94" s="821"/>
      <c r="S94" s="822"/>
      <c r="T94" s="822"/>
      <c r="U94" s="822"/>
      <c r="V94" s="822"/>
      <c r="W94" s="822"/>
      <c r="X94" s="822"/>
      <c r="Y94" s="822"/>
      <c r="Z94" s="1391"/>
    </row>
    <row r="95" spans="1:26" s="691" customFormat="1" ht="19.899999999999999" hidden="1" customHeight="1" outlineLevel="1" thickTop="1" thickBot="1" x14ac:dyDescent="0.3">
      <c r="A95" s="38"/>
      <c r="B95" s="2796" t="s">
        <v>794</v>
      </c>
      <c r="C95" s="2797"/>
      <c r="D95" s="2797"/>
      <c r="E95" s="2797"/>
      <c r="F95" s="2797"/>
      <c r="G95" s="2797"/>
      <c r="H95" s="2797"/>
      <c r="I95" s="2797"/>
      <c r="J95" s="2797"/>
      <c r="K95" s="2797"/>
      <c r="L95" s="2798"/>
      <c r="M95" s="38"/>
      <c r="N95" s="38"/>
      <c r="O95" s="38"/>
      <c r="P95" s="38"/>
      <c r="Q95" s="38"/>
      <c r="R95" s="821"/>
      <c r="S95" s="822"/>
      <c r="T95" s="822"/>
      <c r="U95" s="822"/>
      <c r="V95" s="822"/>
      <c r="W95" s="822"/>
      <c r="X95" s="822"/>
      <c r="Y95" s="822"/>
      <c r="Z95" s="1391"/>
    </row>
    <row r="96" spans="1:26" ht="10.15" hidden="1" customHeight="1" outlineLevel="1" thickTop="1" thickBot="1" x14ac:dyDescent="0.3">
      <c r="A96" s="33"/>
      <c r="B96" s="692"/>
      <c r="C96" s="133"/>
      <c r="D96" s="133"/>
      <c r="E96" s="133"/>
      <c r="F96" s="98"/>
      <c r="G96" s="98"/>
      <c r="H96" s="98"/>
      <c r="I96" s="98"/>
      <c r="J96" s="98"/>
      <c r="K96" s="98"/>
      <c r="L96" s="98"/>
      <c r="M96" s="133"/>
      <c r="N96" s="133"/>
      <c r="O96" s="133"/>
      <c r="P96" s="133"/>
      <c r="Q96" s="133"/>
      <c r="R96" s="823"/>
      <c r="S96" s="806"/>
      <c r="T96" s="806"/>
      <c r="U96" s="806"/>
      <c r="V96" s="806"/>
      <c r="W96" s="806"/>
      <c r="X96" s="806"/>
      <c r="Y96" s="806"/>
      <c r="Z96" s="1385"/>
    </row>
    <row r="97" spans="1:26" ht="17.649999999999999" hidden="1" customHeight="1" outlineLevel="1" thickTop="1" x14ac:dyDescent="0.25">
      <c r="A97" s="33"/>
      <c r="B97" s="1319" t="s">
        <v>570</v>
      </c>
      <c r="C97" s="1320" t="s">
        <v>239</v>
      </c>
      <c r="D97" s="1321" t="s">
        <v>240</v>
      </c>
      <c r="E97" s="133"/>
      <c r="F97" s="1316" t="s">
        <v>585</v>
      </c>
      <c r="G97" s="1317" t="s">
        <v>239</v>
      </c>
      <c r="H97" s="1282" t="s">
        <v>240</v>
      </c>
      <c r="I97" s="686"/>
      <c r="J97" s="1316" t="s">
        <v>582</v>
      </c>
      <c r="K97" s="1317" t="s">
        <v>239</v>
      </c>
      <c r="L97" s="1282" t="s">
        <v>240</v>
      </c>
      <c r="M97" s="38"/>
      <c r="N97" s="38"/>
      <c r="O97" s="38"/>
      <c r="P97" s="38"/>
      <c r="Q97" s="133"/>
      <c r="R97" s="823"/>
      <c r="S97" s="806"/>
      <c r="T97" s="806"/>
      <c r="U97" s="806"/>
      <c r="V97" s="806"/>
      <c r="W97" s="806"/>
      <c r="X97" s="806"/>
      <c r="Y97" s="806"/>
      <c r="Z97" s="1385"/>
    </row>
    <row r="98" spans="1:26" ht="17.649999999999999" hidden="1" customHeight="1" outlineLevel="1" x14ac:dyDescent="0.25">
      <c r="A98" s="33"/>
      <c r="B98" s="1260" t="s">
        <v>924</v>
      </c>
      <c r="C98" s="240" t="s">
        <v>259</v>
      </c>
      <c r="D98" s="1322" t="s">
        <v>6</v>
      </c>
      <c r="E98" s="133"/>
      <c r="F98" s="1260" t="s">
        <v>575</v>
      </c>
      <c r="G98" s="210" t="s">
        <v>243</v>
      </c>
      <c r="H98" s="1365">
        <f>O78+H9</f>
        <v>30.927709336722476</v>
      </c>
      <c r="I98" s="139"/>
      <c r="J98" s="1260" t="s">
        <v>583</v>
      </c>
      <c r="K98" s="210" t="s">
        <v>243</v>
      </c>
      <c r="L98" s="1365">
        <f>H98+L91</f>
        <v>37.176509336722475</v>
      </c>
      <c r="M98" s="133"/>
      <c r="N98" s="133"/>
      <c r="O98" s="133"/>
      <c r="P98" s="133"/>
      <c r="Q98" s="133"/>
      <c r="R98" s="823"/>
      <c r="S98" s="806"/>
      <c r="T98" s="806"/>
      <c r="U98" s="806"/>
      <c r="V98" s="806"/>
      <c r="W98" s="806"/>
      <c r="X98" s="806"/>
      <c r="Y98" s="806"/>
      <c r="Z98" s="1385"/>
    </row>
    <row r="99" spans="1:26" ht="17.649999999999999" hidden="1" customHeight="1" outlineLevel="1" thickBot="1" x14ac:dyDescent="0.3">
      <c r="A99" s="33"/>
      <c r="B99" s="1313" t="s">
        <v>925</v>
      </c>
      <c r="C99" s="457" t="s">
        <v>194</v>
      </c>
      <c r="D99" s="1539">
        <v>1</v>
      </c>
      <c r="E99" s="133"/>
      <c r="F99" s="1313" t="s">
        <v>575</v>
      </c>
      <c r="G99" s="457" t="s">
        <v>293</v>
      </c>
      <c r="H99" s="1370">
        <f>H98*1000000/D40</f>
        <v>211.83362559398955</v>
      </c>
      <c r="I99" s="139"/>
      <c r="J99" s="1313" t="s">
        <v>584</v>
      </c>
      <c r="K99" s="457" t="s">
        <v>293</v>
      </c>
      <c r="L99" s="1370">
        <f>L98*1000000/D40</f>
        <v>254.63362559398956</v>
      </c>
      <c r="M99" s="133"/>
      <c r="N99" s="133"/>
      <c r="O99" s="133"/>
      <c r="P99" s="133"/>
      <c r="Q99" s="133"/>
      <c r="R99" s="823"/>
      <c r="S99" s="806"/>
      <c r="T99" s="806"/>
      <c r="U99" s="806"/>
      <c r="V99" s="806"/>
      <c r="W99" s="806"/>
      <c r="X99" s="806"/>
      <c r="Y99" s="806"/>
      <c r="Z99" s="1385"/>
    </row>
    <row r="100" spans="1:26" ht="17.649999999999999" hidden="1" customHeight="1" outlineLevel="1" thickTop="1" thickBot="1" x14ac:dyDescent="0.3">
      <c r="A100" s="33"/>
      <c r="B100" s="1313" t="s">
        <v>965</v>
      </c>
      <c r="C100" s="457" t="s">
        <v>194</v>
      </c>
      <c r="D100" s="1323">
        <v>0.25</v>
      </c>
      <c r="E100" s="133"/>
      <c r="F100" s="1315" t="s">
        <v>734</v>
      </c>
      <c r="G100" s="1301" t="s">
        <v>837</v>
      </c>
      <c r="H100" s="1371">
        <f>H99*($D$7*30/$D$6)</f>
        <v>7.2250725963845319</v>
      </c>
      <c r="I100" s="139"/>
      <c r="J100" s="1315" t="s">
        <v>735</v>
      </c>
      <c r="K100" s="1301" t="s">
        <v>250</v>
      </c>
      <c r="L100" s="1371">
        <f>L99*($D$7*30/$D$6)</f>
        <v>8.6848649511542551</v>
      </c>
      <c r="M100" s="133"/>
      <c r="N100" s="133"/>
      <c r="O100" s="133"/>
      <c r="P100" s="133"/>
      <c r="Q100" s="133"/>
      <c r="R100" s="823"/>
      <c r="S100" s="806"/>
      <c r="T100" s="806"/>
      <c r="U100" s="806"/>
      <c r="V100" s="806"/>
      <c r="W100" s="806"/>
      <c r="X100" s="806"/>
      <c r="Y100" s="806"/>
      <c r="Z100" s="1385"/>
    </row>
    <row r="101" spans="1:26" ht="17.649999999999999" hidden="1" customHeight="1" outlineLevel="1" thickTop="1" x14ac:dyDescent="0.25">
      <c r="A101" s="33"/>
      <c r="B101" s="1313" t="s">
        <v>951</v>
      </c>
      <c r="C101" s="455" t="s">
        <v>293</v>
      </c>
      <c r="D101" s="1369">
        <v>300</v>
      </c>
      <c r="E101" s="133"/>
      <c r="F101" s="136"/>
      <c r="G101" s="133"/>
      <c r="H101" s="133"/>
      <c r="I101" s="133"/>
      <c r="J101" s="133"/>
      <c r="K101" s="98"/>
      <c r="L101" s="133"/>
      <c r="M101" s="133"/>
      <c r="N101" s="133"/>
      <c r="O101" s="133"/>
      <c r="P101" s="133"/>
      <c r="Q101" s="133"/>
      <c r="R101" s="823"/>
      <c r="S101" s="806"/>
      <c r="T101" s="806"/>
      <c r="U101" s="806"/>
      <c r="V101" s="806"/>
      <c r="W101" s="806"/>
      <c r="X101" s="806"/>
      <c r="Y101" s="806"/>
      <c r="Z101" s="1385"/>
    </row>
    <row r="102" spans="1:26" ht="17.649999999999999" hidden="1" customHeight="1" outlineLevel="1" x14ac:dyDescent="0.25">
      <c r="A102" s="33"/>
      <c r="B102" s="1313" t="s">
        <v>952</v>
      </c>
      <c r="C102" s="455" t="s">
        <v>293</v>
      </c>
      <c r="D102" s="1369">
        <v>750</v>
      </c>
      <c r="E102" s="133"/>
      <c r="F102" s="136"/>
      <c r="G102" s="133"/>
      <c r="H102" s="133"/>
      <c r="I102" s="133"/>
      <c r="J102" s="133"/>
      <c r="K102" s="98"/>
      <c r="L102" s="133"/>
      <c r="M102" s="133"/>
      <c r="N102" s="133"/>
      <c r="O102" s="133"/>
      <c r="P102" s="133"/>
      <c r="Q102" s="133"/>
      <c r="R102" s="823"/>
      <c r="S102" s="806"/>
      <c r="T102" s="806"/>
      <c r="U102" s="806"/>
      <c r="V102" s="806"/>
      <c r="W102" s="806"/>
      <c r="X102" s="806"/>
      <c r="Y102" s="806"/>
      <c r="Z102" s="1385"/>
    </row>
    <row r="103" spans="1:26" ht="17.649999999999999" hidden="1" customHeight="1" outlineLevel="1" x14ac:dyDescent="0.25">
      <c r="A103" s="33"/>
      <c r="B103" s="1313" t="s">
        <v>953</v>
      </c>
      <c r="C103" s="455" t="s">
        <v>293</v>
      </c>
      <c r="D103" s="1369">
        <v>1250</v>
      </c>
      <c r="E103" s="133"/>
      <c r="F103" s="136"/>
      <c r="G103" s="133"/>
      <c r="H103" s="133"/>
      <c r="I103" s="133"/>
      <c r="J103" s="133"/>
      <c r="K103" s="98"/>
      <c r="L103" s="133"/>
      <c r="M103" s="133"/>
      <c r="N103" s="133"/>
      <c r="O103" s="133"/>
      <c r="P103" s="133"/>
      <c r="Q103" s="133"/>
      <c r="R103" s="823"/>
      <c r="S103" s="806"/>
      <c r="T103" s="806"/>
      <c r="U103" s="806"/>
      <c r="V103" s="806"/>
      <c r="W103" s="806"/>
      <c r="X103" s="806"/>
      <c r="Y103" s="806"/>
      <c r="Z103" s="1385"/>
    </row>
    <row r="104" spans="1:26" ht="17.649999999999999" hidden="1" customHeight="1" outlineLevel="1" x14ac:dyDescent="0.25">
      <c r="A104" s="33"/>
      <c r="B104" s="1313" t="s">
        <v>954</v>
      </c>
      <c r="C104" s="239" t="s">
        <v>293</v>
      </c>
      <c r="D104" s="1369">
        <v>50</v>
      </c>
      <c r="E104" s="133"/>
      <c r="F104" s="1493"/>
      <c r="G104" s="133"/>
      <c r="H104" s="133"/>
      <c r="I104" s="133"/>
      <c r="J104" s="133"/>
      <c r="K104" s="98"/>
      <c r="L104" s="133"/>
      <c r="M104" s="133"/>
      <c r="N104" s="133"/>
      <c r="O104" s="133"/>
      <c r="P104" s="133"/>
      <c r="Q104" s="133"/>
      <c r="R104" s="823"/>
      <c r="S104" s="806"/>
      <c r="T104" s="806"/>
      <c r="U104" s="806"/>
      <c r="V104" s="806"/>
      <c r="W104" s="806"/>
      <c r="X104" s="806"/>
      <c r="Y104" s="806"/>
      <c r="Z104" s="1385"/>
    </row>
    <row r="105" spans="1:26" ht="17.649999999999999" hidden="1" customHeight="1" outlineLevel="1" x14ac:dyDescent="0.25">
      <c r="A105" s="33"/>
      <c r="B105" s="1313" t="s">
        <v>955</v>
      </c>
      <c r="C105" s="457" t="s">
        <v>293</v>
      </c>
      <c r="D105" s="1358">
        <v>570</v>
      </c>
      <c r="E105" s="133"/>
      <c r="F105" s="136"/>
      <c r="G105" s="133"/>
      <c r="H105" s="133"/>
      <c r="I105" s="133"/>
      <c r="J105" s="133"/>
      <c r="K105" s="98"/>
      <c r="L105" s="133"/>
      <c r="M105" s="133"/>
      <c r="N105" s="133"/>
      <c r="O105" s="133"/>
      <c r="P105" s="133"/>
      <c r="Q105" s="133"/>
      <c r="R105" s="823"/>
      <c r="S105" s="806"/>
      <c r="T105" s="806"/>
      <c r="U105" s="806"/>
      <c r="V105" s="806"/>
      <c r="W105" s="806"/>
      <c r="X105" s="806"/>
      <c r="Y105" s="806"/>
      <c r="Z105" s="1385"/>
    </row>
    <row r="106" spans="1:26" ht="17.649999999999999" hidden="1" customHeight="1" outlineLevel="1" x14ac:dyDescent="0.25">
      <c r="A106" s="33"/>
      <c r="B106" s="1313" t="s">
        <v>956</v>
      </c>
      <c r="C106" s="457" t="s">
        <v>293</v>
      </c>
      <c r="D106" s="1369">
        <v>900</v>
      </c>
      <c r="E106" s="133"/>
      <c r="F106" s="136"/>
      <c r="G106" s="133"/>
      <c r="H106" s="133"/>
      <c r="I106" s="133"/>
      <c r="J106" s="133"/>
      <c r="K106" s="98"/>
      <c r="L106" s="133"/>
      <c r="M106" s="133"/>
      <c r="N106" s="133"/>
      <c r="O106" s="133"/>
      <c r="P106" s="133"/>
      <c r="Q106" s="133"/>
      <c r="R106" s="823"/>
      <c r="S106" s="806"/>
      <c r="T106" s="806"/>
      <c r="U106" s="806"/>
      <c r="V106" s="806"/>
      <c r="W106" s="806"/>
      <c r="X106" s="806"/>
      <c r="Y106" s="806"/>
      <c r="Z106" s="1385"/>
    </row>
    <row r="107" spans="1:26" ht="17.649999999999999" hidden="1" customHeight="1" outlineLevel="1" x14ac:dyDescent="0.25">
      <c r="A107" s="33"/>
      <c r="B107" s="1313"/>
      <c r="C107" s="457"/>
      <c r="D107" s="1324"/>
      <c r="E107" s="133"/>
      <c r="F107" s="136"/>
      <c r="G107" s="133"/>
      <c r="H107" s="133"/>
      <c r="I107" s="133"/>
      <c r="J107" s="133"/>
      <c r="K107" s="98"/>
      <c r="L107" s="133"/>
      <c r="M107" s="133"/>
      <c r="N107" s="133"/>
      <c r="O107" s="133"/>
      <c r="P107" s="133"/>
      <c r="Q107" s="133"/>
      <c r="R107" s="823"/>
      <c r="S107" s="806"/>
      <c r="T107" s="806"/>
      <c r="U107" s="806"/>
      <c r="V107" s="806"/>
      <c r="W107" s="806"/>
      <c r="X107" s="806"/>
      <c r="Y107" s="806"/>
      <c r="Z107" s="1385"/>
    </row>
    <row r="108" spans="1:26" ht="17.649999999999999" hidden="1" customHeight="1" outlineLevel="1" x14ac:dyDescent="0.25">
      <c r="A108" s="33"/>
      <c r="B108" s="1313" t="s">
        <v>957</v>
      </c>
      <c r="C108" s="457" t="s">
        <v>293</v>
      </c>
      <c r="D108" s="1358">
        <v>0</v>
      </c>
      <c r="E108" s="133"/>
      <c r="F108" s="136"/>
      <c r="G108" s="133"/>
      <c r="H108" s="133"/>
      <c r="I108" s="133"/>
      <c r="J108" s="133"/>
      <c r="K108" s="98"/>
      <c r="L108" s="133"/>
      <c r="M108" s="133"/>
      <c r="N108" s="133"/>
      <c r="O108" s="133"/>
      <c r="P108" s="133"/>
      <c r="Q108" s="133"/>
      <c r="R108" s="823"/>
      <c r="S108" s="806"/>
      <c r="T108" s="806"/>
      <c r="U108" s="806"/>
      <c r="V108" s="806"/>
      <c r="W108" s="806"/>
      <c r="X108" s="806"/>
      <c r="Y108" s="806"/>
      <c r="Z108" s="1385"/>
    </row>
    <row r="109" spans="1:26" ht="17.649999999999999" hidden="1" customHeight="1" outlineLevel="1" x14ac:dyDescent="0.25">
      <c r="A109" s="33"/>
      <c r="B109" s="1313" t="s">
        <v>958</v>
      </c>
      <c r="C109" s="457" t="s">
        <v>293</v>
      </c>
      <c r="D109" s="1358">
        <v>0</v>
      </c>
      <c r="E109" s="133"/>
      <c r="F109" s="136"/>
      <c r="G109" s="133"/>
      <c r="H109" s="133"/>
      <c r="I109" s="133"/>
      <c r="J109" s="133"/>
      <c r="K109" s="98"/>
      <c r="L109" s="133"/>
      <c r="M109" s="133"/>
      <c r="N109" s="133"/>
      <c r="O109" s="133"/>
      <c r="P109" s="133"/>
      <c r="Q109" s="133"/>
      <c r="R109" s="823"/>
      <c r="S109" s="806"/>
      <c r="T109" s="806"/>
      <c r="U109" s="806"/>
      <c r="V109" s="806"/>
      <c r="W109" s="806"/>
      <c r="X109" s="806"/>
      <c r="Y109" s="806"/>
      <c r="Z109" s="1385"/>
    </row>
    <row r="110" spans="1:26" ht="17.649999999999999" hidden="1" customHeight="1" outlineLevel="1" x14ac:dyDescent="0.25">
      <c r="A110" s="33"/>
      <c r="B110" s="1313"/>
      <c r="C110" s="457"/>
      <c r="D110" s="1324"/>
      <c r="E110" s="133"/>
      <c r="F110" s="136"/>
      <c r="G110" s="133"/>
      <c r="H110" s="133"/>
      <c r="I110" s="133"/>
      <c r="J110" s="133"/>
      <c r="K110" s="98"/>
      <c r="L110" s="133"/>
      <c r="M110" s="133"/>
      <c r="N110" s="133"/>
      <c r="O110" s="133"/>
      <c r="P110" s="133"/>
      <c r="Q110" s="133"/>
      <c r="R110" s="823"/>
      <c r="S110" s="806"/>
      <c r="T110" s="806"/>
      <c r="U110" s="806"/>
      <c r="V110" s="806"/>
      <c r="W110" s="806"/>
      <c r="X110" s="806"/>
      <c r="Y110" s="806"/>
      <c r="Z110" s="1385"/>
    </row>
    <row r="111" spans="1:26" ht="17.649999999999999" hidden="1" customHeight="1" outlineLevel="1" x14ac:dyDescent="0.25">
      <c r="A111" s="33"/>
      <c r="B111" s="1313" t="s">
        <v>959</v>
      </c>
      <c r="C111" s="457" t="s">
        <v>293</v>
      </c>
      <c r="D111" s="1358">
        <v>100</v>
      </c>
      <c r="E111" s="133"/>
      <c r="F111" s="136"/>
      <c r="G111" s="133"/>
      <c r="H111" s="133"/>
      <c r="I111" s="133"/>
      <c r="J111" s="133"/>
      <c r="K111" s="98"/>
      <c r="L111" s="133"/>
      <c r="M111" s="133"/>
      <c r="N111" s="133"/>
      <c r="O111" s="133"/>
      <c r="P111" s="133"/>
      <c r="Q111" s="133"/>
      <c r="R111" s="823"/>
      <c r="S111" s="806"/>
      <c r="T111" s="806"/>
      <c r="U111" s="806"/>
      <c r="V111" s="806"/>
      <c r="W111" s="806"/>
      <c r="X111" s="806"/>
      <c r="Y111" s="806"/>
      <c r="Z111" s="1385"/>
    </row>
    <row r="112" spans="1:26" ht="17.649999999999999" hidden="1" customHeight="1" outlineLevel="1" x14ac:dyDescent="0.25">
      <c r="A112" s="33"/>
      <c r="B112" s="1313" t="s">
        <v>960</v>
      </c>
      <c r="C112" s="457" t="s">
        <v>293</v>
      </c>
      <c r="D112" s="1358">
        <v>100</v>
      </c>
      <c r="E112" s="133"/>
      <c r="F112" s="136"/>
      <c r="G112" s="133"/>
      <c r="H112" s="133"/>
      <c r="I112" s="133"/>
      <c r="J112" s="133"/>
      <c r="K112" s="98"/>
      <c r="L112" s="133"/>
      <c r="M112" s="133"/>
      <c r="N112" s="133"/>
      <c r="O112" s="133"/>
      <c r="P112" s="133"/>
      <c r="Q112" s="133"/>
      <c r="R112" s="823"/>
      <c r="S112" s="806"/>
      <c r="T112" s="806"/>
      <c r="U112" s="806"/>
      <c r="V112" s="806"/>
      <c r="W112" s="806"/>
      <c r="X112" s="806"/>
      <c r="Y112" s="806"/>
      <c r="Z112" s="1385"/>
    </row>
    <row r="113" spans="1:26" ht="17.649999999999999" hidden="1" customHeight="1" outlineLevel="1" x14ac:dyDescent="0.25">
      <c r="A113" s="33"/>
      <c r="B113" s="1313"/>
      <c r="C113" s="457"/>
      <c r="D113" s="1324"/>
      <c r="E113" s="133"/>
      <c r="F113" s="136"/>
      <c r="G113" s="133"/>
      <c r="H113" s="133"/>
      <c r="I113" s="133"/>
      <c r="J113" s="133"/>
      <c r="K113" s="98"/>
      <c r="L113" s="133"/>
      <c r="M113" s="133"/>
      <c r="N113" s="133"/>
      <c r="O113" s="133"/>
      <c r="P113" s="133"/>
      <c r="Q113" s="133"/>
      <c r="R113" s="823"/>
      <c r="S113" s="806"/>
      <c r="T113" s="806"/>
      <c r="U113" s="806"/>
      <c r="V113" s="806"/>
      <c r="W113" s="806"/>
      <c r="X113" s="806"/>
      <c r="Y113" s="806"/>
      <c r="Z113" s="1385"/>
    </row>
    <row r="114" spans="1:26" ht="17.649999999999999" hidden="1" customHeight="1" outlineLevel="1" x14ac:dyDescent="0.25">
      <c r="A114" s="33"/>
      <c r="B114" s="1313" t="s">
        <v>961</v>
      </c>
      <c r="C114" s="457" t="s">
        <v>282</v>
      </c>
      <c r="D114" s="1358">
        <v>500</v>
      </c>
      <c r="E114" s="133"/>
      <c r="F114" s="136"/>
      <c r="G114" s="133"/>
      <c r="H114" s="133"/>
      <c r="I114" s="133"/>
      <c r="J114" s="133"/>
      <c r="K114" s="98"/>
      <c r="L114" s="133"/>
      <c r="M114" s="133"/>
      <c r="N114" s="133"/>
      <c r="O114" s="133"/>
      <c r="P114" s="133"/>
      <c r="Q114" s="133"/>
      <c r="R114" s="823"/>
      <c r="S114" s="806"/>
      <c r="T114" s="806"/>
      <c r="U114" s="806"/>
      <c r="V114" s="806"/>
      <c r="W114" s="806"/>
      <c r="X114" s="806"/>
      <c r="Y114" s="806"/>
      <c r="Z114" s="1385"/>
    </row>
    <row r="115" spans="1:26" ht="17.649999999999999" hidden="1" customHeight="1" outlineLevel="1" x14ac:dyDescent="0.25">
      <c r="A115" s="33"/>
      <c r="B115" s="1313" t="s">
        <v>962</v>
      </c>
      <c r="C115" s="457" t="s">
        <v>282</v>
      </c>
      <c r="D115" s="1358">
        <v>500</v>
      </c>
      <c r="E115" s="133"/>
      <c r="F115" s="136"/>
      <c r="G115" s="133"/>
      <c r="H115" s="133"/>
      <c r="I115" s="133"/>
      <c r="J115" s="133"/>
      <c r="K115" s="98"/>
      <c r="L115" s="133"/>
      <c r="M115" s="133"/>
      <c r="N115" s="133"/>
      <c r="O115" s="133"/>
      <c r="P115" s="133"/>
      <c r="Q115" s="133"/>
      <c r="R115" s="823"/>
      <c r="S115" s="806"/>
      <c r="T115" s="806"/>
      <c r="U115" s="806"/>
      <c r="V115" s="806"/>
      <c r="W115" s="806"/>
      <c r="X115" s="806"/>
      <c r="Y115" s="806"/>
      <c r="Z115" s="1385"/>
    </row>
    <row r="116" spans="1:26" ht="18" hidden="1" customHeight="1" outlineLevel="1" x14ac:dyDescent="0.25">
      <c r="B116" s="1313"/>
      <c r="C116" s="457"/>
      <c r="D116" s="1324"/>
      <c r="E116" s="77"/>
      <c r="F116" s="77"/>
      <c r="G116" s="77"/>
      <c r="H116" s="77"/>
      <c r="I116" s="77"/>
      <c r="J116" s="77"/>
      <c r="K116" s="216"/>
      <c r="L116" s="77"/>
      <c r="M116" s="77"/>
      <c r="N116" s="77"/>
      <c r="O116" s="77"/>
      <c r="P116" s="77"/>
      <c r="Q116" s="77"/>
      <c r="R116" s="824"/>
    </row>
    <row r="117" spans="1:26" ht="15" hidden="1" customHeight="1" outlineLevel="1" x14ac:dyDescent="0.25">
      <c r="B117" s="1313" t="s">
        <v>963</v>
      </c>
      <c r="C117" s="457" t="s">
        <v>297</v>
      </c>
      <c r="D117" s="1358">
        <v>1.5</v>
      </c>
    </row>
    <row r="118" spans="1:26" ht="15" hidden="1" customHeight="1" outlineLevel="1" thickBot="1" x14ac:dyDescent="0.3">
      <c r="B118" s="1315" t="s">
        <v>964</v>
      </c>
      <c r="C118" s="1301" t="s">
        <v>297</v>
      </c>
      <c r="D118" s="1363">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59" customWidth="1"/>
    <col min="2" max="2" width="65.7109375" style="61" customWidth="1"/>
    <col min="3" max="3" width="20.7109375" style="62" customWidth="1"/>
    <col min="4" max="4" width="18.28515625" style="61" customWidth="1"/>
    <col min="5" max="5" width="3.28515625" style="61" customWidth="1"/>
    <col min="6" max="7" width="30.7109375" style="61" customWidth="1"/>
    <col min="8" max="8" width="18.28515625" style="61" customWidth="1"/>
    <col min="9" max="9" width="3.42578125" style="61" customWidth="1"/>
    <col min="10" max="13" width="18.28515625" style="61" customWidth="1"/>
    <col min="14" max="14" width="5" style="61" customWidth="1"/>
    <col min="15" max="15" width="18.28515625" style="61" customWidth="1" outlineLevel="1"/>
    <col min="16" max="16" width="3.42578125" style="61" customWidth="1" outlineLevel="1"/>
    <col min="17" max="17" width="18.28515625" style="61" customWidth="1" outlineLevel="1"/>
    <col min="18" max="18" width="3.42578125" style="61" customWidth="1" outlineLevel="1"/>
    <col min="19" max="19" width="18.28515625" style="61" customWidth="1" outlineLevel="1"/>
    <col min="20" max="21" width="23.28515625" style="61" customWidth="1" outlineLevel="1"/>
    <col min="22" max="22" width="28.42578125" style="61" customWidth="1" outlineLevel="1"/>
    <col min="23" max="23" width="23.28515625" style="62" customWidth="1" outlineLevel="1"/>
    <col min="24" max="24" width="28.42578125" style="61" customWidth="1" outlineLevel="1"/>
    <col min="25" max="25" width="21.85546875" style="62" customWidth="1" outlineLevel="1"/>
    <col min="26" max="26" width="11.28515625" style="61" customWidth="1" outlineLevel="1"/>
    <col min="27" max="27" width="8.7109375" style="61" customWidth="1" outlineLevel="1"/>
    <col min="28" max="16384" width="14.42578125" style="59"/>
  </cols>
  <sheetData>
    <row r="1" spans="1:28" ht="4.9000000000000004" customHeight="1" x14ac:dyDescent="0.25"/>
    <row r="2" spans="1:28" s="237" customFormat="1" ht="17.649999999999999" customHeight="1" x14ac:dyDescent="0.25">
      <c r="A2" s="417"/>
      <c r="B2" s="2863" t="s">
        <v>877</v>
      </c>
      <c r="C2" s="2863"/>
      <c r="D2" s="2863"/>
      <c r="E2" s="2863"/>
      <c r="F2" s="2863"/>
      <c r="G2" s="2863"/>
      <c r="H2" s="2863"/>
      <c r="I2" s="2863"/>
      <c r="J2" s="2863"/>
      <c r="K2" s="2863"/>
      <c r="L2" s="2863"/>
      <c r="M2" s="2863"/>
      <c r="N2" s="408"/>
      <c r="O2" s="2862" t="s">
        <v>595</v>
      </c>
      <c r="P2" s="2862"/>
      <c r="Q2" s="2862"/>
      <c r="R2" s="2862"/>
      <c r="S2" s="2862"/>
      <c r="T2" s="2862"/>
      <c r="U2" s="2862"/>
      <c r="V2" s="2862"/>
      <c r="W2" s="2862"/>
      <c r="X2" s="2862"/>
      <c r="Y2" s="2862"/>
      <c r="Z2" s="2862"/>
      <c r="AA2" s="2862"/>
      <c r="AB2" s="423"/>
    </row>
    <row r="3" spans="1:28" s="731" customFormat="1" ht="17.649999999999999" customHeight="1" x14ac:dyDescent="0.25">
      <c r="A3" s="729"/>
      <c r="B3" s="2863"/>
      <c r="C3" s="2863"/>
      <c r="D3" s="2863"/>
      <c r="E3" s="2863"/>
      <c r="F3" s="2863"/>
      <c r="G3" s="2863"/>
      <c r="H3" s="2863"/>
      <c r="I3" s="2863"/>
      <c r="J3" s="2863"/>
      <c r="K3" s="2863"/>
      <c r="L3" s="2863"/>
      <c r="M3" s="2863"/>
      <c r="N3" s="730"/>
      <c r="O3" s="2862"/>
      <c r="P3" s="2862"/>
      <c r="Q3" s="2862"/>
      <c r="R3" s="2862"/>
      <c r="S3" s="2862"/>
      <c r="T3" s="2862"/>
      <c r="U3" s="2862"/>
      <c r="V3" s="2862"/>
      <c r="W3" s="2862"/>
      <c r="X3" s="2862"/>
      <c r="Y3" s="2862"/>
      <c r="Z3" s="2862"/>
      <c r="AA3" s="2862"/>
      <c r="AB3" s="423"/>
    </row>
    <row r="4" spans="1:28" s="237" customFormat="1" ht="7.5" customHeight="1" thickBot="1" x14ac:dyDescent="0.3">
      <c r="A4" s="408"/>
      <c r="B4" s="408"/>
      <c r="C4" s="409"/>
      <c r="D4" s="408"/>
      <c r="E4" s="408"/>
      <c r="F4" s="408"/>
      <c r="G4" s="408"/>
      <c r="H4" s="409"/>
      <c r="I4" s="408"/>
      <c r="J4" s="409"/>
      <c r="K4" s="409"/>
      <c r="L4" s="409"/>
      <c r="M4" s="409"/>
      <c r="N4" s="408"/>
      <c r="O4" s="408"/>
      <c r="P4" s="408"/>
      <c r="Q4" s="408"/>
      <c r="R4" s="408"/>
      <c r="S4" s="408"/>
      <c r="T4" s="408"/>
      <c r="U4" s="408"/>
      <c r="V4" s="408"/>
      <c r="W4" s="412"/>
      <c r="X4" s="408"/>
      <c r="Y4" s="409"/>
      <c r="Z4" s="408"/>
      <c r="AA4" s="408"/>
      <c r="AB4" s="423"/>
    </row>
    <row r="5" spans="1:28" s="237" customFormat="1" ht="19.899999999999999" customHeight="1" collapsed="1" thickTop="1" x14ac:dyDescent="0.25">
      <c r="A5" s="408"/>
      <c r="B5" s="1294" t="s">
        <v>857</v>
      </c>
      <c r="C5" s="1295" t="s">
        <v>299</v>
      </c>
      <c r="D5" s="1296" t="s">
        <v>240</v>
      </c>
      <c r="E5" s="408"/>
      <c r="F5" s="1307" t="s">
        <v>858</v>
      </c>
      <c r="G5" s="1295" t="s">
        <v>300</v>
      </c>
      <c r="H5" s="1296" t="s">
        <v>301</v>
      </c>
      <c r="I5" s="408"/>
      <c r="J5" s="2844" t="s">
        <v>302</v>
      </c>
      <c r="K5" s="2842" t="s">
        <v>303</v>
      </c>
      <c r="L5" s="408"/>
      <c r="M5" s="409"/>
      <c r="N5" s="408"/>
      <c r="O5" s="2870" t="s">
        <v>785</v>
      </c>
      <c r="P5" s="408"/>
      <c r="Q5" s="2870" t="s">
        <v>786</v>
      </c>
      <c r="R5" s="408"/>
      <c r="S5" s="2870" t="s">
        <v>787</v>
      </c>
      <c r="T5" s="408"/>
      <c r="U5" s="2870" t="s">
        <v>788</v>
      </c>
      <c r="V5" s="408"/>
      <c r="W5" s="2870" t="s">
        <v>789</v>
      </c>
      <c r="X5" s="408"/>
      <c r="Y5" s="2870" t="s">
        <v>795</v>
      </c>
      <c r="Z5" s="408"/>
      <c r="AA5" s="408"/>
      <c r="AB5" s="423"/>
    </row>
    <row r="6" spans="1:28" s="237" customFormat="1" ht="19.899999999999999" hidden="1" customHeight="1" outlineLevel="1" x14ac:dyDescent="0.25">
      <c r="A6" s="408"/>
      <c r="B6" s="1466" t="s">
        <v>596</v>
      </c>
      <c r="C6" s="1427" t="s">
        <v>243</v>
      </c>
      <c r="D6" s="1442">
        <f>D7*D8/1000000</f>
        <v>46.552629582677561</v>
      </c>
      <c r="E6" s="413"/>
      <c r="F6" s="1462" t="s">
        <v>879</v>
      </c>
      <c r="G6" s="1414">
        <f>J7*(1-K7)</f>
        <v>109759.20000000001</v>
      </c>
      <c r="H6" s="1456">
        <f>G6/$G$11</f>
        <v>0.66654521075030615</v>
      </c>
      <c r="I6" s="408"/>
      <c r="J6" s="2845"/>
      <c r="K6" s="2843"/>
      <c r="L6" s="408"/>
      <c r="M6" s="418"/>
      <c r="N6" s="410"/>
      <c r="O6" s="2871"/>
      <c r="P6" s="408"/>
      <c r="Q6" s="2871"/>
      <c r="R6" s="408"/>
      <c r="S6" s="2871"/>
      <c r="T6" s="408"/>
      <c r="U6" s="2871"/>
      <c r="V6" s="408"/>
      <c r="W6" s="2871"/>
      <c r="X6" s="408"/>
      <c r="Y6" s="2871"/>
      <c r="Z6" s="408"/>
      <c r="AA6" s="408"/>
      <c r="AB6" s="423"/>
    </row>
    <row r="7" spans="1:28" s="237" customFormat="1" ht="19.899999999999999" hidden="1" customHeight="1" outlineLevel="1" x14ac:dyDescent="0.25">
      <c r="A7" s="408"/>
      <c r="B7" s="1462" t="s">
        <v>597</v>
      </c>
      <c r="C7" s="1425" t="s">
        <v>293</v>
      </c>
      <c r="D7" s="1443">
        <f>'R&amp;C-Painel de Controle'!H33</f>
        <v>318.85362727861343</v>
      </c>
      <c r="E7" s="413"/>
      <c r="F7" s="1462" t="s">
        <v>880</v>
      </c>
      <c r="G7" s="1414">
        <f>J7*K7</f>
        <v>27439.800000000003</v>
      </c>
      <c r="H7" s="1456">
        <f>G7/$G$11</f>
        <v>0.16663630268757654</v>
      </c>
      <c r="I7" s="408"/>
      <c r="J7" s="2874">
        <f>'R&amp;C-Painel de Controle'!D6/3</f>
        <v>137199</v>
      </c>
      <c r="K7" s="2872">
        <v>0.2</v>
      </c>
      <c r="L7" s="408"/>
      <c r="M7" s="418"/>
      <c r="N7" s="410"/>
      <c r="O7" s="1373">
        <v>0.01</v>
      </c>
      <c r="P7" s="1291" t="s">
        <v>796</v>
      </c>
      <c r="Q7" s="1373">
        <v>0.01</v>
      </c>
      <c r="R7" s="1291" t="s">
        <v>796</v>
      </c>
      <c r="S7" s="1373">
        <v>2.5000000000000001E-2</v>
      </c>
      <c r="T7" s="1291" t="s">
        <v>784</v>
      </c>
      <c r="U7" s="1373">
        <v>2.5000000000000001E-2</v>
      </c>
      <c r="V7" s="1291" t="s">
        <v>784</v>
      </c>
      <c r="W7" s="1373">
        <v>2.5000000000000001E-2</v>
      </c>
      <c r="X7" s="1291" t="s">
        <v>784</v>
      </c>
      <c r="Y7" s="1373">
        <v>0.05</v>
      </c>
      <c r="Z7" s="1291" t="s">
        <v>784</v>
      </c>
      <c r="AA7" s="408"/>
      <c r="AB7" s="423"/>
    </row>
    <row r="8" spans="1:28" s="237" customFormat="1" ht="19.899999999999999" hidden="1" customHeight="1" outlineLevel="1" thickBot="1" x14ac:dyDescent="0.3">
      <c r="A8" s="408"/>
      <c r="B8" s="1462" t="s">
        <v>598</v>
      </c>
      <c r="C8" s="1425" t="s">
        <v>249</v>
      </c>
      <c r="D8" s="1443">
        <f>'R&amp;C-Painel de Controle'!D8</f>
        <v>146000</v>
      </c>
      <c r="E8" s="413"/>
      <c r="F8" s="1462" t="s">
        <v>881</v>
      </c>
      <c r="G8" s="1457">
        <f>J7/5</f>
        <v>27439.8</v>
      </c>
      <c r="H8" s="1456">
        <f>G8/$G$11</f>
        <v>0.16663630268757654</v>
      </c>
      <c r="I8" s="408"/>
      <c r="J8" s="2875"/>
      <c r="K8" s="2873"/>
      <c r="L8" s="408"/>
      <c r="M8" s="418"/>
      <c r="N8" s="410"/>
      <c r="O8" s="1293">
        <f>(O12-O10)/O10</f>
        <v>1.2145591636766743E-6</v>
      </c>
      <c r="P8" s="410"/>
      <c r="Q8" s="1293">
        <f>(Q12-Q10)/Q10</f>
        <v>-5.8327040398667889E-3</v>
      </c>
      <c r="R8" s="410"/>
      <c r="S8" s="1293">
        <f>(S12-S10)/S10</f>
        <v>-5.832704039866644E-3</v>
      </c>
      <c r="T8" s="408"/>
      <c r="U8" s="1293">
        <f>(U12-U10)/U10</f>
        <v>2.2914268472023186E-2</v>
      </c>
      <c r="V8" s="408"/>
      <c r="W8" s="1293">
        <f>(W12-W10)/W10</f>
        <v>2.2914268472023186E-2</v>
      </c>
      <c r="X8" s="408"/>
      <c r="Y8" s="1410" t="s">
        <v>289</v>
      </c>
      <c r="Z8" s="408"/>
      <c r="AA8" s="408"/>
      <c r="AB8" s="423"/>
    </row>
    <row r="9" spans="1:28" s="237" customFormat="1" ht="19.899999999999999" hidden="1" customHeight="1" outlineLevel="1" thickTop="1" x14ac:dyDescent="0.25">
      <c r="A9" s="408"/>
      <c r="B9" s="1466" t="s">
        <v>599</v>
      </c>
      <c r="C9" s="1427" t="s">
        <v>878</v>
      </c>
      <c r="D9" s="1444">
        <v>155</v>
      </c>
      <c r="E9" s="413"/>
      <c r="F9" s="1462" t="s">
        <v>882</v>
      </c>
      <c r="G9" s="1457">
        <v>25</v>
      </c>
      <c r="H9" s="1456">
        <f>G9/$G$11</f>
        <v>1.5181989545074722E-4</v>
      </c>
      <c r="I9" s="408"/>
      <c r="J9" s="417"/>
      <c r="K9" s="412"/>
      <c r="L9" s="409"/>
      <c r="M9" s="418"/>
      <c r="N9" s="410"/>
      <c r="O9" s="832" t="s">
        <v>304</v>
      </c>
      <c r="P9" s="410"/>
      <c r="Q9" s="832" t="s">
        <v>304</v>
      </c>
      <c r="R9" s="410"/>
      <c r="S9" s="832" t="s">
        <v>304</v>
      </c>
      <c r="T9" s="424"/>
      <c r="U9" s="832" t="s">
        <v>304</v>
      </c>
      <c r="V9" s="408"/>
      <c r="W9" s="832" t="s">
        <v>304</v>
      </c>
      <c r="X9" s="408"/>
      <c r="Y9" s="832" t="s">
        <v>304</v>
      </c>
      <c r="Z9" s="408"/>
      <c r="AA9" s="408"/>
      <c r="AB9" s="423"/>
    </row>
    <row r="10" spans="1:28" s="237" customFormat="1" ht="19.899999999999999" hidden="1" customHeight="1" outlineLevel="1" x14ac:dyDescent="0.25">
      <c r="A10" s="408"/>
      <c r="B10" s="1464" t="s">
        <v>848</v>
      </c>
      <c r="C10" s="1425" t="s">
        <v>305</v>
      </c>
      <c r="D10" s="1443">
        <f>D9*30*12*'R&amp;C-Painel de Controle'!D6/1000</f>
        <v>22967112.600000001</v>
      </c>
      <c r="E10" s="413"/>
      <c r="F10" s="1462" t="s">
        <v>883</v>
      </c>
      <c r="G10" s="1457">
        <v>5</v>
      </c>
      <c r="H10" s="1456">
        <f>G10/$G$11</f>
        <v>3.0363979090149441E-5</v>
      </c>
      <c r="I10" s="408"/>
      <c r="J10" s="417"/>
      <c r="K10" s="419"/>
      <c r="L10" s="418"/>
      <c r="M10" s="418"/>
      <c r="N10" s="410"/>
      <c r="O10" s="240">
        <f>G11</f>
        <v>164668.79999999999</v>
      </c>
      <c r="P10" s="410"/>
      <c r="Q10" s="251">
        <f>D25</f>
        <v>50.603290264240286</v>
      </c>
      <c r="R10" s="410"/>
      <c r="S10" s="240">
        <f>D8</f>
        <v>146000</v>
      </c>
      <c r="T10" s="408"/>
      <c r="U10" s="240">
        <f>D10*(1+D24)</f>
        <v>22967112.600000001</v>
      </c>
      <c r="V10" s="408"/>
      <c r="W10" s="240">
        <f>D10*(1+D24)</f>
        <v>22967112.600000001</v>
      </c>
      <c r="X10" s="408"/>
      <c r="Y10" s="1292">
        <f>Y7</f>
        <v>0.05</v>
      </c>
      <c r="Z10" s="408"/>
      <c r="AA10" s="408"/>
      <c r="AB10" s="423"/>
    </row>
    <row r="11" spans="1:28" s="237" customFormat="1" ht="19.899999999999999" hidden="1" customHeight="1" outlineLevel="1" thickBot="1" x14ac:dyDescent="0.3">
      <c r="A11" s="408"/>
      <c r="B11" s="1464" t="s">
        <v>670</v>
      </c>
      <c r="C11" s="1445" t="s">
        <v>308</v>
      </c>
      <c r="D11" s="1446">
        <f>D10/D8</f>
        <v>157.30899041095893</v>
      </c>
      <c r="E11" s="413"/>
      <c r="F11" s="1463" t="s">
        <v>836</v>
      </c>
      <c r="G11" s="1458">
        <f>SUM(G6:G10)</f>
        <v>164668.79999999999</v>
      </c>
      <c r="H11" s="1459">
        <f>SUM(H6:H10)</f>
        <v>1.0000000000000002</v>
      </c>
      <c r="I11" s="408"/>
      <c r="J11" s="417"/>
      <c r="K11" s="419"/>
      <c r="L11" s="418"/>
      <c r="M11" s="418"/>
      <c r="N11" s="410"/>
      <c r="O11" s="833" t="s">
        <v>306</v>
      </c>
      <c r="P11" s="410"/>
      <c r="Q11" s="833" t="s">
        <v>307</v>
      </c>
      <c r="R11" s="410"/>
      <c r="S11" s="833" t="s">
        <v>307</v>
      </c>
      <c r="T11" s="408"/>
      <c r="U11" s="833" t="s">
        <v>307</v>
      </c>
      <c r="V11" s="408"/>
      <c r="W11" s="833" t="s">
        <v>307</v>
      </c>
      <c r="X11" s="408"/>
      <c r="Y11" s="833" t="s">
        <v>307</v>
      </c>
      <c r="Z11" s="408"/>
      <c r="AA11" s="408"/>
      <c r="AB11" s="423"/>
    </row>
    <row r="12" spans="1:28" s="237" customFormat="1" ht="19.899999999999999" hidden="1" customHeight="1" outlineLevel="1" thickTop="1" thickBot="1" x14ac:dyDescent="0.3">
      <c r="A12" s="408"/>
      <c r="B12" s="1467" t="s">
        <v>852</v>
      </c>
      <c r="C12" s="1447" t="s">
        <v>278</v>
      </c>
      <c r="D12" s="1448">
        <f>D7/D11</f>
        <v>2.026925647705387</v>
      </c>
      <c r="E12" s="408"/>
      <c r="F12" s="408"/>
      <c r="G12" s="408"/>
      <c r="H12" s="409"/>
      <c r="I12" s="408"/>
      <c r="J12" s="409"/>
      <c r="K12" s="409"/>
      <c r="L12" s="409"/>
      <c r="M12" s="409"/>
      <c r="N12" s="408"/>
      <c r="O12" s="240">
        <f>O33</f>
        <v>164669</v>
      </c>
      <c r="P12" s="410"/>
      <c r="Q12" s="251">
        <f>Q33</f>
        <v>50.3081362486855</v>
      </c>
      <c r="R12" s="410"/>
      <c r="S12" s="240">
        <f>S33*(1+$D$17+$D$18+$D$19)</f>
        <v>145148.42521017947</v>
      </c>
      <c r="T12" s="408"/>
      <c r="U12" s="240">
        <f>U33</f>
        <v>23493387.184143588</v>
      </c>
      <c r="V12" s="408"/>
      <c r="W12" s="240">
        <f>W33</f>
        <v>23493387.184143588</v>
      </c>
      <c r="X12" s="408"/>
      <c r="Y12" s="1290">
        <f>1-((AA39+AA41+AA42+AA43+AA44+AA45+AA52+AA54+AA55+AA56+AA57+AA58+AA65+AA67+AA68+AA69+AA70+AA71+AA78+AA80+AA81+AA82+AA83+AA84+AA91+AA93+AA94+AA95+AA96)/29)</f>
        <v>0</v>
      </c>
      <c r="Z12" s="408"/>
      <c r="AA12" s="408"/>
      <c r="AB12" s="423"/>
    </row>
    <row r="13" spans="1:28" s="237" customFormat="1" ht="10.15" hidden="1" customHeight="1" outlineLevel="1" thickTop="1" thickBot="1" x14ac:dyDescent="0.3">
      <c r="A13" s="408"/>
      <c r="B13" s="408"/>
      <c r="C13" s="409"/>
      <c r="D13" s="408"/>
      <c r="E13" s="413"/>
      <c r="F13" s="415"/>
      <c r="G13" s="415"/>
      <c r="H13" s="416"/>
      <c r="I13" s="414"/>
      <c r="J13" s="414"/>
      <c r="K13" s="418"/>
      <c r="L13" s="418"/>
      <c r="M13" s="418"/>
      <c r="N13" s="410"/>
      <c r="P13" s="410"/>
      <c r="AA13" s="408"/>
      <c r="AB13" s="423"/>
    </row>
    <row r="14" spans="1:28" s="237" customFormat="1" ht="19.899999999999999" hidden="1" customHeight="1" outlineLevel="1" thickTop="1" x14ac:dyDescent="0.25">
      <c r="A14" s="408"/>
      <c r="B14" s="1302" t="s">
        <v>752</v>
      </c>
      <c r="C14" s="1303" t="s">
        <v>299</v>
      </c>
      <c r="D14" s="1304" t="s">
        <v>240</v>
      </c>
      <c r="E14" s="413"/>
      <c r="F14" s="1305" t="s">
        <v>737</v>
      </c>
      <c r="G14" s="1303" t="s">
        <v>299</v>
      </c>
      <c r="H14" s="1306" t="s">
        <v>240</v>
      </c>
      <c r="I14" s="408"/>
      <c r="J14" s="408"/>
      <c r="K14" s="418"/>
      <c r="L14" s="418"/>
      <c r="M14" s="418"/>
      <c r="N14" s="410"/>
      <c r="O14" s="416"/>
      <c r="P14" s="410"/>
      <c r="Q14" s="422"/>
      <c r="R14" s="410"/>
      <c r="S14" s="416"/>
      <c r="T14" s="408"/>
      <c r="U14" s="416"/>
      <c r="V14" s="408"/>
      <c r="W14" s="409"/>
      <c r="X14" s="408"/>
      <c r="Y14" s="409"/>
      <c r="Z14" s="408"/>
      <c r="AA14" s="408"/>
      <c r="AB14" s="423"/>
    </row>
    <row r="15" spans="1:28" s="237" customFormat="1" ht="19.899999999999999" hidden="1" customHeight="1" outlineLevel="1" x14ac:dyDescent="0.25">
      <c r="A15" s="408"/>
      <c r="B15" s="1468" t="s">
        <v>600</v>
      </c>
      <c r="C15" s="1427" t="s">
        <v>194</v>
      </c>
      <c r="D15" s="1449">
        <v>1</v>
      </c>
      <c r="E15" s="408"/>
      <c r="F15" s="2864" t="s">
        <v>884</v>
      </c>
      <c r="G15" s="2866" t="s">
        <v>194</v>
      </c>
      <c r="H15" s="2868">
        <v>0.2</v>
      </c>
      <c r="I15" s="408"/>
      <c r="J15" s="420"/>
      <c r="K15" s="418"/>
      <c r="L15" s="418"/>
      <c r="M15" s="418"/>
      <c r="N15" s="410"/>
      <c r="O15" s="410"/>
      <c r="P15" s="410"/>
      <c r="Q15" s="410"/>
      <c r="R15" s="410"/>
      <c r="S15" s="408"/>
      <c r="T15" s="408"/>
      <c r="U15" s="418"/>
      <c r="V15" s="408"/>
      <c r="W15" s="409"/>
      <c r="X15" s="408"/>
      <c r="Y15" s="409"/>
      <c r="Z15" s="408"/>
      <c r="AA15" s="408"/>
      <c r="AB15" s="423"/>
    </row>
    <row r="16" spans="1:28" s="237" customFormat="1" ht="19.899999999999999" hidden="1" customHeight="1" outlineLevel="1" thickBot="1" x14ac:dyDescent="0.3">
      <c r="A16" s="408"/>
      <c r="B16" s="1469" t="s">
        <v>887</v>
      </c>
      <c r="C16" s="1425" t="s">
        <v>243</v>
      </c>
      <c r="D16" s="1450">
        <f>D10*D12*(1-D15)/1000000</f>
        <v>0</v>
      </c>
      <c r="E16" s="408"/>
      <c r="F16" s="2865"/>
      <c r="G16" s="2867"/>
      <c r="H16" s="2869"/>
      <c r="I16" s="408"/>
      <c r="J16" s="421"/>
      <c r="K16" s="409"/>
      <c r="L16" s="409"/>
      <c r="M16" s="409"/>
      <c r="N16" s="408"/>
      <c r="O16" s="408"/>
      <c r="P16" s="408"/>
      <c r="Q16" s="408"/>
      <c r="R16" s="408"/>
      <c r="S16" s="408"/>
      <c r="T16" s="408"/>
      <c r="U16" s="418"/>
      <c r="V16" s="408"/>
      <c r="W16" s="409"/>
      <c r="X16" s="408"/>
      <c r="Y16" s="409"/>
      <c r="Z16" s="408"/>
      <c r="AA16" s="408"/>
      <c r="AB16" s="423"/>
    </row>
    <row r="17" spans="1:28" s="237" customFormat="1" ht="19.899999999999999" hidden="1" customHeight="1" outlineLevel="1" thickTop="1" x14ac:dyDescent="0.25">
      <c r="A17" s="408"/>
      <c r="B17" s="1466" t="s">
        <v>849</v>
      </c>
      <c r="C17" s="1427" t="s">
        <v>194</v>
      </c>
      <c r="D17" s="1451">
        <v>0.01</v>
      </c>
      <c r="E17" s="408"/>
      <c r="F17" s="408"/>
      <c r="G17" s="408"/>
      <c r="H17" s="409"/>
      <c r="I17" s="408"/>
      <c r="J17" s="408"/>
      <c r="K17" s="408"/>
      <c r="L17" s="408"/>
      <c r="M17" s="408"/>
      <c r="N17" s="408"/>
      <c r="O17" s="408"/>
      <c r="P17" s="408"/>
      <c r="Q17" s="408"/>
      <c r="R17" s="408"/>
      <c r="S17" s="408"/>
      <c r="T17" s="408"/>
      <c r="U17" s="418"/>
      <c r="V17" s="408"/>
      <c r="W17" s="409"/>
      <c r="X17" s="408"/>
      <c r="Y17" s="409"/>
      <c r="Z17" s="408"/>
      <c r="AA17" s="408"/>
      <c r="AB17" s="423"/>
    </row>
    <row r="18" spans="1:28" s="237" customFormat="1" ht="19.899999999999999" hidden="1" customHeight="1" outlineLevel="1" x14ac:dyDescent="0.25">
      <c r="A18" s="408"/>
      <c r="B18" s="1466" t="s">
        <v>850</v>
      </c>
      <c r="C18" s="1427" t="s">
        <v>194</v>
      </c>
      <c r="D18" s="1451">
        <v>0.05</v>
      </c>
      <c r="E18" s="408"/>
      <c r="F18" s="408"/>
      <c r="G18" s="408"/>
      <c r="H18" s="409"/>
      <c r="I18" s="408"/>
      <c r="J18" s="408"/>
      <c r="K18" s="408"/>
      <c r="L18" s="408"/>
      <c r="M18" s="408"/>
      <c r="N18" s="408"/>
      <c r="O18" s="408"/>
      <c r="P18" s="408"/>
      <c r="Q18" s="408"/>
      <c r="R18" s="408"/>
      <c r="S18" s="408"/>
      <c r="T18" s="408"/>
      <c r="U18" s="418"/>
      <c r="V18" s="408"/>
      <c r="W18" s="409"/>
      <c r="X18" s="408"/>
      <c r="Y18" s="409"/>
      <c r="Z18" s="408"/>
      <c r="AA18" s="408"/>
      <c r="AB18" s="423"/>
    </row>
    <row r="19" spans="1:28" s="237" customFormat="1" ht="19.899999999999999" hidden="1" customHeight="1" outlineLevel="1" x14ac:dyDescent="0.25">
      <c r="A19" s="408"/>
      <c r="B19" s="1466" t="s">
        <v>851</v>
      </c>
      <c r="C19" s="1452" t="s">
        <v>194</v>
      </c>
      <c r="D19" s="1453">
        <v>2.5000000000000001E-2</v>
      </c>
      <c r="E19" s="408"/>
      <c r="F19" s="408"/>
      <c r="G19" s="408"/>
      <c r="H19" s="409"/>
      <c r="I19" s="408"/>
      <c r="J19" s="408"/>
      <c r="K19" s="408"/>
      <c r="L19" s="408"/>
      <c r="M19" s="408"/>
      <c r="N19" s="408"/>
      <c r="O19" s="408"/>
      <c r="P19" s="408"/>
      <c r="Q19" s="408"/>
      <c r="R19" s="408"/>
      <c r="S19" s="408"/>
      <c r="T19" s="408"/>
      <c r="U19" s="418"/>
      <c r="V19" s="408"/>
      <c r="W19" s="409"/>
      <c r="X19" s="408"/>
      <c r="Y19" s="409"/>
      <c r="Z19" s="408"/>
      <c r="AA19" s="408"/>
      <c r="AB19" s="423"/>
    </row>
    <row r="20" spans="1:28" s="237" customFormat="1" ht="34.9" hidden="1" customHeight="1" outlineLevel="1" x14ac:dyDescent="0.25">
      <c r="A20" s="408"/>
      <c r="B20" s="1468" t="s">
        <v>854</v>
      </c>
      <c r="C20" s="1427" t="s">
        <v>243</v>
      </c>
      <c r="D20" s="1454">
        <f>D10*D12*(1+D17)*(1+D18)*(1+D19)*D15/1000000</f>
        <v>50.603290264240286</v>
      </c>
      <c r="E20" s="408"/>
      <c r="F20" s="408"/>
      <c r="G20" s="408"/>
      <c r="H20" s="409"/>
      <c r="I20" s="408"/>
      <c r="J20" s="408"/>
      <c r="K20" s="408"/>
      <c r="L20" s="408"/>
      <c r="M20" s="408"/>
      <c r="N20" s="408"/>
      <c r="O20" s="408"/>
      <c r="P20" s="408"/>
      <c r="Q20" s="408"/>
      <c r="R20" s="408"/>
      <c r="S20" s="408"/>
      <c r="T20" s="408"/>
      <c r="U20" s="418"/>
      <c r="V20" s="408"/>
      <c r="W20" s="409"/>
      <c r="X20" s="408"/>
      <c r="Y20" s="409"/>
      <c r="Z20" s="408"/>
      <c r="AA20" s="408"/>
      <c r="AB20" s="423"/>
    </row>
    <row r="21" spans="1:28" s="237" customFormat="1" ht="34.9" hidden="1" customHeight="1" outlineLevel="1" thickBot="1" x14ac:dyDescent="0.3">
      <c r="A21" s="408"/>
      <c r="B21" s="1465" t="s">
        <v>853</v>
      </c>
      <c r="C21" s="1447" t="s">
        <v>278</v>
      </c>
      <c r="D21" s="1448">
        <f>D20*1000000/D10</f>
        <v>2.2032935156263518</v>
      </c>
      <c r="E21" s="408"/>
      <c r="F21" s="408"/>
      <c r="G21" s="408"/>
      <c r="H21" s="409"/>
      <c r="I21" s="408"/>
      <c r="J21" s="409"/>
      <c r="K21" s="409"/>
      <c r="L21" s="409"/>
      <c r="M21" s="409"/>
      <c r="N21" s="408"/>
      <c r="O21" s="416"/>
      <c r="P21" s="408"/>
      <c r="Q21" s="422"/>
      <c r="R21" s="408"/>
      <c r="S21" s="416"/>
      <c r="T21" s="408"/>
      <c r="U21" s="416"/>
      <c r="V21" s="408"/>
      <c r="W21" s="409"/>
      <c r="X21" s="408"/>
      <c r="Y21" s="409"/>
      <c r="Z21" s="408"/>
      <c r="AA21" s="408"/>
      <c r="AB21" s="423"/>
    </row>
    <row r="22" spans="1:28" s="237" customFormat="1" ht="7.5" hidden="1" customHeight="1" outlineLevel="1" thickTop="1" thickBot="1" x14ac:dyDescent="0.3">
      <c r="A22" s="408"/>
      <c r="B22" s="408"/>
      <c r="C22" s="409"/>
      <c r="D22" s="408"/>
      <c r="E22" s="413"/>
      <c r="F22" s="408"/>
      <c r="G22" s="408"/>
      <c r="H22" s="409"/>
      <c r="I22" s="408"/>
      <c r="J22" s="409"/>
      <c r="K22" s="418"/>
      <c r="L22" s="418"/>
      <c r="M22" s="418"/>
      <c r="N22" s="410"/>
      <c r="O22" s="416"/>
      <c r="P22" s="410"/>
      <c r="Q22" s="422"/>
      <c r="R22" s="410"/>
      <c r="S22" s="416"/>
      <c r="T22" s="408"/>
      <c r="U22" s="416"/>
      <c r="V22" s="408"/>
      <c r="W22" s="409"/>
      <c r="X22" s="408"/>
      <c r="Y22" s="409"/>
      <c r="Z22" s="408"/>
      <c r="AA22" s="408"/>
      <c r="AB22" s="423"/>
    </row>
    <row r="23" spans="1:28" s="237" customFormat="1" ht="19.899999999999999" hidden="1" customHeight="1" outlineLevel="1" thickTop="1" x14ac:dyDescent="0.25">
      <c r="A23" s="408"/>
      <c r="B23" s="1302" t="s">
        <v>856</v>
      </c>
      <c r="C23" s="1303" t="s">
        <v>299</v>
      </c>
      <c r="D23" s="1304" t="s">
        <v>240</v>
      </c>
      <c r="E23" s="408"/>
      <c r="F23" s="2839" t="s">
        <v>847</v>
      </c>
      <c r="G23" s="2840"/>
      <c r="H23" s="2841"/>
      <c r="I23" s="408"/>
      <c r="J23" s="417"/>
      <c r="K23" s="409"/>
      <c r="L23" s="409"/>
      <c r="M23" s="409"/>
      <c r="N23" s="408"/>
      <c r="O23" s="408"/>
      <c r="P23" s="408"/>
      <c r="Q23" s="408"/>
      <c r="R23" s="408"/>
      <c r="S23" s="408"/>
      <c r="T23" s="408"/>
      <c r="U23" s="418"/>
      <c r="V23" s="408"/>
      <c r="W23" s="409"/>
      <c r="X23" s="408"/>
      <c r="Y23" s="409"/>
      <c r="Z23" s="408"/>
      <c r="AA23" s="408"/>
      <c r="AB23" s="423"/>
    </row>
    <row r="24" spans="1:28" s="237" customFormat="1" ht="19.899999999999999" hidden="1" customHeight="1" outlineLevel="1" x14ac:dyDescent="0.25">
      <c r="A24" s="408"/>
      <c r="B24" s="1468" t="s">
        <v>855</v>
      </c>
      <c r="C24" s="1427" t="s">
        <v>194</v>
      </c>
      <c r="D24" s="1455">
        <v>0</v>
      </c>
      <c r="E24" s="408"/>
      <c r="F24" s="1464" t="s">
        <v>885</v>
      </c>
      <c r="G24" s="1425" t="s">
        <v>309</v>
      </c>
      <c r="H24" s="1460">
        <f>D26*(D10)/G11</f>
        <v>307.30344949523095</v>
      </c>
      <c r="I24" s="408"/>
      <c r="J24" s="417"/>
      <c r="K24" s="418"/>
      <c r="L24" s="418"/>
      <c r="M24" s="418"/>
      <c r="N24" s="410"/>
      <c r="O24" s="410"/>
      <c r="P24" s="410"/>
      <c r="Q24" s="410"/>
      <c r="R24" s="410"/>
      <c r="S24" s="408"/>
      <c r="T24" s="408"/>
      <c r="U24" s="418"/>
      <c r="V24" s="408"/>
      <c r="W24" s="409"/>
      <c r="X24" s="408"/>
      <c r="Y24" s="409"/>
      <c r="Z24" s="408"/>
      <c r="AA24" s="408"/>
      <c r="AB24" s="423"/>
    </row>
    <row r="25" spans="1:28" s="237" customFormat="1" ht="34.9" hidden="1" customHeight="1" outlineLevel="1" thickBot="1" x14ac:dyDescent="0.3">
      <c r="A25" s="408"/>
      <c r="B25" s="1464" t="s">
        <v>888</v>
      </c>
      <c r="C25" s="1425" t="s">
        <v>243</v>
      </c>
      <c r="D25" s="1450">
        <f>D20</f>
        <v>50.603290264240286</v>
      </c>
      <c r="E25" s="408"/>
      <c r="F25" s="1465" t="s">
        <v>886</v>
      </c>
      <c r="G25" s="1447" t="s">
        <v>310</v>
      </c>
      <c r="H25" s="1461">
        <f>H24/12</f>
        <v>25.608620791269246</v>
      </c>
      <c r="I25" s="408"/>
      <c r="J25" s="417"/>
      <c r="K25" s="418"/>
      <c r="L25" s="418"/>
      <c r="M25" s="418"/>
      <c r="N25" s="410"/>
      <c r="O25" s="410"/>
      <c r="P25" s="410"/>
      <c r="Q25" s="410"/>
      <c r="R25" s="410"/>
      <c r="S25" s="408"/>
      <c r="T25" s="408"/>
      <c r="U25" s="418"/>
      <c r="V25" s="408"/>
      <c r="W25" s="409"/>
      <c r="X25" s="408"/>
      <c r="Y25" s="409"/>
      <c r="Z25" s="408"/>
      <c r="AA25" s="408"/>
      <c r="AB25" s="423"/>
    </row>
    <row r="26" spans="1:28" s="237" customFormat="1" ht="34.9" hidden="1" customHeight="1" outlineLevel="1" thickTop="1" thickBot="1" x14ac:dyDescent="0.3">
      <c r="A26" s="408"/>
      <c r="B26" s="1465" t="s">
        <v>889</v>
      </c>
      <c r="C26" s="1447" t="s">
        <v>278</v>
      </c>
      <c r="D26" s="1448">
        <f>(D25*1000000/(D8*D11))*(1-D24)</f>
        <v>2.2032935156263518</v>
      </c>
      <c r="E26" s="408"/>
      <c r="F26" s="408"/>
      <c r="G26" s="408"/>
      <c r="H26" s="409"/>
      <c r="I26" s="408"/>
      <c r="J26" s="412"/>
      <c r="K26" s="418"/>
      <c r="L26" s="418"/>
      <c r="M26" s="418"/>
      <c r="N26" s="410"/>
      <c r="O26" s="410"/>
      <c r="P26" s="410"/>
      <c r="Q26" s="410"/>
      <c r="R26" s="410"/>
      <c r="S26" s="408"/>
      <c r="T26" s="408"/>
      <c r="U26" s="418"/>
      <c r="V26" s="408"/>
      <c r="W26" s="409"/>
      <c r="X26" s="408"/>
      <c r="Y26" s="409"/>
      <c r="Z26" s="408"/>
      <c r="AA26" s="408"/>
      <c r="AB26" s="423"/>
    </row>
    <row r="27" spans="1:28" s="237" customFormat="1" ht="7.15" customHeight="1" x14ac:dyDescent="0.25">
      <c r="A27" s="408"/>
      <c r="B27" s="408"/>
      <c r="C27" s="409"/>
      <c r="D27" s="408"/>
      <c r="E27" s="408"/>
      <c r="F27" s="408"/>
      <c r="G27" s="408"/>
      <c r="H27" s="409"/>
      <c r="I27" s="409"/>
      <c r="J27" s="409"/>
      <c r="K27" s="409"/>
      <c r="L27" s="409"/>
      <c r="M27" s="409"/>
      <c r="N27" s="408"/>
      <c r="O27" s="408"/>
      <c r="P27" s="408"/>
      <c r="Q27" s="408"/>
      <c r="R27" s="408"/>
      <c r="S27" s="408"/>
      <c r="T27" s="408"/>
      <c r="U27" s="418"/>
      <c r="V27" s="408"/>
      <c r="W27" s="409"/>
      <c r="X27" s="408"/>
      <c r="Y27" s="409"/>
      <c r="Z27" s="408"/>
      <c r="AA27" s="408"/>
      <c r="AB27" s="423"/>
    </row>
    <row r="28" spans="1:28" s="237" customFormat="1" ht="7.15" customHeight="1" x14ac:dyDescent="0.25">
      <c r="A28" s="408"/>
      <c r="B28" s="408"/>
      <c r="C28" s="409"/>
      <c r="D28" s="408"/>
      <c r="E28" s="408"/>
      <c r="F28" s="408"/>
      <c r="G28" s="408"/>
      <c r="H28" s="409"/>
      <c r="I28" s="408"/>
      <c r="J28" s="409"/>
      <c r="K28" s="409"/>
      <c r="L28" s="409"/>
      <c r="M28" s="409"/>
      <c r="N28" s="408"/>
      <c r="O28" s="408"/>
      <c r="P28" s="408"/>
      <c r="Q28" s="408"/>
      <c r="R28" s="408"/>
      <c r="S28" s="408"/>
      <c r="T28" s="408"/>
      <c r="U28" s="418"/>
      <c r="V28" s="408"/>
      <c r="W28" s="409"/>
      <c r="X28" s="408"/>
      <c r="Y28" s="409"/>
      <c r="Z28" s="408"/>
      <c r="AA28" s="408"/>
      <c r="AB28" s="423"/>
    </row>
    <row r="29" spans="1:28" s="237" customFormat="1" ht="61.15" customHeight="1" x14ac:dyDescent="0.25">
      <c r="A29" s="408"/>
      <c r="B29" s="2855" t="s">
        <v>870</v>
      </c>
      <c r="C29" s="2856"/>
      <c r="D29" s="2856"/>
      <c r="E29" s="2857"/>
      <c r="F29" s="408"/>
      <c r="G29" s="408"/>
      <c r="H29" s="409"/>
      <c r="I29" s="408"/>
      <c r="J29" s="409"/>
      <c r="K29" s="2852" t="s">
        <v>311</v>
      </c>
      <c r="L29" s="2853"/>
      <c r="M29" s="2854"/>
      <c r="N29" s="408"/>
      <c r="O29" s="2858" t="s">
        <v>708</v>
      </c>
      <c r="P29" s="2859"/>
      <c r="Q29" s="2859"/>
      <c r="R29" s="2859"/>
      <c r="S29" s="2859"/>
      <c r="T29" s="2859"/>
      <c r="U29" s="2859"/>
      <c r="V29" s="2859"/>
      <c r="W29" s="2859"/>
      <c r="X29" s="2859"/>
      <c r="Y29" s="2859"/>
      <c r="Z29" s="2859"/>
      <c r="AA29" s="408"/>
      <c r="AB29" s="423"/>
    </row>
    <row r="30" spans="1:28" s="237" customFormat="1" ht="4.9000000000000004" customHeight="1" x14ac:dyDescent="0.25">
      <c r="A30" s="408"/>
      <c r="B30" s="408"/>
      <c r="C30" s="409"/>
      <c r="D30" s="408"/>
      <c r="E30" s="408"/>
      <c r="F30" s="408"/>
      <c r="G30" s="408"/>
      <c r="H30" s="409"/>
      <c r="I30" s="408"/>
      <c r="J30" s="409"/>
      <c r="K30" s="409"/>
      <c r="L30" s="409"/>
      <c r="M30" s="409"/>
      <c r="N30" s="408"/>
      <c r="O30" s="408"/>
      <c r="P30" s="408"/>
      <c r="Q30" s="408"/>
      <c r="R30" s="408"/>
      <c r="S30" s="408"/>
      <c r="T30" s="408"/>
      <c r="U30" s="418"/>
      <c r="V30" s="408"/>
      <c r="W30" s="409"/>
      <c r="X30" s="408"/>
      <c r="Y30" s="409"/>
      <c r="Z30" s="408"/>
      <c r="AA30" s="408"/>
      <c r="AB30" s="423"/>
    </row>
    <row r="31" spans="1:28" s="237" customFormat="1" ht="19.899999999999999" customHeight="1" x14ac:dyDescent="0.25">
      <c r="A31" s="408"/>
      <c r="B31" s="2848" t="s">
        <v>871</v>
      </c>
      <c r="C31" s="2849"/>
      <c r="D31" s="2849"/>
      <c r="E31" s="2849"/>
      <c r="F31" s="2849"/>
      <c r="G31" s="2849"/>
      <c r="H31" s="2849"/>
      <c r="I31" s="2849"/>
      <c r="J31" s="2849"/>
      <c r="K31" s="2849"/>
      <c r="L31" s="1415" t="s">
        <v>312</v>
      </c>
      <c r="M31" s="1415" t="s">
        <v>313</v>
      </c>
      <c r="N31" s="408"/>
      <c r="O31" s="2810" t="s">
        <v>601</v>
      </c>
      <c r="P31" s="408"/>
      <c r="Q31" s="2810" t="s">
        <v>314</v>
      </c>
      <c r="R31" s="408"/>
      <c r="S31" s="2810" t="s">
        <v>602</v>
      </c>
      <c r="T31" s="408"/>
      <c r="U31" s="2810" t="s">
        <v>603</v>
      </c>
      <c r="V31" s="408"/>
      <c r="W31" s="2810" t="s">
        <v>603</v>
      </c>
      <c r="X31" s="408"/>
      <c r="Y31" s="2810" t="s">
        <v>414</v>
      </c>
      <c r="Z31" s="408"/>
      <c r="AA31" s="408"/>
      <c r="AB31" s="423"/>
    </row>
    <row r="32" spans="1:28" s="237" customFormat="1" ht="19.899999999999999" customHeight="1" x14ac:dyDescent="0.25">
      <c r="A32" s="408"/>
      <c r="B32" s="2850"/>
      <c r="C32" s="2849"/>
      <c r="D32" s="2849"/>
      <c r="E32" s="2849"/>
      <c r="F32" s="2849"/>
      <c r="G32" s="2849"/>
      <c r="H32" s="2849"/>
      <c r="I32" s="2849"/>
      <c r="J32" s="2849"/>
      <c r="K32" s="2849"/>
      <c r="L32" s="1416">
        <f>H24</f>
        <v>307.30344949523095</v>
      </c>
      <c r="M32" s="1417">
        <f>H25</f>
        <v>25.608620791269246</v>
      </c>
      <c r="N32" s="411"/>
      <c r="O32" s="2722"/>
      <c r="P32" s="411"/>
      <c r="Q32" s="2722"/>
      <c r="R32" s="411"/>
      <c r="S32" s="2722"/>
      <c r="T32" s="408"/>
      <c r="U32" s="2722"/>
      <c r="V32" s="408"/>
      <c r="W32" s="2722"/>
      <c r="X32" s="408"/>
      <c r="Y32" s="2851"/>
      <c r="Z32" s="408"/>
      <c r="AA32" s="408"/>
      <c r="AB32" s="423"/>
    </row>
    <row r="33" spans="1:28" s="237" customFormat="1" ht="15" customHeight="1" collapsed="1" x14ac:dyDescent="0.25">
      <c r="A33" s="408"/>
      <c r="B33" s="408"/>
      <c r="C33" s="409"/>
      <c r="D33" s="408"/>
      <c r="E33" s="408"/>
      <c r="F33" s="408"/>
      <c r="G33" s="408"/>
      <c r="H33" s="409"/>
      <c r="I33" s="408"/>
      <c r="J33" s="409"/>
      <c r="K33" s="409"/>
      <c r="L33" s="409"/>
      <c r="M33" s="409"/>
      <c r="N33" s="408"/>
      <c r="O33" s="240">
        <f>O36+O49+O62+O75+O88</f>
        <v>164669</v>
      </c>
      <c r="P33" s="408"/>
      <c r="Q33" s="240">
        <f>(Q36+Q49+Q62+Q75+Q88)*12/1000000</f>
        <v>50.3081362486855</v>
      </c>
      <c r="R33" s="408"/>
      <c r="S33" s="240">
        <f>12*S34</f>
        <v>133777.35042412856</v>
      </c>
      <c r="T33" s="408" t="s">
        <v>315</v>
      </c>
      <c r="U33" s="240">
        <f>12*U34</f>
        <v>23493387.184143588</v>
      </c>
      <c r="V33" s="408" t="s">
        <v>316</v>
      </c>
      <c r="W33" s="240">
        <f>12*W34</f>
        <v>23493387.184143588</v>
      </c>
      <c r="X33" s="408" t="s">
        <v>316</v>
      </c>
      <c r="Y33" s="2860">
        <v>0.1</v>
      </c>
      <c r="Z33" s="408"/>
      <c r="AA33" s="408"/>
      <c r="AB33" s="423"/>
    </row>
    <row r="34" spans="1:28" s="237" customFormat="1" ht="34.9" hidden="1" customHeight="1" outlineLevel="1" x14ac:dyDescent="0.25">
      <c r="A34" s="408"/>
      <c r="B34" s="2820" t="s">
        <v>317</v>
      </c>
      <c r="C34" s="2821"/>
      <c r="D34" s="2821"/>
      <c r="E34" s="2821"/>
      <c r="F34" s="2821"/>
      <c r="G34" s="2821"/>
      <c r="H34" s="2821"/>
      <c r="I34" s="2821"/>
      <c r="J34" s="2821"/>
      <c r="K34" s="2821"/>
      <c r="L34" s="2821"/>
      <c r="M34" s="2821"/>
      <c r="N34" s="411"/>
      <c r="O34" s="711"/>
      <c r="P34" s="411"/>
      <c r="Q34" s="711"/>
      <c r="R34" s="411"/>
      <c r="S34" s="240">
        <f>S36+S49+S62+S75+S88</f>
        <v>11148.112535344046</v>
      </c>
      <c r="T34" s="408" t="s">
        <v>318</v>
      </c>
      <c r="U34" s="240">
        <f>U36+U49+U62+U75+U88</f>
        <v>1957782.2653452989</v>
      </c>
      <c r="V34" s="408" t="s">
        <v>319</v>
      </c>
      <c r="W34" s="240">
        <f>W36+W49+W62+W75+W88</f>
        <v>1957782.2653452992</v>
      </c>
      <c r="X34" s="408" t="s">
        <v>319</v>
      </c>
      <c r="Y34" s="2861"/>
      <c r="Z34" s="408"/>
      <c r="AA34" s="408"/>
      <c r="AB34" s="423"/>
    </row>
    <row r="35" spans="1:28" s="237" customFormat="1" ht="25.15" hidden="1" customHeight="1" outlineLevel="1" x14ac:dyDescent="0.25">
      <c r="A35" s="408"/>
      <c r="B35" s="2822" t="s">
        <v>320</v>
      </c>
      <c r="C35" s="2814"/>
      <c r="D35" s="2814"/>
      <c r="E35" s="2823"/>
      <c r="F35" s="2814"/>
      <c r="G35" s="2814"/>
      <c r="H35" s="2814"/>
      <c r="I35" s="2823"/>
      <c r="J35" s="2814"/>
      <c r="K35" s="2814"/>
      <c r="L35" s="2814"/>
      <c r="M35" s="2814"/>
      <c r="N35" s="411"/>
      <c r="O35" s="713">
        <f>G9</f>
        <v>25</v>
      </c>
      <c r="P35" s="712"/>
      <c r="Q35" s="716"/>
      <c r="R35" s="411"/>
      <c r="S35" s="711"/>
      <c r="T35" s="408"/>
      <c r="U35" s="720"/>
      <c r="V35" s="408"/>
      <c r="W35" s="720"/>
      <c r="X35" s="408"/>
      <c r="Y35" s="258"/>
      <c r="Z35" s="408"/>
      <c r="AA35" s="408"/>
      <c r="AB35" s="423"/>
    </row>
    <row r="36" spans="1:28" s="237" customFormat="1" ht="36" hidden="1" customHeight="1" outlineLevel="1" x14ac:dyDescent="0.25">
      <c r="A36" s="408"/>
      <c r="B36" s="2822" t="s">
        <v>321</v>
      </c>
      <c r="C36" s="2822" t="s">
        <v>322</v>
      </c>
      <c r="D36" s="2825"/>
      <c r="E36" s="1308"/>
      <c r="F36" s="2813" t="s">
        <v>323</v>
      </c>
      <c r="G36" s="2814"/>
      <c r="H36" s="2815"/>
      <c r="I36" s="709"/>
      <c r="J36" s="2811" t="s">
        <v>876</v>
      </c>
      <c r="K36" s="2812"/>
      <c r="L36" s="2812"/>
      <c r="M36" s="2812"/>
      <c r="N36" s="408"/>
      <c r="O36" s="240">
        <f>O39+O41+O42+O43+O44+O45</f>
        <v>25</v>
      </c>
      <c r="P36" s="417"/>
      <c r="Q36" s="717">
        <f>Q39+Q41+Q42+Q43+Q44+Q45</f>
        <v>597.8012415961914</v>
      </c>
      <c r="R36" s="408"/>
      <c r="S36" s="2809">
        <f>IF(AND(Q36&lt;&gt;0,O36&lt;&gt;0),Q36/(1+$D$17+$D$18+$D$19)/(($D$25*1000000/$D$8)),0)</f>
        <v>1.5896487555346954</v>
      </c>
      <c r="T36" s="2846" t="s">
        <v>324</v>
      </c>
      <c r="U36" s="2809">
        <f>U39+U41+U42+U43+U44+U45</f>
        <v>250.06604084120022</v>
      </c>
      <c r="V36" s="417" t="s">
        <v>325</v>
      </c>
      <c r="W36" s="2809">
        <f>W39*O39+W41*O41+W42*O42+W43*O43+W44*O44+W45*O45</f>
        <v>250.06604084120022</v>
      </c>
      <c r="X36" s="417" t="s">
        <v>325</v>
      </c>
      <c r="Y36" s="694" t="s">
        <v>326</v>
      </c>
      <c r="Z36" s="408"/>
      <c r="AA36" s="408"/>
      <c r="AB36" s="423"/>
    </row>
    <row r="37" spans="1:28" s="237" customFormat="1" ht="24" hidden="1" customHeight="1" outlineLevel="1" x14ac:dyDescent="0.25">
      <c r="A37" s="408"/>
      <c r="B37" s="2824"/>
      <c r="C37" s="1418" t="s">
        <v>327</v>
      </c>
      <c r="D37" s="1419" t="s">
        <v>328</v>
      </c>
      <c r="E37" s="1309"/>
      <c r="F37" s="2816"/>
      <c r="G37" s="2814"/>
      <c r="H37" s="2815"/>
      <c r="I37" s="710"/>
      <c r="J37" s="2817" t="s">
        <v>329</v>
      </c>
      <c r="K37" s="2818"/>
      <c r="L37" s="2819" t="s">
        <v>330</v>
      </c>
      <c r="M37" s="2818"/>
      <c r="N37" s="408"/>
      <c r="O37" s="714" t="s">
        <v>331</v>
      </c>
      <c r="P37" s="417"/>
      <c r="Q37" s="718">
        <v>0.5</v>
      </c>
      <c r="R37" s="408"/>
      <c r="S37" s="2788"/>
      <c r="T37" s="2847"/>
      <c r="U37" s="2788"/>
      <c r="V37" s="417"/>
      <c r="W37" s="2785"/>
      <c r="X37" s="417"/>
      <c r="Y37" s="721">
        <f>$Y$33</f>
        <v>0.1</v>
      </c>
      <c r="Z37" s="408"/>
      <c r="AA37" s="408"/>
      <c r="AB37" s="423"/>
    </row>
    <row r="38" spans="1:28" s="237" customFormat="1" ht="24" hidden="1" customHeight="1" outlineLevel="1" x14ac:dyDescent="0.25">
      <c r="A38" s="408"/>
      <c r="B38" s="2832">
        <v>1</v>
      </c>
      <c r="C38" s="2832">
        <v>1</v>
      </c>
      <c r="D38" s="2835">
        <v>1.25</v>
      </c>
      <c r="E38" s="710"/>
      <c r="F38" s="1423" t="s">
        <v>872</v>
      </c>
      <c r="G38" s="1424" t="s">
        <v>873</v>
      </c>
      <c r="H38" s="1426" t="s">
        <v>332</v>
      </c>
      <c r="I38" s="1420"/>
      <c r="J38" s="1428" t="s">
        <v>312</v>
      </c>
      <c r="K38" s="1429" t="s">
        <v>313</v>
      </c>
      <c r="L38" s="1428" t="s">
        <v>312</v>
      </c>
      <c r="M38" s="1429" t="s">
        <v>313</v>
      </c>
      <c r="N38" s="408"/>
      <c r="O38" s="263"/>
      <c r="P38" s="417"/>
      <c r="Q38" s="264"/>
      <c r="R38" s="408"/>
      <c r="S38" s="129"/>
      <c r="T38" s="417"/>
      <c r="U38" s="129"/>
      <c r="V38" s="417"/>
      <c r="W38" s="267"/>
      <c r="X38" s="417"/>
      <c r="Y38" s="267"/>
      <c r="Z38" s="408"/>
      <c r="AA38" s="408"/>
      <c r="AB38" s="423"/>
    </row>
    <row r="39" spans="1:28" s="237" customFormat="1" ht="24" hidden="1" customHeight="1" outlineLevel="1" x14ac:dyDescent="0.25">
      <c r="A39" s="408"/>
      <c r="B39" s="2833"/>
      <c r="C39" s="2834"/>
      <c r="D39" s="2836"/>
      <c r="E39" s="710"/>
      <c r="F39" s="1473" t="s">
        <v>289</v>
      </c>
      <c r="G39" s="1474">
        <v>5</v>
      </c>
      <c r="H39" s="1475">
        <v>0.35</v>
      </c>
      <c r="I39" s="1309"/>
      <c r="J39" s="1476">
        <f>$L$32*H39*$B$38*$C$38</f>
        <v>107.55620732333082</v>
      </c>
      <c r="K39" s="1477">
        <f>$M$32*H39*$B$38*$C$38</f>
        <v>8.9630172769442353</v>
      </c>
      <c r="L39" s="1476">
        <f>J39*$D$38</f>
        <v>134.44525915416352</v>
      </c>
      <c r="M39" s="1477">
        <f>K39*$D$38</f>
        <v>11.203771596180294</v>
      </c>
      <c r="N39" s="408"/>
      <c r="O39" s="715">
        <v>5</v>
      </c>
      <c r="P39" s="417"/>
      <c r="Q39" s="261">
        <f>O39*$Q$37*M39+O39*(1-$Q$37)*K39</f>
        <v>50.416972182811321</v>
      </c>
      <c r="R39" s="408"/>
      <c r="S39" s="719">
        <f>IF(AND(Q39&lt;&gt;0,O39&lt;&gt;0),Q39/(1+$D$17+$D$18+$D$19)/O39/30/(($D$25*1000000/$D$8))*1000,0)</f>
        <v>0.89377841676649539</v>
      </c>
      <c r="T39" s="417" t="s">
        <v>333</v>
      </c>
      <c r="U39" s="699">
        <f>S39*O39*30*$D$11*(1+$D$24)/1000</f>
        <v>21.089907058896404</v>
      </c>
      <c r="V39" s="417" t="s">
        <v>334</v>
      </c>
      <c r="W39" s="699">
        <f>IF(O39&lt;&gt;0,U39/O39,0)</f>
        <v>4.2179814117792809</v>
      </c>
      <c r="X39" s="417" t="s">
        <v>335</v>
      </c>
      <c r="Y39" s="262" t="str">
        <f>IF(O39=0,"-", IF(W39&lt;=(G39*(1+$Y$37)),"OK", "NOK"))</f>
        <v>OK</v>
      </c>
      <c r="Z39" s="139"/>
      <c r="AA39" s="227">
        <f>IF(OR(Y39="OK",Y39="-"),1,0)</f>
        <v>1</v>
      </c>
      <c r="AB39" s="423"/>
    </row>
    <row r="40" spans="1:28" s="237" customFormat="1" ht="24" hidden="1" customHeight="1" outlineLevel="1" x14ac:dyDescent="0.25">
      <c r="A40" s="408"/>
      <c r="B40" s="2833"/>
      <c r="C40" s="2834"/>
      <c r="D40" s="2836"/>
      <c r="E40" s="710"/>
      <c r="F40" s="1423" t="s">
        <v>874</v>
      </c>
      <c r="G40" s="1424" t="s">
        <v>875</v>
      </c>
      <c r="H40" s="1426" t="s">
        <v>332</v>
      </c>
      <c r="I40" s="1420"/>
      <c r="J40" s="1421"/>
      <c r="K40" s="1422"/>
      <c r="L40" s="1421"/>
      <c r="M40" s="1422"/>
      <c r="N40" s="408"/>
      <c r="O40" s="263"/>
      <c r="P40" s="417"/>
      <c r="Q40" s="264"/>
      <c r="R40" s="408"/>
      <c r="S40" s="265"/>
      <c r="T40" s="417"/>
      <c r="U40" s="266"/>
      <c r="V40" s="417"/>
      <c r="W40" s="266"/>
      <c r="X40" s="417"/>
      <c r="Y40" s="267"/>
      <c r="Z40" s="408"/>
      <c r="AA40" s="409"/>
      <c r="AB40" s="423"/>
    </row>
    <row r="41" spans="1:28" s="237" customFormat="1" ht="24" hidden="1" customHeight="1" outlineLevel="1" x14ac:dyDescent="0.25">
      <c r="A41" s="408"/>
      <c r="B41" s="2833"/>
      <c r="C41" s="2834"/>
      <c r="D41" s="2836"/>
      <c r="E41" s="710"/>
      <c r="F41" s="1473">
        <f>G39</f>
        <v>5</v>
      </c>
      <c r="G41" s="1474">
        <v>15</v>
      </c>
      <c r="H41" s="1475">
        <v>0.06</v>
      </c>
      <c r="I41" s="1309"/>
      <c r="J41" s="1476">
        <f>$L$32*(H39+(G41-F41)*H41)*$B$38*$C$38</f>
        <v>291.9382770204694</v>
      </c>
      <c r="K41" s="1477">
        <f>$M$32*(H39+(G41-F41)*H41)*$B$38*$C$38</f>
        <v>24.328189751705782</v>
      </c>
      <c r="L41" s="1476">
        <f t="shared" ref="L41:M45" si="0">J41*$D$38</f>
        <v>364.92284627558672</v>
      </c>
      <c r="M41" s="1477">
        <f t="shared" si="0"/>
        <v>30.410237189632227</v>
      </c>
      <c r="N41" s="408"/>
      <c r="O41" s="715">
        <v>20</v>
      </c>
      <c r="P41" s="417"/>
      <c r="Q41" s="261">
        <f>O41*$Q$37*M41+O41*(1-$Q$37)*K41</f>
        <v>547.38426941338003</v>
      </c>
      <c r="R41" s="408"/>
      <c r="S41" s="719">
        <f>IF(AND(Q41&lt;&gt;0,O41&lt;&gt;0),Q41/(1+$D$17+$D$18+$D$19)/O41/30/(($D$25*1000000/$D$8))*1000,0)</f>
        <v>2.425969988366202</v>
      </c>
      <c r="T41" s="417" t="s">
        <v>333</v>
      </c>
      <c r="U41" s="699">
        <f>S41*O41*30*$D$11*(1+$D$24)/1000</f>
        <v>228.9761337823038</v>
      </c>
      <c r="V41" s="417" t="s">
        <v>334</v>
      </c>
      <c r="W41" s="699">
        <f>IF(O41&lt;&gt;0,U41/O41,0)</f>
        <v>11.448806689115191</v>
      </c>
      <c r="X41" s="417" t="s">
        <v>335</v>
      </c>
      <c r="Y41" s="240" t="str">
        <f>IF(O41=0,"-",IF(AND(((F41*(1-$Y$37))&lt;W41),(W41&lt;(G41*(1+$Y$37)))),"OK", "NOK"))</f>
        <v>OK</v>
      </c>
      <c r="Z41" s="139"/>
      <c r="AA41" s="227">
        <f>IF(OR(Y41="OK",Y41="-"),1,0)</f>
        <v>1</v>
      </c>
      <c r="AB41" s="423"/>
    </row>
    <row r="42" spans="1:28" s="237" customFormat="1" ht="24" hidden="1" customHeight="1" outlineLevel="1" x14ac:dyDescent="0.25">
      <c r="A42" s="408"/>
      <c r="B42" s="2833"/>
      <c r="C42" s="2834"/>
      <c r="D42" s="2836"/>
      <c r="E42" s="710"/>
      <c r="F42" s="1473">
        <f>G41</f>
        <v>15</v>
      </c>
      <c r="G42" s="1474">
        <v>25</v>
      </c>
      <c r="H42" s="1475">
        <v>0.05</v>
      </c>
      <c r="I42" s="1309"/>
      <c r="J42" s="1476">
        <f>$L$32*(H39+(G41-F41)*H41+(G42-F42)*H42)*$B$38*$C$38</f>
        <v>445.59000176808485</v>
      </c>
      <c r="K42" s="1477">
        <f>$M$32*(H39+(G41-F41)*H41+(G42-F42)*H42)*$B$38*$C$38</f>
        <v>37.132500147340409</v>
      </c>
      <c r="L42" s="1476">
        <f t="shared" si="0"/>
        <v>556.98750221010607</v>
      </c>
      <c r="M42" s="1477">
        <f t="shared" si="0"/>
        <v>46.415625184175511</v>
      </c>
      <c r="N42" s="408"/>
      <c r="O42" s="715">
        <v>0</v>
      </c>
      <c r="P42" s="417"/>
      <c r="Q42" s="261">
        <f>O42*$Q$37*M42+O42*(1-$Q$37)*K42</f>
        <v>0</v>
      </c>
      <c r="R42" s="408"/>
      <c r="S42" s="719">
        <f>IF(AND(Q42&lt;&gt;0,O42&lt;&gt;0),Q42/(1+$D$17+$D$18+$D$19)/O42/30/(($D$25*1000000/$D$8))*1000,0)</f>
        <v>0</v>
      </c>
      <c r="T42" s="417" t="s">
        <v>333</v>
      </c>
      <c r="U42" s="699">
        <f>S42*O42*30*$D$11*(1+$D$24)/1000</f>
        <v>0</v>
      </c>
      <c r="V42" s="417" t="s">
        <v>334</v>
      </c>
      <c r="W42" s="699">
        <f>IF(O42&lt;&gt;0,U42/O42,0)</f>
        <v>0</v>
      </c>
      <c r="X42" s="417" t="s">
        <v>335</v>
      </c>
      <c r="Y42" s="240" t="str">
        <f>IF(O42=0,"-",IF(AND(((F42*(1-$Y$37))&lt;W42),(W42&lt;(G42*(1+$Y$37)))),"OK", "NOK"))</f>
        <v>-</v>
      </c>
      <c r="Z42" s="139"/>
      <c r="AA42" s="227">
        <f>IF(OR(Y42="OK",Y42="-"),1,0)</f>
        <v>1</v>
      </c>
      <c r="AB42" s="423"/>
    </row>
    <row r="43" spans="1:28" s="237" customFormat="1" ht="24" hidden="1" customHeight="1" outlineLevel="1" x14ac:dyDescent="0.25">
      <c r="A43" s="408"/>
      <c r="B43" s="2833"/>
      <c r="C43" s="2834"/>
      <c r="D43" s="2836"/>
      <c r="E43" s="710"/>
      <c r="F43" s="1473">
        <f>G42</f>
        <v>25</v>
      </c>
      <c r="G43" s="1474">
        <v>35</v>
      </c>
      <c r="H43" s="1475">
        <v>3.5000000000000003E-2</v>
      </c>
      <c r="I43" s="1309"/>
      <c r="J43" s="1476">
        <f>$L$32*(H39+(G41-F41)*H41+(G42-F42)*H42+(G43-F43)*H43)*$B$38*$C$38</f>
        <v>553.1462090914157</v>
      </c>
      <c r="K43" s="1477">
        <f>$M$32*(H39+(G41-F41)*H41+(G42-F42)*H42+(G43-F43)*H43)*$B$38*$C$38</f>
        <v>46.095517424284644</v>
      </c>
      <c r="L43" s="1476">
        <f t="shared" si="0"/>
        <v>691.4327613642696</v>
      </c>
      <c r="M43" s="1477">
        <f t="shared" si="0"/>
        <v>57.619396780355807</v>
      </c>
      <c r="N43" s="408"/>
      <c r="O43" s="715">
        <v>0</v>
      </c>
      <c r="P43" s="417"/>
      <c r="Q43" s="261">
        <f>O43*$Q$37*M43+O43*(1-$Q$37)*K43</f>
        <v>0</v>
      </c>
      <c r="R43" s="408"/>
      <c r="S43" s="719">
        <f>IF(AND(Q43&lt;&gt;0,O43&lt;&gt;0),Q43/(1+$D$17+$D$18+$D$19)/O43/30/(($D$25*1000000/$D$8))*1000,0)</f>
        <v>0</v>
      </c>
      <c r="T43" s="417" t="s">
        <v>333</v>
      </c>
      <c r="U43" s="699">
        <f>S43*O43*30*$D$11*(1+$D$24)/1000</f>
        <v>0</v>
      </c>
      <c r="V43" s="417" t="s">
        <v>334</v>
      </c>
      <c r="W43" s="699">
        <f>IF(O43&lt;&gt;0,U43/O43,0)</f>
        <v>0</v>
      </c>
      <c r="X43" s="417" t="s">
        <v>335</v>
      </c>
      <c r="Y43" s="240" t="str">
        <f>IF(O43=0,"-",IF(AND(((F43*(1-$Y$37))&lt;W43),(W43&lt;(G43*(1+$Y$37)))),"OK", "NOK"))</f>
        <v>-</v>
      </c>
      <c r="Z43" s="139"/>
      <c r="AA43" s="227">
        <f>IF(OR(Y43="OK",Y43="-"),1,0)</f>
        <v>1</v>
      </c>
      <c r="AB43" s="423"/>
    </row>
    <row r="44" spans="1:28" s="237" customFormat="1" ht="24" hidden="1" customHeight="1" outlineLevel="1" x14ac:dyDescent="0.25">
      <c r="A44" s="408"/>
      <c r="B44" s="2833"/>
      <c r="C44" s="2834"/>
      <c r="D44" s="2836"/>
      <c r="E44" s="710"/>
      <c r="F44" s="1473">
        <f>G43</f>
        <v>35</v>
      </c>
      <c r="G44" s="1474">
        <v>50</v>
      </c>
      <c r="H44" s="1475">
        <f>0.03</f>
        <v>0.03</v>
      </c>
      <c r="I44" s="1309"/>
      <c r="J44" s="1476">
        <f>$L$32*(H39+(G41-F41)*H41+(G42-F42)*H42+(G43-F43)*H43+(G44-F44)*H44)*$B$38*$C$38</f>
        <v>691.4327613642696</v>
      </c>
      <c r="K44" s="1477">
        <f>$M$32*(H39+(G41-F41)*H41+(G42-F42)*H42+(G43-F43)*H43+(G44-F44)*H44)*$B$38*$C$38</f>
        <v>57.6193967803558</v>
      </c>
      <c r="L44" s="1476">
        <f t="shared" si="0"/>
        <v>864.29095170533697</v>
      </c>
      <c r="M44" s="1477">
        <f t="shared" si="0"/>
        <v>72.024245975444757</v>
      </c>
      <c r="N44" s="408"/>
      <c r="O44" s="715">
        <v>0</v>
      </c>
      <c r="P44" s="417"/>
      <c r="Q44" s="261">
        <f>O44*$Q$37*M44+O44*(1-$Q$37)*K44</f>
        <v>0</v>
      </c>
      <c r="R44" s="408"/>
      <c r="S44" s="719">
        <f>IF(AND(Q44&lt;&gt;0,O44&lt;&gt;0),Q44/(1+$D$17+$D$18+$D$19)/O44/30/(($D$25*1000000/$D$8))*1000,0)</f>
        <v>0</v>
      </c>
      <c r="T44" s="417" t="s">
        <v>333</v>
      </c>
      <c r="U44" s="699">
        <f>S44*O44*30*$D$11*(1+$D$24)/1000</f>
        <v>0</v>
      </c>
      <c r="V44" s="417" t="s">
        <v>334</v>
      </c>
      <c r="W44" s="699">
        <f>IF(O44&lt;&gt;0,U44/O44,0)</f>
        <v>0</v>
      </c>
      <c r="X44" s="417" t="s">
        <v>335</v>
      </c>
      <c r="Y44" s="240" t="str">
        <f>IF(O44=0,"-",IF(AND(((F44*(1-$Y$37))&lt;W44),(W44&lt;(G44*(1+$Y$37)))),"OK", "NOK"))</f>
        <v>-</v>
      </c>
      <c r="Z44" s="139"/>
      <c r="AA44" s="227">
        <f>IF(OR(Y44="OK",Y44="-"),1,0)</f>
        <v>1</v>
      </c>
      <c r="AB44" s="423"/>
    </row>
    <row r="45" spans="1:28" s="237" customFormat="1" ht="24" hidden="1" customHeight="1" outlineLevel="1" x14ac:dyDescent="0.25">
      <c r="A45" s="408"/>
      <c r="B45" s="2833"/>
      <c r="C45" s="2834"/>
      <c r="D45" s="2836"/>
      <c r="E45" s="710"/>
      <c r="F45" s="1473">
        <f>G44</f>
        <v>50</v>
      </c>
      <c r="G45" s="1474">
        <v>100</v>
      </c>
      <c r="H45" s="1475">
        <v>2.5000000000000001E-2</v>
      </c>
      <c r="I45" s="1309"/>
      <c r="J45" s="1476">
        <f>$L$32*(H39+(G41-F41)*H41+(G42-F42)*H42+(G43-F43)*H43+(G44-F44)*H44+(G45-F45)*H45)*$B$38*$C$38</f>
        <v>1075.5620732333084</v>
      </c>
      <c r="K45" s="1477">
        <f>$M$32*(H39+(G41-F41)*H41+(G42-F42)*H42+(G43-F43)*H43+(G44-F44)*H44+(G45-F45)*H45)*$B$38*$C$38</f>
        <v>89.630172769442368</v>
      </c>
      <c r="L45" s="1476">
        <f t="shared" si="0"/>
        <v>1344.4525915416355</v>
      </c>
      <c r="M45" s="1477">
        <f t="shared" si="0"/>
        <v>112.03771596180296</v>
      </c>
      <c r="N45" s="408"/>
      <c r="O45" s="715">
        <v>0</v>
      </c>
      <c r="P45" s="417"/>
      <c r="Q45" s="261">
        <f>O45*$Q$37*M45+O45*(1-$Q$37)*K45</f>
        <v>0</v>
      </c>
      <c r="R45" s="408"/>
      <c r="S45" s="719">
        <f>IF(AND(Q45&lt;&gt;0,O45&lt;&gt;0),Q45/(1+$D$17+$D$18+$D$19)/O45/30/(($D$25*1000000/$D$8))*1000,0)</f>
        <v>0</v>
      </c>
      <c r="T45" s="417" t="s">
        <v>333</v>
      </c>
      <c r="U45" s="699">
        <f>S45*O45*30*$D$11*(1+$D$24)/1000</f>
        <v>0</v>
      </c>
      <c r="V45" s="417" t="s">
        <v>334</v>
      </c>
      <c r="W45" s="699">
        <f>IF(O45&lt;&gt;0,U45/O45,0)</f>
        <v>0</v>
      </c>
      <c r="X45" s="417" t="s">
        <v>335</v>
      </c>
      <c r="Y45" s="240" t="str">
        <f>IF(O45=0,"-",IF(AND(((F45*(1-$Y$37))&lt;W45),(W45&lt;(G45*(1+$Y$37)))),"OK", "NOK"))</f>
        <v>-</v>
      </c>
      <c r="Z45" s="139"/>
      <c r="AA45" s="227">
        <f>IF(OR(Y45="OK",Y45="-"),1,0)</f>
        <v>1</v>
      </c>
      <c r="AB45" s="423"/>
    </row>
    <row r="46" spans="1:28" s="237" customFormat="1" ht="10.15" hidden="1" customHeight="1" outlineLevel="1" x14ac:dyDescent="0.25">
      <c r="A46" s="408"/>
      <c r="B46" s="408"/>
      <c r="C46" s="409"/>
      <c r="D46" s="408"/>
      <c r="E46" s="408"/>
      <c r="F46" s="409"/>
      <c r="G46" s="409"/>
      <c r="H46" s="409"/>
      <c r="I46" s="408"/>
      <c r="J46" s="409"/>
      <c r="K46" s="409"/>
      <c r="L46" s="409"/>
      <c r="M46" s="409"/>
      <c r="N46" s="408"/>
      <c r="O46" s="408"/>
      <c r="P46" s="408"/>
      <c r="Q46" s="408"/>
      <c r="R46" s="408"/>
      <c r="S46" s="408"/>
      <c r="T46" s="408"/>
      <c r="U46" s="408"/>
      <c r="V46" s="408"/>
      <c r="W46" s="409"/>
      <c r="X46" s="408"/>
      <c r="Y46" s="409"/>
      <c r="Z46" s="408"/>
      <c r="AA46" s="408"/>
      <c r="AB46" s="423"/>
    </row>
    <row r="47" spans="1:28" s="237" customFormat="1" ht="34.9" hidden="1" customHeight="1" outlineLevel="1" x14ac:dyDescent="0.25">
      <c r="A47" s="408"/>
      <c r="B47" s="2820" t="s">
        <v>336</v>
      </c>
      <c r="C47" s="2821"/>
      <c r="D47" s="2821"/>
      <c r="E47" s="2821"/>
      <c r="F47" s="2821"/>
      <c r="G47" s="2821"/>
      <c r="H47" s="2821"/>
      <c r="I47" s="2821"/>
      <c r="J47" s="2821"/>
      <c r="K47" s="2821"/>
      <c r="L47" s="2821"/>
      <c r="M47" s="2821"/>
      <c r="N47" s="411"/>
      <c r="O47" s="408"/>
      <c r="P47" s="411"/>
      <c r="Q47" s="408"/>
      <c r="R47" s="411"/>
      <c r="S47" s="408"/>
      <c r="T47" s="408"/>
      <c r="U47" s="408"/>
      <c r="V47" s="408"/>
      <c r="W47" s="409"/>
      <c r="X47" s="408"/>
      <c r="Y47" s="409"/>
      <c r="Z47" s="408"/>
      <c r="AA47" s="408"/>
      <c r="AB47" s="423"/>
    </row>
    <row r="48" spans="1:28" s="1437" customFormat="1" ht="25.15" hidden="1" customHeight="1" outlineLevel="1" x14ac:dyDescent="0.45">
      <c r="A48" s="1430"/>
      <c r="B48" s="2822" t="s">
        <v>320</v>
      </c>
      <c r="C48" s="2814"/>
      <c r="D48" s="2814"/>
      <c r="E48" s="2823"/>
      <c r="F48" s="2814"/>
      <c r="G48" s="2814"/>
      <c r="H48" s="2814"/>
      <c r="I48" s="2823"/>
      <c r="J48" s="2814"/>
      <c r="K48" s="2814"/>
      <c r="L48" s="2814"/>
      <c r="M48" s="2814"/>
      <c r="N48" s="1431"/>
      <c r="O48" s="1432">
        <f>G6</f>
        <v>109759.20000000001</v>
      </c>
      <c r="P48" s="1433"/>
      <c r="Q48" s="1434"/>
      <c r="R48" s="1431"/>
      <c r="S48" s="1434"/>
      <c r="T48" s="1430"/>
      <c r="U48" s="1430"/>
      <c r="V48" s="1430"/>
      <c r="W48" s="1435"/>
      <c r="X48" s="1430"/>
      <c r="Y48" s="1435"/>
      <c r="Z48" s="1430"/>
      <c r="AA48" s="1430"/>
      <c r="AB48" s="1436"/>
    </row>
    <row r="49" spans="1:28" s="237" customFormat="1" ht="43.9" hidden="1" customHeight="1" outlineLevel="1" x14ac:dyDescent="0.25">
      <c r="A49" s="408"/>
      <c r="B49" s="2822" t="s">
        <v>321</v>
      </c>
      <c r="C49" s="2822" t="s">
        <v>322</v>
      </c>
      <c r="D49" s="2825"/>
      <c r="E49" s="1308"/>
      <c r="F49" s="2813" t="s">
        <v>323</v>
      </c>
      <c r="G49" s="2814"/>
      <c r="H49" s="2815"/>
      <c r="I49" s="709"/>
      <c r="J49" s="2811" t="s">
        <v>876</v>
      </c>
      <c r="K49" s="2812"/>
      <c r="L49" s="2812"/>
      <c r="M49" s="2812"/>
      <c r="N49" s="408"/>
      <c r="O49" s="240">
        <f>O52+O54+O55+O56+O57+O58</f>
        <v>109759</v>
      </c>
      <c r="P49" s="417"/>
      <c r="Q49" s="723">
        <f>Q52+Q54+Q55+Q56+Q57+Q58</f>
        <v>2304822.6869741161</v>
      </c>
      <c r="R49" s="408"/>
      <c r="S49" s="2828">
        <f>IF(AND(Q49&lt;&gt;0,O49&lt;&gt;0),Q49/(1+$D$17+$D$18+$D$19)/(($D$25*1000000/$D$8)),0)</f>
        <v>6128.8907769640191</v>
      </c>
      <c r="T49" s="2846" t="s">
        <v>324</v>
      </c>
      <c r="U49" s="2809">
        <f>U52+U54+U55+U56+U57+U58</f>
        <v>964129.62046324741</v>
      </c>
      <c r="V49" s="417" t="s">
        <v>325</v>
      </c>
      <c r="W49" s="2826">
        <f>W52*O52+W54*O54+W55*O55+W56*O56+W57*O57+W58*O58</f>
        <v>964129.62046324741</v>
      </c>
      <c r="X49" s="417" t="s">
        <v>325</v>
      </c>
      <c r="Y49" s="694" t="s">
        <v>326</v>
      </c>
      <c r="Z49" s="408"/>
      <c r="AA49" s="408"/>
      <c r="AB49" s="423"/>
    </row>
    <row r="50" spans="1:28" s="237" customFormat="1" ht="24" hidden="1" customHeight="1" outlineLevel="1" x14ac:dyDescent="0.25">
      <c r="A50" s="408"/>
      <c r="B50" s="2824"/>
      <c r="C50" s="1418" t="s">
        <v>327</v>
      </c>
      <c r="D50" s="1419" t="s">
        <v>328</v>
      </c>
      <c r="E50" s="1309"/>
      <c r="F50" s="2816"/>
      <c r="G50" s="2814"/>
      <c r="H50" s="2815"/>
      <c r="I50" s="710"/>
      <c r="J50" s="2817" t="s">
        <v>329</v>
      </c>
      <c r="K50" s="2818"/>
      <c r="L50" s="2819" t="s">
        <v>330</v>
      </c>
      <c r="M50" s="2818"/>
      <c r="N50" s="408"/>
      <c r="O50" s="722" t="s">
        <v>331</v>
      </c>
      <c r="P50" s="417"/>
      <c r="Q50" s="718">
        <v>0.5</v>
      </c>
      <c r="R50" s="408"/>
      <c r="S50" s="2788"/>
      <c r="T50" s="2847"/>
      <c r="U50" s="2788"/>
      <c r="V50" s="417"/>
      <c r="W50" s="2827"/>
      <c r="X50" s="417"/>
      <c r="Y50" s="721">
        <f>$Y$33</f>
        <v>0.1</v>
      </c>
      <c r="Z50" s="408"/>
      <c r="AA50" s="408"/>
      <c r="AB50" s="423"/>
    </row>
    <row r="51" spans="1:28" s="237" customFormat="1" ht="24" hidden="1" customHeight="1" outlineLevel="1" x14ac:dyDescent="0.25">
      <c r="A51" s="408"/>
      <c r="B51" s="2832">
        <v>1</v>
      </c>
      <c r="C51" s="2832">
        <v>1</v>
      </c>
      <c r="D51" s="2835">
        <v>1.25</v>
      </c>
      <c r="E51" s="710"/>
      <c r="F51" s="1423" t="s">
        <v>832</v>
      </c>
      <c r="G51" s="1424" t="s">
        <v>834</v>
      </c>
      <c r="H51" s="1426" t="s">
        <v>332</v>
      </c>
      <c r="I51" s="1420"/>
      <c r="J51" s="1428" t="s">
        <v>312</v>
      </c>
      <c r="K51" s="1429" t="s">
        <v>313</v>
      </c>
      <c r="L51" s="1428" t="s">
        <v>312</v>
      </c>
      <c r="M51" s="1429" t="s">
        <v>313</v>
      </c>
      <c r="N51" s="408"/>
      <c r="O51" s="263"/>
      <c r="P51" s="417"/>
      <c r="Q51" s="264"/>
      <c r="R51" s="408"/>
      <c r="S51" s="129"/>
      <c r="T51" s="417"/>
      <c r="U51" s="129"/>
      <c r="V51" s="417"/>
      <c r="W51" s="258"/>
      <c r="X51" s="417"/>
      <c r="Y51" s="724"/>
      <c r="Z51" s="408"/>
      <c r="AA51" s="408"/>
      <c r="AB51" s="423"/>
    </row>
    <row r="52" spans="1:28" s="237" customFormat="1" ht="24" hidden="1" customHeight="1" outlineLevel="1" x14ac:dyDescent="0.25">
      <c r="A52" s="408"/>
      <c r="B52" s="2833"/>
      <c r="C52" s="2834"/>
      <c r="D52" s="2836"/>
      <c r="E52" s="710"/>
      <c r="F52" s="1473" t="s">
        <v>289</v>
      </c>
      <c r="G52" s="1474">
        <v>5</v>
      </c>
      <c r="H52" s="1475">
        <f>0.35-0.05</f>
        <v>0.3</v>
      </c>
      <c r="I52" s="1309"/>
      <c r="J52" s="1476">
        <f>$L$32*H52*$B$51*$C$51</f>
        <v>92.191034848569288</v>
      </c>
      <c r="K52" s="1477">
        <f>$M$32*H52*$B$51*$C$51</f>
        <v>7.6825862373807734</v>
      </c>
      <c r="L52" s="1476">
        <f>J52*$D$51</f>
        <v>115.23879356071161</v>
      </c>
      <c r="M52" s="1477">
        <f>K52*$D$51</f>
        <v>9.6032327967259672</v>
      </c>
      <c r="N52" s="408"/>
      <c r="O52" s="715">
        <v>76400</v>
      </c>
      <c r="P52" s="417"/>
      <c r="Q52" s="261">
        <f>O52*$Q$50*M52+O52*(1-$Q$50)*K52</f>
        <v>660318.2871028774</v>
      </c>
      <c r="R52" s="408"/>
      <c r="S52" s="719">
        <f>IF(AND(Q52&lt;&gt;0,O52&lt;&gt;0),Q52/(1+$D$17+$D$18+$D$19)/O52/30/(($D$25*1000000/$D$8))*1000,0)</f>
        <v>0.76609578579985327</v>
      </c>
      <c r="T52" s="417" t="s">
        <v>333</v>
      </c>
      <c r="U52" s="699">
        <f>S52*O52*30*$D$11*(1+$D$24)/1000</f>
        <v>276217.52559423173</v>
      </c>
      <c r="V52" s="417" t="s">
        <v>334</v>
      </c>
      <c r="W52" s="699">
        <f>IF(O52&lt;&gt;0,U52/O52,0)</f>
        <v>3.6154126386679546</v>
      </c>
      <c r="X52" s="417" t="s">
        <v>335</v>
      </c>
      <c r="Y52" s="262" t="str">
        <f>IF(O52=0,"-", IF(W52&lt;=(G52*(1+$Y$50)),"OK", "NOK"))</f>
        <v>OK</v>
      </c>
      <c r="Z52" s="139"/>
      <c r="AA52" s="227">
        <f>IF(OR(Y52="OK",Y52="-"),1,0)</f>
        <v>1</v>
      </c>
      <c r="AB52" s="423"/>
    </row>
    <row r="53" spans="1:28" s="237" customFormat="1" ht="24" hidden="1" customHeight="1" outlineLevel="1" x14ac:dyDescent="0.25">
      <c r="A53" s="408"/>
      <c r="B53" s="2833"/>
      <c r="C53" s="2834"/>
      <c r="D53" s="2836"/>
      <c r="E53" s="710"/>
      <c r="F53" s="1423" t="s">
        <v>833</v>
      </c>
      <c r="G53" s="1424" t="s">
        <v>835</v>
      </c>
      <c r="H53" s="1426" t="s">
        <v>332</v>
      </c>
      <c r="I53" s="1420"/>
      <c r="J53" s="1421"/>
      <c r="K53" s="1422"/>
      <c r="L53" s="1421"/>
      <c r="M53" s="1422"/>
      <c r="N53" s="408"/>
      <c r="O53" s="263"/>
      <c r="P53" s="417"/>
      <c r="Q53" s="264"/>
      <c r="R53" s="408"/>
      <c r="S53" s="265"/>
      <c r="T53" s="417"/>
      <c r="U53" s="266"/>
      <c r="V53" s="417"/>
      <c r="W53" s="725"/>
      <c r="X53" s="417"/>
      <c r="Y53" s="724"/>
      <c r="Z53" s="408"/>
      <c r="AA53" s="409"/>
      <c r="AB53" s="423"/>
    </row>
    <row r="54" spans="1:28" s="237" customFormat="1" ht="24" hidden="1" customHeight="1" outlineLevel="1" x14ac:dyDescent="0.25">
      <c r="A54" s="408"/>
      <c r="B54" s="2833"/>
      <c r="C54" s="2834"/>
      <c r="D54" s="2836"/>
      <c r="E54" s="710"/>
      <c r="F54" s="1473">
        <f>G52</f>
        <v>5</v>
      </c>
      <c r="G54" s="1474">
        <v>15</v>
      </c>
      <c r="H54" s="1475">
        <f>0.08</f>
        <v>0.08</v>
      </c>
      <c r="I54" s="1309"/>
      <c r="J54" s="1476">
        <f>$L$32*(H52+(G54-F54)*H54)*$B$51*$C$51</f>
        <v>338.03379444475405</v>
      </c>
      <c r="K54" s="1477">
        <f>$M$32*(H52+(G54-F54)*H54)*$B$51*$C$51</f>
        <v>28.169482870396173</v>
      </c>
      <c r="L54" s="1476">
        <f t="shared" ref="L54:M58" si="1">J54*$D$51</f>
        <v>422.54224305594255</v>
      </c>
      <c r="M54" s="1477">
        <f t="shared" si="1"/>
        <v>35.211853587995215</v>
      </c>
      <c r="N54" s="408"/>
      <c r="O54" s="715">
        <v>16500</v>
      </c>
      <c r="P54" s="417"/>
      <c r="Q54" s="261">
        <f>O54*$Q$50*M54+O54*(1-$Q$50)*K54</f>
        <v>522896.02578172891</v>
      </c>
      <c r="R54" s="408"/>
      <c r="S54" s="719">
        <f>IF(AND(Q54&lt;&gt;0,O54&lt;&gt;0),Q54/(1+$D$17+$D$18+$D$19)/O54/30/(($D$25*1000000/$D$8))*1000,0)</f>
        <v>2.8090178812661288</v>
      </c>
      <c r="T54" s="417" t="s">
        <v>333</v>
      </c>
      <c r="U54" s="699">
        <f>S54*O54*30*$D$11*(1+$D$24)/1000</f>
        <v>218732.46463941128</v>
      </c>
      <c r="V54" s="417" t="s">
        <v>334</v>
      </c>
      <c r="W54" s="726">
        <f>IF(O54&lt;&gt;0,U54/O54,0)</f>
        <v>13.256513008449168</v>
      </c>
      <c r="X54" s="417" t="s">
        <v>335</v>
      </c>
      <c r="Y54" s="262" t="str">
        <f>IF(O54=0,"-",IF(AND(((F54*(1-$Y$50))&lt;W54),(W54&lt;(G54*(1+$Y$50)))),"OK", "NOK"))</f>
        <v>OK</v>
      </c>
      <c r="Z54" s="139"/>
      <c r="AA54" s="227">
        <f>IF(OR(Y54="OK",Y54="-"),1,0)</f>
        <v>1</v>
      </c>
      <c r="AB54" s="423"/>
    </row>
    <row r="55" spans="1:28" s="237" customFormat="1" ht="24" hidden="1" customHeight="1" outlineLevel="1" x14ac:dyDescent="0.25">
      <c r="A55" s="408"/>
      <c r="B55" s="2833"/>
      <c r="C55" s="2834"/>
      <c r="D55" s="2836"/>
      <c r="E55" s="710"/>
      <c r="F55" s="1473">
        <f>G54</f>
        <v>15</v>
      </c>
      <c r="G55" s="1474">
        <v>25</v>
      </c>
      <c r="H55" s="1475">
        <f>0.0725</f>
        <v>7.2499999999999995E-2</v>
      </c>
      <c r="I55" s="1309"/>
      <c r="J55" s="1476">
        <f>$L$32*(H52+(G54-F54)*H54+(G55-F55)*H55)*$B$51*$C$51</f>
        <v>560.82879532879656</v>
      </c>
      <c r="K55" s="1477">
        <f>$M$32*(H52+(G54-F54)*H54+(G55-F55)*H55)*$B$51*$C$51</f>
        <v>46.735732944066378</v>
      </c>
      <c r="L55" s="1476">
        <f t="shared" si="1"/>
        <v>701.03599416099564</v>
      </c>
      <c r="M55" s="1477">
        <f t="shared" si="1"/>
        <v>58.41966618008297</v>
      </c>
      <c r="N55" s="408"/>
      <c r="O55" s="715">
        <v>10000</v>
      </c>
      <c r="P55" s="417"/>
      <c r="Q55" s="261">
        <f>O55*$Q$50*M55+O55*(1-$Q$50)*K55</f>
        <v>525776.99562074675</v>
      </c>
      <c r="R55" s="408"/>
      <c r="S55" s="719">
        <f>IF(AND(Q55&lt;&gt;0,O55&lt;&gt;0),Q55/(1+$D$17+$D$18+$D$19)/O55/30/(($D$25*1000000/$D$8))*1000,0)</f>
        <v>4.6604160302824411</v>
      </c>
      <c r="T55" s="417" t="s">
        <v>333</v>
      </c>
      <c r="U55" s="699">
        <f>S55*O55*30*$D$11*(1+$D$24)/1000</f>
        <v>219937.60218563394</v>
      </c>
      <c r="V55" s="417" t="s">
        <v>334</v>
      </c>
      <c r="W55" s="727">
        <f>IF(O55&lt;&gt;0,U55/O55,0)</f>
        <v>21.993760218563395</v>
      </c>
      <c r="X55" s="417" t="s">
        <v>335</v>
      </c>
      <c r="Y55" s="262" t="str">
        <f>IF(O55=0,"-",IF(AND(((F55*(1-$Y$50))&lt;W55),(W55&lt;(G55*(1+$Y$50)))),"OK", "NOK"))</f>
        <v>OK</v>
      </c>
      <c r="Z55" s="139"/>
      <c r="AA55" s="227">
        <f>IF(OR(Y55="OK",Y55="-"),1,0)</f>
        <v>1</v>
      </c>
      <c r="AB55" s="423"/>
    </row>
    <row r="56" spans="1:28" s="237" customFormat="1" ht="24" hidden="1" customHeight="1" outlineLevel="1" x14ac:dyDescent="0.25">
      <c r="A56" s="408"/>
      <c r="B56" s="2833"/>
      <c r="C56" s="2834"/>
      <c r="D56" s="2836"/>
      <c r="E56" s="710"/>
      <c r="F56" s="1473">
        <f>G55</f>
        <v>25</v>
      </c>
      <c r="G56" s="1474">
        <v>35</v>
      </c>
      <c r="H56" s="1475">
        <v>6.5000000000000002E-2</v>
      </c>
      <c r="I56" s="1309"/>
      <c r="J56" s="1476">
        <f>$L$32*(H52+(G54-F54)*H54+(G55-F55)*H55+(G56-F56)*H56)*$B$51*$C$51</f>
        <v>760.57603750069666</v>
      </c>
      <c r="K56" s="1477">
        <f>$M$32*(H52+(G54-F54)*H54+(G55-F55)*H55+(G56-F56)*H56)*$B$51*$C$51</f>
        <v>63.381336458391388</v>
      </c>
      <c r="L56" s="1476">
        <f t="shared" si="1"/>
        <v>950.72004687587082</v>
      </c>
      <c r="M56" s="1477">
        <f t="shared" si="1"/>
        <v>79.226670572989235</v>
      </c>
      <c r="N56" s="408"/>
      <c r="O56" s="715">
        <v>5500</v>
      </c>
      <c r="P56" s="417"/>
      <c r="Q56" s="261">
        <f>O56*$Q$50*M56+O56*(1-$Q$50)*K56</f>
        <v>392172.01933629671</v>
      </c>
      <c r="R56" s="408"/>
      <c r="S56" s="719">
        <f>IF(AND(Q56&lt;&gt;0,O56&lt;&gt;0),Q56/(1+$D$17+$D$18+$D$19)/O56/30/(($D$25*1000000/$D$8))*1000,0)</f>
        <v>6.3202902328487918</v>
      </c>
      <c r="T56" s="417" t="s">
        <v>333</v>
      </c>
      <c r="U56" s="699">
        <f>S56*O56*30*$D$11*(1+$D$24)/1000</f>
        <v>164049.34847955851</v>
      </c>
      <c r="V56" s="417" t="s">
        <v>334</v>
      </c>
      <c r="W56" s="727">
        <f>IF(O56&lt;&gt;0,U56/O56,0)</f>
        <v>29.827154269010638</v>
      </c>
      <c r="X56" s="417" t="s">
        <v>335</v>
      </c>
      <c r="Y56" s="262" t="str">
        <f>IF(O56=0,"-",IF(AND(((F56*(1-$Y$50))&lt;W56),(W56&lt;(G56*(1+$Y$50)))),"OK", "NOK"))</f>
        <v>OK</v>
      </c>
      <c r="Z56" s="139"/>
      <c r="AA56" s="227">
        <f>IF(OR(Y56="OK",Y56="-"),1,0)</f>
        <v>1</v>
      </c>
      <c r="AB56" s="423"/>
    </row>
    <row r="57" spans="1:28" s="237" customFormat="1" ht="24" hidden="1" customHeight="1" outlineLevel="1" x14ac:dyDescent="0.25">
      <c r="A57" s="408"/>
      <c r="B57" s="2833"/>
      <c r="C57" s="2834"/>
      <c r="D57" s="2836"/>
      <c r="E57" s="710"/>
      <c r="F57" s="1473">
        <f>G56</f>
        <v>35</v>
      </c>
      <c r="G57" s="1474">
        <v>50</v>
      </c>
      <c r="H57" s="1475">
        <f>0.06</f>
        <v>0.06</v>
      </c>
      <c r="I57" s="1309"/>
      <c r="J57" s="1476">
        <f>$L$32*(H52+(G54-F54)*H54+(G55-F55)*H55+(G56-F56)*H56+(G57-F57)*H57)*$B$51*$C$51</f>
        <v>1037.1491420464044</v>
      </c>
      <c r="K57" s="1477">
        <f>$M$32*(H52+(G54-F54)*H54+(G55-F55)*H55+(G56-F56)*H56+(G57-F57)*H57)*$B$51*$C$51</f>
        <v>86.429095170533699</v>
      </c>
      <c r="L57" s="1476">
        <f t="shared" si="1"/>
        <v>1296.4364275580056</v>
      </c>
      <c r="M57" s="1477">
        <f t="shared" si="1"/>
        <v>108.03636896316712</v>
      </c>
      <c r="N57" s="408"/>
      <c r="O57" s="715">
        <v>366</v>
      </c>
      <c r="P57" s="417"/>
      <c r="Q57" s="261">
        <f>O57*$Q$50*M57+O57*(1-$Q$50)*K57</f>
        <v>35587.179936467248</v>
      </c>
      <c r="R57" s="408"/>
      <c r="S57" s="719">
        <f>IF(AND(Q57&lt;&gt;0,O57&lt;&gt;0),Q57/(1+$D$17+$D$18+$D$19)/O57/30/(($D$25*1000000/$D$8))*1000,0)</f>
        <v>8.6185775902483481</v>
      </c>
      <c r="T57" s="417" t="s">
        <v>333</v>
      </c>
      <c r="U57" s="699">
        <f>S57*O57*30*$D$11*(1+$D$24)/1000</f>
        <v>14886.461539715303</v>
      </c>
      <c r="V57" s="417" t="s">
        <v>334</v>
      </c>
      <c r="W57" s="727">
        <f>IF(O57&lt;&gt;0,U57/O57,0)</f>
        <v>40.673392185014492</v>
      </c>
      <c r="X57" s="417" t="s">
        <v>335</v>
      </c>
      <c r="Y57" s="262" t="str">
        <f>IF(O57=0,"-",IF(AND(((F57*(1-$Y$50))&lt;W57),(W57&lt;(G57*(1+$Y$50)))),"OK", "NOK"))</f>
        <v>OK</v>
      </c>
      <c r="Z57" s="139"/>
      <c r="AA57" s="227">
        <f>IF(OR(Y57="OK",Y57="-"),1,0)</f>
        <v>1</v>
      </c>
      <c r="AB57" s="423"/>
    </row>
    <row r="58" spans="1:28" s="237" customFormat="1" ht="24" hidden="1" customHeight="1" outlineLevel="1" x14ac:dyDescent="0.25">
      <c r="A58" s="408"/>
      <c r="B58" s="2833"/>
      <c r="C58" s="2834"/>
      <c r="D58" s="2836"/>
      <c r="E58" s="710"/>
      <c r="F58" s="1473">
        <f>G57</f>
        <v>50</v>
      </c>
      <c r="G58" s="1474">
        <v>100</v>
      </c>
      <c r="H58" s="1475">
        <v>0.05</v>
      </c>
      <c r="I58" s="1309"/>
      <c r="J58" s="1476">
        <f>$L$32*(H52+(G54-F54)*H54+(G55-F55)*H55+(G56-F56)*H56+(G57-F57)*H57+(G58-F58)*H58)*$B$51*$C$51</f>
        <v>1805.4077657844819</v>
      </c>
      <c r="K58" s="1477">
        <f>$M$32*(H52+(G54-F54)*H54+(G55-F55)*H55+(G56-F56)*H56+(G57-F57)*H57+(G58-F58)*H58)*$B$51*$C$51</f>
        <v>150.45064714870682</v>
      </c>
      <c r="L58" s="1476">
        <f t="shared" si="1"/>
        <v>2256.7597072306025</v>
      </c>
      <c r="M58" s="1477">
        <f t="shared" si="1"/>
        <v>188.06330893588353</v>
      </c>
      <c r="N58" s="408"/>
      <c r="O58" s="715">
        <v>993</v>
      </c>
      <c r="P58" s="417"/>
      <c r="Q58" s="261">
        <f>O58*$Q$50*M58+O58*(1-$Q$50)*K58</f>
        <v>168072.17919599911</v>
      </c>
      <c r="R58" s="408"/>
      <c r="S58" s="719">
        <f>IF(AND(Q58&lt;&gt;0,O58&lt;&gt;0),Q58/(1+$D$17+$D$18+$D$19)/O58/30/(($D$25*1000000/$D$8))*1000,0)</f>
        <v>15.002709138580462</v>
      </c>
      <c r="T58" s="417" t="s">
        <v>333</v>
      </c>
      <c r="U58" s="699">
        <f>S58*O58*30*$D$11*(1+$D$24)/1000</f>
        <v>70306.218024696718</v>
      </c>
      <c r="V58" s="417" t="s">
        <v>334</v>
      </c>
      <c r="W58" s="728">
        <f>IF(O58&lt;&gt;0,U58/O58,0)</f>
        <v>70.801830840580777</v>
      </c>
      <c r="X58" s="417" t="s">
        <v>335</v>
      </c>
      <c r="Y58" s="262" t="str">
        <f>IF(O58=0,"-",IF(AND(((F58*(1-$Y$50))&lt;W58),(W58&lt;(G58*(1+$Y$50)))),"OK", "NOK"))</f>
        <v>OK</v>
      </c>
      <c r="Z58" s="139"/>
      <c r="AA58" s="227">
        <f>IF(OR(Y58="OK",Y58="-"),1,0)</f>
        <v>1</v>
      </c>
      <c r="AB58" s="423"/>
    </row>
    <row r="59" spans="1:28" s="237" customFormat="1" ht="10.15" hidden="1" customHeight="1" outlineLevel="1" x14ac:dyDescent="0.25">
      <c r="A59" s="408"/>
      <c r="B59" s="417"/>
      <c r="C59" s="412"/>
      <c r="D59" s="417"/>
      <c r="E59" s="417"/>
      <c r="F59" s="417"/>
      <c r="G59" s="417"/>
      <c r="H59" s="412"/>
      <c r="I59" s="417"/>
      <c r="J59" s="412"/>
      <c r="K59" s="412"/>
      <c r="L59" s="412"/>
      <c r="M59" s="412"/>
      <c r="N59" s="408"/>
      <c r="O59" s="408"/>
      <c r="P59" s="408"/>
      <c r="Q59" s="408"/>
      <c r="R59" s="408"/>
      <c r="S59" s="408"/>
      <c r="T59" s="408"/>
      <c r="U59" s="408"/>
      <c r="V59" s="408"/>
      <c r="W59" s="409"/>
      <c r="X59" s="408"/>
      <c r="Y59" s="409"/>
      <c r="Z59" s="408"/>
      <c r="AA59" s="408"/>
      <c r="AB59" s="423"/>
    </row>
    <row r="60" spans="1:28" s="237" customFormat="1" ht="34.9" hidden="1" customHeight="1" outlineLevel="1" x14ac:dyDescent="0.25">
      <c r="A60" s="408"/>
      <c r="B60" s="2820" t="s">
        <v>337</v>
      </c>
      <c r="C60" s="2821"/>
      <c r="D60" s="2821"/>
      <c r="E60" s="2821"/>
      <c r="F60" s="2821"/>
      <c r="G60" s="2821"/>
      <c r="H60" s="2821"/>
      <c r="I60" s="2821"/>
      <c r="J60" s="2821"/>
      <c r="K60" s="2821"/>
      <c r="L60" s="2821"/>
      <c r="M60" s="2821"/>
      <c r="N60" s="411"/>
      <c r="O60" s="408"/>
      <c r="P60" s="411"/>
      <c r="Q60" s="408"/>
      <c r="R60" s="411"/>
      <c r="S60" s="408"/>
      <c r="T60" s="408"/>
      <c r="U60" s="408"/>
      <c r="V60" s="408"/>
      <c r="W60" s="409"/>
      <c r="X60" s="408"/>
      <c r="Y60" s="409"/>
      <c r="Z60" s="408"/>
      <c r="AA60" s="408"/>
      <c r="AB60" s="423"/>
    </row>
    <row r="61" spans="1:28" s="1437" customFormat="1" ht="25.15" hidden="1" customHeight="1" outlineLevel="1" x14ac:dyDescent="0.45">
      <c r="A61" s="1430"/>
      <c r="B61" s="2822" t="s">
        <v>320</v>
      </c>
      <c r="C61" s="2814"/>
      <c r="D61" s="2814"/>
      <c r="E61" s="2823"/>
      <c r="F61" s="2814"/>
      <c r="G61" s="2814"/>
      <c r="H61" s="2814"/>
      <c r="I61" s="2823"/>
      <c r="J61" s="2814"/>
      <c r="K61" s="2814"/>
      <c r="L61" s="2814"/>
      <c r="M61" s="2814"/>
      <c r="N61" s="1431"/>
      <c r="O61" s="1432">
        <f>G7</f>
        <v>27439.800000000003</v>
      </c>
      <c r="P61" s="1433"/>
      <c r="Q61" s="1438"/>
      <c r="R61" s="1431"/>
      <c r="S61" s="1438"/>
      <c r="T61" s="1430"/>
      <c r="U61" s="1430"/>
      <c r="V61" s="1430"/>
      <c r="W61" s="1435"/>
      <c r="X61" s="1430"/>
      <c r="Y61" s="1435"/>
      <c r="Z61" s="1430"/>
      <c r="AA61" s="1430"/>
      <c r="AB61" s="1436"/>
    </row>
    <row r="62" spans="1:28" s="237" customFormat="1" ht="43.9" hidden="1" customHeight="1" outlineLevel="1" x14ac:dyDescent="0.25">
      <c r="A62" s="408"/>
      <c r="B62" s="2822" t="s">
        <v>321</v>
      </c>
      <c r="C62" s="2822" t="s">
        <v>322</v>
      </c>
      <c r="D62" s="2825"/>
      <c r="E62" s="1308"/>
      <c r="F62" s="2813" t="s">
        <v>323</v>
      </c>
      <c r="G62" s="2814"/>
      <c r="H62" s="2815"/>
      <c r="I62" s="709"/>
      <c r="J62" s="2811" t="s">
        <v>876</v>
      </c>
      <c r="K62" s="2812"/>
      <c r="L62" s="2812"/>
      <c r="M62" s="2812"/>
      <c r="N62" s="408"/>
      <c r="O62" s="240">
        <f>O65+O67+O68+O69+O70+O71</f>
        <v>27440</v>
      </c>
      <c r="P62" s="417"/>
      <c r="Q62" s="717">
        <f>Q65+Q67+Q68+Q69+Q70+Q71</f>
        <v>121969.41133095295</v>
      </c>
      <c r="R62" s="408"/>
      <c r="S62" s="2809">
        <f>IF(AND(Q62&lt;&gt;0,O62&lt;&gt;0),Q62/(1+$D$17+$D$18+$D$19)/(($D$25*1000000/$D$8)),0)</f>
        <v>324.33609943305947</v>
      </c>
      <c r="T62" s="2846" t="s">
        <v>324</v>
      </c>
      <c r="U62" s="2809">
        <f>U65+U67+U68+U69+U70+U71</f>
        <v>255104.92177821492</v>
      </c>
      <c r="V62" s="417" t="s">
        <v>325</v>
      </c>
      <c r="W62" s="2809">
        <f>W65*O65+W67*O67+W68*O68+W69*O69+W70*O70+W71*O71</f>
        <v>255104.92177821492</v>
      </c>
      <c r="X62" s="417" t="s">
        <v>325</v>
      </c>
      <c r="Y62" s="694" t="s">
        <v>326</v>
      </c>
      <c r="Z62" s="408"/>
      <c r="AA62" s="408"/>
      <c r="AB62" s="423"/>
    </row>
    <row r="63" spans="1:28" s="237" customFormat="1" ht="24" hidden="1" customHeight="1" outlineLevel="1" x14ac:dyDescent="0.25">
      <c r="A63" s="408"/>
      <c r="B63" s="2824"/>
      <c r="C63" s="1418" t="s">
        <v>327</v>
      </c>
      <c r="D63" s="1419" t="s">
        <v>328</v>
      </c>
      <c r="E63" s="1309"/>
      <c r="F63" s="2816"/>
      <c r="G63" s="2814"/>
      <c r="H63" s="2815"/>
      <c r="I63" s="710"/>
      <c r="J63" s="2817" t="s">
        <v>329</v>
      </c>
      <c r="K63" s="2818"/>
      <c r="L63" s="2819" t="s">
        <v>330</v>
      </c>
      <c r="M63" s="2818"/>
      <c r="N63" s="408"/>
      <c r="O63" s="722" t="s">
        <v>331</v>
      </c>
      <c r="P63" s="417"/>
      <c r="Q63" s="718">
        <v>0.25</v>
      </c>
      <c r="R63" s="408"/>
      <c r="S63" s="2788"/>
      <c r="T63" s="2847"/>
      <c r="U63" s="2788"/>
      <c r="V63" s="417"/>
      <c r="W63" s="2785"/>
      <c r="X63" s="417"/>
      <c r="Y63" s="721">
        <f>$Y$33</f>
        <v>0.1</v>
      </c>
      <c r="Z63" s="408"/>
      <c r="AA63" s="408"/>
      <c r="AB63" s="423"/>
    </row>
    <row r="64" spans="1:28" s="237" customFormat="1" ht="24" hidden="1" customHeight="1" outlineLevel="1" x14ac:dyDescent="0.25">
      <c r="A64" s="408"/>
      <c r="B64" s="2829">
        <f>B51*$H$15</f>
        <v>0.2</v>
      </c>
      <c r="C64" s="2829">
        <f>C51</f>
        <v>1</v>
      </c>
      <c r="D64" s="2829">
        <f>D51</f>
        <v>1.25</v>
      </c>
      <c r="E64" s="710"/>
      <c r="F64" s="1423" t="s">
        <v>872</v>
      </c>
      <c r="G64" s="1424" t="s">
        <v>873</v>
      </c>
      <c r="H64" s="1426" t="s">
        <v>332</v>
      </c>
      <c r="I64" s="1420"/>
      <c r="J64" s="1441" t="s">
        <v>312</v>
      </c>
      <c r="K64" s="1429" t="s">
        <v>313</v>
      </c>
      <c r="L64" s="1428" t="s">
        <v>312</v>
      </c>
      <c r="M64" s="1429" t="s">
        <v>313</v>
      </c>
      <c r="N64" s="408"/>
      <c r="O64" s="263"/>
      <c r="P64" s="417"/>
      <c r="Q64" s="264"/>
      <c r="R64" s="408"/>
      <c r="S64" s="129"/>
      <c r="T64" s="417"/>
      <c r="U64" s="129"/>
      <c r="V64" s="417"/>
      <c r="W64" s="267"/>
      <c r="X64" s="417"/>
      <c r="Y64" s="724"/>
      <c r="Z64" s="408"/>
      <c r="AA64" s="408"/>
      <c r="AB64" s="423"/>
    </row>
    <row r="65" spans="1:28" s="237" customFormat="1" ht="24" hidden="1" customHeight="1" outlineLevel="1" x14ac:dyDescent="0.25">
      <c r="A65" s="408"/>
      <c r="B65" s="2830"/>
      <c r="C65" s="2830"/>
      <c r="D65" s="2830"/>
      <c r="E65" s="710"/>
      <c r="F65" s="1473" t="s">
        <v>289</v>
      </c>
      <c r="G65" s="1478">
        <f>G52</f>
        <v>5</v>
      </c>
      <c r="H65" s="1479">
        <f>H52</f>
        <v>0.3</v>
      </c>
      <c r="I65" s="1309"/>
      <c r="J65" s="1480">
        <f>$L$32*H65*$B$64*$C$64</f>
        <v>18.438206969713857</v>
      </c>
      <c r="K65" s="1477">
        <f>$M$32*H65*$B$64*$C$64</f>
        <v>1.5365172474761548</v>
      </c>
      <c r="L65" s="1476">
        <f>J65*$D$51</f>
        <v>23.047758712142322</v>
      </c>
      <c r="M65" s="1477">
        <f>K65*$D$51</f>
        <v>1.9206465593451936</v>
      </c>
      <c r="N65" s="408"/>
      <c r="O65" s="715">
        <v>15000</v>
      </c>
      <c r="P65" s="417"/>
      <c r="Q65" s="261">
        <f>O65*$Q$63*M65+O65*(1-$Q$63)*K65</f>
        <v>24488.243631651218</v>
      </c>
      <c r="R65" s="408"/>
      <c r="S65" s="719">
        <f>IF(AND(Q65&lt;&gt;0,O65&lt;&gt;0),Q65/(1+$D$17+$D$18+$D$19)/$H$15/O65/30/(($D$25*1000000/$D$8))*1000,0)</f>
        <v>0.7235349088109726</v>
      </c>
      <c r="T65" s="417" t="s">
        <v>333</v>
      </c>
      <c r="U65" s="699">
        <f>S65*O65*30*$D$11*(1+$D$24)/1000</f>
        <v>51218.345714462703</v>
      </c>
      <c r="V65" s="417" t="s">
        <v>334</v>
      </c>
      <c r="W65" s="699">
        <f>IF(O65&lt;&gt;0,U65/O65,0)</f>
        <v>3.4145563809641803</v>
      </c>
      <c r="X65" s="417" t="s">
        <v>335</v>
      </c>
      <c r="Y65" s="262" t="str">
        <f>IF(O65=0,"-", IF(W65&lt;=(G65*(1+$Y$63)),"OK", "NOK"))</f>
        <v>OK</v>
      </c>
      <c r="Z65" s="259">
        <f>W65/$H$15</f>
        <v>17.0727819048209</v>
      </c>
      <c r="AA65" s="227">
        <f>IF(OR(Y65="OK",Y65="-"),1,0)</f>
        <v>1</v>
      </c>
      <c r="AB65" s="409"/>
    </row>
    <row r="66" spans="1:28" s="237" customFormat="1" ht="24" hidden="1" customHeight="1" outlineLevel="1" x14ac:dyDescent="0.25">
      <c r="A66" s="408"/>
      <c r="B66" s="2830"/>
      <c r="C66" s="2830"/>
      <c r="D66" s="2830"/>
      <c r="E66" s="710"/>
      <c r="F66" s="1423" t="s">
        <v>874</v>
      </c>
      <c r="G66" s="1424" t="s">
        <v>875</v>
      </c>
      <c r="H66" s="1426" t="s">
        <v>332</v>
      </c>
      <c r="I66" s="1420"/>
      <c r="J66" s="1440"/>
      <c r="K66" s="1422"/>
      <c r="L66" s="1421"/>
      <c r="M66" s="1422"/>
      <c r="N66" s="408"/>
      <c r="O66" s="263"/>
      <c r="P66" s="417"/>
      <c r="Q66" s="264"/>
      <c r="R66" s="408"/>
      <c r="S66" s="265"/>
      <c r="T66" s="417"/>
      <c r="U66" s="266"/>
      <c r="V66" s="417"/>
      <c r="W66" s="266"/>
      <c r="X66" s="417"/>
      <c r="Y66" s="724"/>
      <c r="Z66" s="425"/>
      <c r="AA66" s="409"/>
      <c r="AB66" s="409"/>
    </row>
    <row r="67" spans="1:28" s="237" customFormat="1" ht="24" hidden="1" customHeight="1" outlineLevel="1" x14ac:dyDescent="0.25">
      <c r="A67" s="408"/>
      <c r="B67" s="2830"/>
      <c r="C67" s="2830"/>
      <c r="D67" s="2830"/>
      <c r="E67" s="710"/>
      <c r="F67" s="1473">
        <f>G65</f>
        <v>5</v>
      </c>
      <c r="G67" s="1478">
        <f t="shared" ref="G67:H71" si="2">G54</f>
        <v>15</v>
      </c>
      <c r="H67" s="1479">
        <f t="shared" si="2"/>
        <v>0.08</v>
      </c>
      <c r="I67" s="1309"/>
      <c r="J67" s="1480">
        <f>$L$32*(H65+(G67-F67)*H67)*$B$64*$C$64</f>
        <v>67.606758888950807</v>
      </c>
      <c r="K67" s="1477">
        <f>$M$32*(H65+(G67-F67)*H67)*$B$64*$C$64</f>
        <v>5.6338965740792348</v>
      </c>
      <c r="L67" s="1476">
        <f t="shared" ref="L67:M71" si="3">J67*$D$51</f>
        <v>84.508448611188513</v>
      </c>
      <c r="M67" s="1477">
        <f t="shared" si="3"/>
        <v>7.0423707175990433</v>
      </c>
      <c r="N67" s="408"/>
      <c r="O67" s="715">
        <v>8400</v>
      </c>
      <c r="P67" s="417"/>
      <c r="Q67" s="261">
        <f>O67*$Q$63*M67+O67*(1-$Q$63)*K67</f>
        <v>50282.526923657169</v>
      </c>
      <c r="R67" s="408"/>
      <c r="S67" s="719">
        <f>IF(AND(Q67&lt;&gt;0,O67&lt;&gt;0),Q67/(1+$D$17+$D$18+$D$19)/$H$15/O67/30/(($D$25*1000000/$D$8))*1000,0)</f>
        <v>2.6529613323069001</v>
      </c>
      <c r="T67" s="417" t="s">
        <v>333</v>
      </c>
      <c r="U67" s="699">
        <f>S67*O67*30*$D$11*(1+$D$24)/1000</f>
        <v>105168.33653369677</v>
      </c>
      <c r="V67" s="417" t="s">
        <v>334</v>
      </c>
      <c r="W67" s="699">
        <f>IF(O67&lt;&gt;0,U67/O67,0)</f>
        <v>12.52004006353533</v>
      </c>
      <c r="X67" s="417" t="s">
        <v>335</v>
      </c>
      <c r="Y67" s="262" t="str">
        <f>IF(O67=0,"-",IF(AND(((F67*(1-$Y$63))&lt;W67),(W67&lt;(G67*(1+$Y$63)))),"OK", "NOK"))</f>
        <v>OK</v>
      </c>
      <c r="Z67" s="259">
        <f>W67/$H$15</f>
        <v>62.600200317676645</v>
      </c>
      <c r="AA67" s="227">
        <f>IF(OR(Y67="OK",Y67="-"),1,0)</f>
        <v>1</v>
      </c>
      <c r="AB67" s="409"/>
    </row>
    <row r="68" spans="1:28" s="237" customFormat="1" ht="24" hidden="1" customHeight="1" outlineLevel="1" x14ac:dyDescent="0.25">
      <c r="A68" s="408"/>
      <c r="B68" s="2830"/>
      <c r="C68" s="2830"/>
      <c r="D68" s="2830"/>
      <c r="E68" s="710"/>
      <c r="F68" s="1473">
        <f>G67</f>
        <v>15</v>
      </c>
      <c r="G68" s="1478">
        <f t="shared" si="2"/>
        <v>25</v>
      </c>
      <c r="H68" s="1479">
        <f t="shared" si="2"/>
        <v>7.2499999999999995E-2</v>
      </c>
      <c r="I68" s="1309"/>
      <c r="J68" s="1480">
        <f>$L$32*(H65+(G67-F67)*H67+(G68-F68)*H68)*$B$64*$C$64</f>
        <v>112.16575906575932</v>
      </c>
      <c r="K68" s="1477">
        <f>$M$32*(H65+(G67-F67)*H67+(G68-F68)*H68)*$B$64*$C$64</f>
        <v>9.3471465888132759</v>
      </c>
      <c r="L68" s="1476">
        <f t="shared" si="3"/>
        <v>140.20719883219914</v>
      </c>
      <c r="M68" s="1477">
        <f t="shared" si="3"/>
        <v>11.683933236016594</v>
      </c>
      <c r="N68" s="408"/>
      <c r="O68" s="715">
        <v>2960</v>
      </c>
      <c r="P68" s="417"/>
      <c r="Q68" s="261">
        <f>O68*$Q$63*M68+O68*(1-$Q$63)*K68</f>
        <v>29396.776021817754</v>
      </c>
      <c r="R68" s="408"/>
      <c r="S68" s="719">
        <f>IF(AND(Q68&lt;&gt;0,O68&lt;&gt;0),Q68/(1+$D$17+$D$18+$D$19)/$H$15/O68/30/(($D$25*1000000/$D$8))*1000,0)</f>
        <v>4.4015040286000851</v>
      </c>
      <c r="T68" s="417" t="s">
        <v>333</v>
      </c>
      <c r="U68" s="699">
        <f>S68*O68*30*$D$11*(1+$D$24)/1000</f>
        <v>61484.77856656169</v>
      </c>
      <c r="V68" s="417" t="s">
        <v>334</v>
      </c>
      <c r="W68" s="699">
        <f>IF(O68&lt;&gt;0,U68/O68,0)</f>
        <v>20.771884650865434</v>
      </c>
      <c r="X68" s="417" t="s">
        <v>335</v>
      </c>
      <c r="Y68" s="262" t="str">
        <f>IF(O68=0,"-",IF(AND(((F68*(1-$Y$63))&lt;W68),(W68&lt;(G68*(1+$Y$63)))),"OK", "NOK"))</f>
        <v>OK</v>
      </c>
      <c r="Z68" s="259">
        <f>W68/$H$15</f>
        <v>103.85942325432717</v>
      </c>
      <c r="AA68" s="227">
        <f>IF(OR(Y68="OK",Y68="-"),1,0)</f>
        <v>1</v>
      </c>
      <c r="AB68" s="409"/>
    </row>
    <row r="69" spans="1:28" s="237" customFormat="1" ht="24" hidden="1" customHeight="1" outlineLevel="1" x14ac:dyDescent="0.25">
      <c r="A69" s="408"/>
      <c r="B69" s="2830"/>
      <c r="C69" s="2830"/>
      <c r="D69" s="2830"/>
      <c r="E69" s="710"/>
      <c r="F69" s="1473">
        <f>G68</f>
        <v>25</v>
      </c>
      <c r="G69" s="1478">
        <f t="shared" si="2"/>
        <v>35</v>
      </c>
      <c r="H69" s="1479">
        <f t="shared" si="2"/>
        <v>6.5000000000000002E-2</v>
      </c>
      <c r="I69" s="1309"/>
      <c r="J69" s="1480">
        <f>$L$32*(H65+(G67-F67)*H67+(G68-F68)*H68+(G69-F69)*H69)*$B$64*$C$64</f>
        <v>152.11520750013935</v>
      </c>
      <c r="K69" s="1477">
        <f>$M$32*(H65+(G67-F67)*H67+(G68-F68)*H68+(G69-F69)*H69)*$B$64*$C$64</f>
        <v>12.676267291678279</v>
      </c>
      <c r="L69" s="1476">
        <f t="shared" si="3"/>
        <v>190.14400937517419</v>
      </c>
      <c r="M69" s="1477">
        <f t="shared" si="3"/>
        <v>15.845334114597849</v>
      </c>
      <c r="N69" s="408"/>
      <c r="O69" s="715">
        <v>693</v>
      </c>
      <c r="P69" s="417"/>
      <c r="Q69" s="261">
        <f>O69*$Q$63*M69+O69*(1-$Q$63)*K69</f>
        <v>9333.694060203863</v>
      </c>
      <c r="R69" s="408"/>
      <c r="S69" s="719">
        <f>IF(AND(Q69&lt;&gt;0,O69&lt;&gt;0),Q69/(1+$D$17+$D$18+$D$19)/$H$15/O69/30/(($D$25*1000000/$D$8))*1000,0)</f>
        <v>5.9691629976905256</v>
      </c>
      <c r="T69" s="417" t="s">
        <v>333</v>
      </c>
      <c r="U69" s="699">
        <f>S69*O69*30*$D$11*(1+$D$24)/1000</f>
        <v>19521.872469067461</v>
      </c>
      <c r="V69" s="417" t="s">
        <v>334</v>
      </c>
      <c r="W69" s="699">
        <f>IF(O69&lt;&gt;0,U69/O69,0)</f>
        <v>28.170090142954489</v>
      </c>
      <c r="X69" s="417" t="s">
        <v>335</v>
      </c>
      <c r="Y69" s="262" t="str">
        <f>IF(O69=0,"-",IF(AND(((F69*(1-$Y$63))&lt;W69),(W69&lt;(G69*(1+$Y$63)))),"OK", "NOK"))</f>
        <v>OK</v>
      </c>
      <c r="Z69" s="259">
        <f>W69/$H$15</f>
        <v>140.85045071477245</v>
      </c>
      <c r="AA69" s="227">
        <f>IF(OR(Y69="OK",Y69="-"),1,0)</f>
        <v>1</v>
      </c>
      <c r="AB69" s="409"/>
    </row>
    <row r="70" spans="1:28" s="237" customFormat="1" ht="24" hidden="1" customHeight="1" outlineLevel="1" x14ac:dyDescent="0.25">
      <c r="A70" s="408"/>
      <c r="B70" s="2830"/>
      <c r="C70" s="2830"/>
      <c r="D70" s="2830"/>
      <c r="E70" s="710"/>
      <c r="F70" s="1473">
        <f>G69</f>
        <v>35</v>
      </c>
      <c r="G70" s="1478">
        <f t="shared" si="2"/>
        <v>50</v>
      </c>
      <c r="H70" s="1479">
        <f t="shared" si="2"/>
        <v>0.06</v>
      </c>
      <c r="I70" s="1309"/>
      <c r="J70" s="1480">
        <f>$L$32*(H65+(G67-F67)*H67+(G68-F68)*H68+(G69-F69)*H69+(G70-F70)*H70)*$B$64*$C$64</f>
        <v>207.4298284092809</v>
      </c>
      <c r="K70" s="1477">
        <f>$M$32*(H65+(G67-F67)*H67+(G68-F68)*H68+(G69-F69)*H69+(G70-F70)*H70)*$B$64*$C$64</f>
        <v>17.285819034106741</v>
      </c>
      <c r="L70" s="1476">
        <f t="shared" si="3"/>
        <v>259.28728551160111</v>
      </c>
      <c r="M70" s="1477">
        <f t="shared" si="3"/>
        <v>21.607273792633425</v>
      </c>
      <c r="N70" s="408"/>
      <c r="O70" s="715">
        <v>287</v>
      </c>
      <c r="P70" s="417"/>
      <c r="Q70" s="261">
        <f>O70*$Q$63*M70+O70*(1-$Q$63)*K70</f>
        <v>5271.0944417129249</v>
      </c>
      <c r="R70" s="408"/>
      <c r="S70" s="719">
        <f>IF(AND(Q70&lt;&gt;0,O70&lt;&gt;0),Q70/(1+$D$17+$D$18+$D$19)/$H$15/O70/30/(($D$25*1000000/$D$8))*1000,0)</f>
        <v>8.1397677241234412</v>
      </c>
      <c r="T70" s="417" t="s">
        <v>333</v>
      </c>
      <c r="U70" s="699">
        <f>S70*O70*30*$D$11*(1+$D$24)/1000</f>
        <v>11024.748915038095</v>
      </c>
      <c r="V70" s="417" t="s">
        <v>334</v>
      </c>
      <c r="W70" s="699">
        <f>IF(O70&lt;&gt;0,U70/O70,0)</f>
        <v>38.413759285847021</v>
      </c>
      <c r="X70" s="417" t="s">
        <v>335</v>
      </c>
      <c r="Y70" s="262" t="str">
        <f>IF(O70=0,"-",IF(AND(((F70*(1-$Y$63))&lt;W70),(W70&lt;(G70*(1+$Y$63)))),"OK", "NOK"))</f>
        <v>OK</v>
      </c>
      <c r="Z70" s="259">
        <f>W70/$H$15</f>
        <v>192.06879642923511</v>
      </c>
      <c r="AA70" s="227">
        <f>IF(OR(Y70="OK",Y70="-"),1,0)</f>
        <v>1</v>
      </c>
      <c r="AB70" s="409"/>
    </row>
    <row r="71" spans="1:28" s="237" customFormat="1" ht="24" hidden="1" customHeight="1" outlineLevel="1" x14ac:dyDescent="0.25">
      <c r="A71" s="408"/>
      <c r="B71" s="2831"/>
      <c r="C71" s="2831"/>
      <c r="D71" s="2831"/>
      <c r="E71" s="710"/>
      <c r="F71" s="1473">
        <f>G70</f>
        <v>50</v>
      </c>
      <c r="G71" s="1478">
        <f t="shared" si="2"/>
        <v>100</v>
      </c>
      <c r="H71" s="1479">
        <f t="shared" si="2"/>
        <v>0.05</v>
      </c>
      <c r="I71" s="1309"/>
      <c r="J71" s="1480">
        <f>$L$32*(H65+(G67-F67)*H67+(G68-F68)*H68+(G69-F69)*H69+(G70-F70)*H70+(G71-F71)*H71)*$B$64*$C$64</f>
        <v>361.0815531568964</v>
      </c>
      <c r="K71" s="1477">
        <f>$M$32*(H65+(G67-F67)*H67+(G68-F68)*H68+(G69-F69)*H69+(G70-F70)*H70+(G71-F71)*H71)*$B$64*$C$64</f>
        <v>30.090129429741367</v>
      </c>
      <c r="L71" s="1476">
        <f t="shared" si="3"/>
        <v>451.35194144612052</v>
      </c>
      <c r="M71" s="1477">
        <f t="shared" si="3"/>
        <v>37.612661787176705</v>
      </c>
      <c r="N71" s="408"/>
      <c r="O71" s="715">
        <v>100</v>
      </c>
      <c r="P71" s="417"/>
      <c r="Q71" s="261">
        <f>O71*$Q$63*M71+O71*(1-$Q$63)*K71</f>
        <v>3197.0762519100199</v>
      </c>
      <c r="R71" s="408"/>
      <c r="S71" s="719">
        <f>IF(AND(Q71&lt;&gt;0,O71&lt;&gt;0),Q71/(1+$D$17+$D$18+$D$19)/$H$15/O71/30/(($D$25*1000000/$D$8))*1000,0)</f>
        <v>14.169225297548213</v>
      </c>
      <c r="T71" s="417" t="s">
        <v>333</v>
      </c>
      <c r="U71" s="699">
        <f>S71*O71*30*$D$11*(1+$D$24)/1000</f>
        <v>6686.8395793881846</v>
      </c>
      <c r="V71" s="417" t="s">
        <v>334</v>
      </c>
      <c r="W71" s="699">
        <f>IF(O71&lt;&gt;0,U71/O71,0)</f>
        <v>66.868395793881845</v>
      </c>
      <c r="X71" s="417" t="s">
        <v>335</v>
      </c>
      <c r="Y71" s="262" t="str">
        <f>IF(O71=0,"-",IF(AND(((F71*(1-$Y$63))&lt;W71),(W71&lt;(G71*(1+$Y$63)))),"OK", "NOK"))</f>
        <v>OK</v>
      </c>
      <c r="Z71" s="259">
        <f>W71/$H$15</f>
        <v>334.34197896940918</v>
      </c>
      <c r="AA71" s="227">
        <f>IF(OR(Y71="OK",Y71="-"),1,0)</f>
        <v>1</v>
      </c>
      <c r="AB71" s="409"/>
    </row>
    <row r="72" spans="1:28" s="237" customFormat="1" ht="10.15" hidden="1" customHeight="1" outlineLevel="1" x14ac:dyDescent="0.25">
      <c r="A72" s="408"/>
      <c r="B72" s="408"/>
      <c r="C72" s="409"/>
      <c r="D72" s="408"/>
      <c r="E72" s="408"/>
      <c r="F72" s="408"/>
      <c r="G72" s="408"/>
      <c r="H72" s="409"/>
      <c r="I72" s="408"/>
      <c r="J72" s="409"/>
      <c r="K72" s="409"/>
      <c r="L72" s="409"/>
      <c r="M72" s="409"/>
      <c r="N72" s="408"/>
      <c r="O72" s="408"/>
      <c r="P72" s="408"/>
      <c r="Q72" s="408"/>
      <c r="R72" s="408"/>
      <c r="S72" s="408"/>
      <c r="T72" s="408"/>
      <c r="U72" s="408"/>
      <c r="V72" s="408"/>
      <c r="W72" s="409"/>
      <c r="X72" s="408"/>
      <c r="Y72" s="409"/>
      <c r="Z72" s="408"/>
      <c r="AA72" s="408"/>
      <c r="AB72" s="423"/>
    </row>
    <row r="73" spans="1:28" s="237" customFormat="1" ht="34.9" hidden="1" customHeight="1" outlineLevel="1" x14ac:dyDescent="0.25">
      <c r="A73" s="408"/>
      <c r="B73" s="2820" t="s">
        <v>707</v>
      </c>
      <c r="C73" s="2821"/>
      <c r="D73" s="2821"/>
      <c r="E73" s="2821"/>
      <c r="F73" s="2821"/>
      <c r="G73" s="2821"/>
      <c r="H73" s="2821"/>
      <c r="I73" s="2821"/>
      <c r="J73" s="2821"/>
      <c r="K73" s="2821"/>
      <c r="L73" s="2821"/>
      <c r="M73" s="2821"/>
      <c r="N73" s="408"/>
      <c r="O73" s="408"/>
      <c r="P73" s="408"/>
      <c r="Q73" s="408"/>
      <c r="R73" s="408"/>
      <c r="S73" s="408"/>
      <c r="T73" s="408"/>
      <c r="U73" s="408"/>
      <c r="V73" s="408"/>
      <c r="W73" s="409"/>
      <c r="X73" s="408"/>
      <c r="Y73" s="409"/>
      <c r="Z73" s="408"/>
      <c r="AA73" s="408"/>
      <c r="AB73" s="423"/>
    </row>
    <row r="74" spans="1:28" s="1437" customFormat="1" ht="25.15" hidden="1" customHeight="1" outlineLevel="1" x14ac:dyDescent="0.45">
      <c r="A74" s="1430"/>
      <c r="B74" s="2822" t="s">
        <v>320</v>
      </c>
      <c r="C74" s="2814"/>
      <c r="D74" s="2814"/>
      <c r="E74" s="2823"/>
      <c r="F74" s="2814"/>
      <c r="G74" s="2814"/>
      <c r="H74" s="2814"/>
      <c r="I74" s="2823"/>
      <c r="J74" s="2814"/>
      <c r="K74" s="2814"/>
      <c r="L74" s="2814"/>
      <c r="M74" s="2814"/>
      <c r="N74" s="1430"/>
      <c r="O74" s="1432">
        <f>G8</f>
        <v>27439.8</v>
      </c>
      <c r="P74" s="1439"/>
      <c r="Q74" s="1430"/>
      <c r="R74" s="1430"/>
      <c r="S74" s="1430"/>
      <c r="T74" s="1430"/>
      <c r="U74" s="1430"/>
      <c r="V74" s="1430"/>
      <c r="W74" s="1435"/>
      <c r="X74" s="1430"/>
      <c r="Y74" s="1435"/>
      <c r="Z74" s="1430"/>
      <c r="AA74" s="1430"/>
      <c r="AB74" s="1436"/>
    </row>
    <row r="75" spans="1:28" s="237" customFormat="1" ht="37.9" hidden="1" customHeight="1" outlineLevel="1" x14ac:dyDescent="0.25">
      <c r="A75" s="409"/>
      <c r="B75" s="2822" t="s">
        <v>321</v>
      </c>
      <c r="C75" s="2822" t="s">
        <v>322</v>
      </c>
      <c r="D75" s="2825"/>
      <c r="E75" s="1308"/>
      <c r="F75" s="2813" t="s">
        <v>323</v>
      </c>
      <c r="G75" s="2814"/>
      <c r="H75" s="2815"/>
      <c r="I75" s="709"/>
      <c r="J75" s="2811" t="s">
        <v>876</v>
      </c>
      <c r="K75" s="2812"/>
      <c r="L75" s="2812"/>
      <c r="M75" s="2812"/>
      <c r="N75" s="408"/>
      <c r="O75" s="240">
        <f>O78+O80+O81+O82+O83+O84</f>
        <v>27440</v>
      </c>
      <c r="P75" s="417"/>
      <c r="Q75" s="717">
        <f>Q78+Q80+Q81+Q82+Q83+Q84</f>
        <v>1763461.8052516622</v>
      </c>
      <c r="R75" s="408"/>
      <c r="S75" s="2809">
        <f>IF(AND(Q75&lt;&gt;0,O75&lt;&gt;0),Q75/(1+$D$17+$D$18+$D$19)/(($D$25*1000000/$D$8)),0)</f>
        <v>4689.3259315859077</v>
      </c>
      <c r="T75" s="2846" t="s">
        <v>324</v>
      </c>
      <c r="U75" s="2809">
        <f>U78+U80+U81+U82+U83+U84</f>
        <v>737673.12800570857</v>
      </c>
      <c r="V75" s="417" t="s">
        <v>325</v>
      </c>
      <c r="W75" s="2809">
        <f>W78*O78+W80*O80+W81*O81+W82*O82+W83*O83+W84*O84</f>
        <v>737673.1280057088</v>
      </c>
      <c r="X75" s="417" t="s">
        <v>325</v>
      </c>
      <c r="Y75" s="694" t="s">
        <v>326</v>
      </c>
      <c r="Z75" s="139"/>
      <c r="AA75" s="139"/>
      <c r="AB75" s="423"/>
    </row>
    <row r="76" spans="1:28" s="237" customFormat="1" ht="24" hidden="1" customHeight="1" outlineLevel="1" x14ac:dyDescent="0.25">
      <c r="A76" s="409"/>
      <c r="B76" s="2824"/>
      <c r="C76" s="1418" t="s">
        <v>327</v>
      </c>
      <c r="D76" s="1419" t="s">
        <v>328</v>
      </c>
      <c r="E76" s="1309"/>
      <c r="F76" s="2816"/>
      <c r="G76" s="2814"/>
      <c r="H76" s="2815"/>
      <c r="I76" s="710"/>
      <c r="J76" s="2817" t="s">
        <v>329</v>
      </c>
      <c r="K76" s="2818"/>
      <c r="L76" s="2819" t="s">
        <v>330</v>
      </c>
      <c r="M76" s="2818"/>
      <c r="N76" s="408"/>
      <c r="O76" s="722" t="s">
        <v>331</v>
      </c>
      <c r="P76" s="417"/>
      <c r="Q76" s="718">
        <v>0.5</v>
      </c>
      <c r="R76" s="408"/>
      <c r="S76" s="2788"/>
      <c r="T76" s="2847"/>
      <c r="U76" s="2788"/>
      <c r="V76" s="417"/>
      <c r="W76" s="2785"/>
      <c r="X76" s="417"/>
      <c r="Y76" s="721">
        <f>$Y$33</f>
        <v>0.1</v>
      </c>
      <c r="Z76" s="139"/>
      <c r="AA76" s="139"/>
      <c r="AB76" s="423"/>
    </row>
    <row r="77" spans="1:28" s="237" customFormat="1" ht="24" hidden="1" customHeight="1" outlineLevel="1" x14ac:dyDescent="0.25">
      <c r="A77" s="409"/>
      <c r="B77" s="2832">
        <v>2</v>
      </c>
      <c r="C77" s="2832">
        <v>1</v>
      </c>
      <c r="D77" s="2835">
        <v>1.25</v>
      </c>
      <c r="E77" s="710"/>
      <c r="F77" s="1423" t="s">
        <v>832</v>
      </c>
      <c r="G77" s="1424" t="s">
        <v>834</v>
      </c>
      <c r="H77" s="1426" t="s">
        <v>332</v>
      </c>
      <c r="I77" s="1420"/>
      <c r="J77" s="1428" t="s">
        <v>312</v>
      </c>
      <c r="K77" s="1429" t="s">
        <v>313</v>
      </c>
      <c r="L77" s="1428" t="s">
        <v>312</v>
      </c>
      <c r="M77" s="1429" t="s">
        <v>313</v>
      </c>
      <c r="N77" s="408"/>
      <c r="O77" s="263"/>
      <c r="P77" s="417"/>
      <c r="Q77" s="264"/>
      <c r="R77" s="408"/>
      <c r="S77" s="129"/>
      <c r="T77" s="417"/>
      <c r="U77" s="129"/>
      <c r="V77" s="417"/>
      <c r="W77" s="267"/>
      <c r="X77" s="417"/>
      <c r="Y77" s="267"/>
      <c r="Z77" s="139"/>
      <c r="AA77" s="139"/>
      <c r="AB77" s="423"/>
    </row>
    <row r="78" spans="1:28" s="237" customFormat="1" ht="24" hidden="1" customHeight="1" outlineLevel="1" x14ac:dyDescent="0.25">
      <c r="A78" s="408"/>
      <c r="B78" s="2833"/>
      <c r="C78" s="2837"/>
      <c r="D78" s="2838"/>
      <c r="E78" s="710"/>
      <c r="F78" s="1473" t="s">
        <v>289</v>
      </c>
      <c r="G78" s="1474">
        <v>5</v>
      </c>
      <c r="H78" s="1475">
        <f>0.35-0.25</f>
        <v>9.9999999999999978E-2</v>
      </c>
      <c r="I78" s="1309"/>
      <c r="J78" s="1476">
        <f>$L$32*H78*$B$77*$C$77</f>
        <v>61.460689899046173</v>
      </c>
      <c r="K78" s="1477">
        <f>$M$32*H78*$B$77*$C$77</f>
        <v>5.1217241582538477</v>
      </c>
      <c r="L78" s="1476">
        <f>J78*$D$77</f>
        <v>76.825862373807723</v>
      </c>
      <c r="M78" s="1477">
        <f>K78*$D$77</f>
        <v>6.4021551978173097</v>
      </c>
      <c r="N78" s="408"/>
      <c r="O78" s="715">
        <v>7692</v>
      </c>
      <c r="P78" s="417"/>
      <c r="Q78" s="261">
        <f>O78*$Q$76*M78+O78*(1-$Q$76)*K78</f>
        <v>44320.840003449674</v>
      </c>
      <c r="R78" s="408"/>
      <c r="S78" s="719">
        <f>IF(AND(Q78&lt;&gt;0,O78&lt;&gt;0),Q78/(1+$D$17+$D$18+$D$19)/O78/30/(($D$25*1000000/$D$8))*1000,0)</f>
        <v>0.51073052386656881</v>
      </c>
      <c r="T78" s="417" t="s">
        <v>333</v>
      </c>
      <c r="U78" s="699">
        <f>S78*O78*30*$D$11*(1+$D$24)/1000</f>
        <v>18539.836011089268</v>
      </c>
      <c r="V78" s="417" t="s">
        <v>334</v>
      </c>
      <c r="W78" s="699">
        <f>IF(O78&lt;&gt;0,U78/O78,0)</f>
        <v>2.4102750924453025</v>
      </c>
      <c r="X78" s="417" t="s">
        <v>334</v>
      </c>
      <c r="Y78" s="262" t="str">
        <f>IF(O78=0,"-", IF(W78&lt;=(G78*(1+$Y$76)),"OK", "NOK"))</f>
        <v>OK</v>
      </c>
      <c r="Z78" s="139"/>
      <c r="AA78" s="227">
        <f>IF(OR(Y78="OK",Y78="-"),1,0)</f>
        <v>1</v>
      </c>
      <c r="AB78" s="423"/>
    </row>
    <row r="79" spans="1:28" s="237" customFormat="1" ht="24" hidden="1" customHeight="1" outlineLevel="1" x14ac:dyDescent="0.25">
      <c r="A79" s="408"/>
      <c r="B79" s="2833"/>
      <c r="C79" s="2837"/>
      <c r="D79" s="2838"/>
      <c r="E79" s="710"/>
      <c r="F79" s="1423" t="s">
        <v>833</v>
      </c>
      <c r="G79" s="1424" t="s">
        <v>835</v>
      </c>
      <c r="H79" s="1426" t="s">
        <v>332</v>
      </c>
      <c r="I79" s="1420"/>
      <c r="J79" s="1421"/>
      <c r="K79" s="1422"/>
      <c r="L79" s="1421"/>
      <c r="M79" s="1422"/>
      <c r="N79" s="408"/>
      <c r="O79" s="263"/>
      <c r="P79" s="417"/>
      <c r="Q79" s="264"/>
      <c r="R79" s="408"/>
      <c r="S79" s="265"/>
      <c r="T79" s="417"/>
      <c r="U79" s="266"/>
      <c r="V79" s="417"/>
      <c r="W79" s="266"/>
      <c r="X79" s="417"/>
      <c r="Y79" s="267"/>
      <c r="Z79" s="139"/>
      <c r="AA79" s="227"/>
      <c r="AB79" s="423"/>
    </row>
    <row r="80" spans="1:28" s="237" customFormat="1" ht="24" hidden="1" customHeight="1" outlineLevel="1" x14ac:dyDescent="0.25">
      <c r="A80" s="408"/>
      <c r="B80" s="2833"/>
      <c r="C80" s="2837"/>
      <c r="D80" s="2838"/>
      <c r="E80" s="710"/>
      <c r="F80" s="1473">
        <f>G78</f>
        <v>5</v>
      </c>
      <c r="G80" s="1474">
        <v>20</v>
      </c>
      <c r="H80" s="1475">
        <f>0.05</f>
        <v>0.05</v>
      </c>
      <c r="I80" s="1309"/>
      <c r="J80" s="1476">
        <f>$L$32*(H78+(G80-F80)*H80)*$B$77*$C$77</f>
        <v>522.4158641418926</v>
      </c>
      <c r="K80" s="1477">
        <f>$M$32*(H78+(G80-F80)*H80)*$B$77*$C$77</f>
        <v>43.534655345157717</v>
      </c>
      <c r="L80" s="1476">
        <f t="shared" ref="L80:M84" si="4">J80*$D$77</f>
        <v>653.01983017736575</v>
      </c>
      <c r="M80" s="1477">
        <f t="shared" si="4"/>
        <v>54.418319181447146</v>
      </c>
      <c r="N80" s="408"/>
      <c r="O80" s="715">
        <v>8500</v>
      </c>
      <c r="P80" s="417"/>
      <c r="Q80" s="261">
        <f>O80*$Q$76*M80+O80*(1-$Q$76)*K80</f>
        <v>416300.14173807064</v>
      </c>
      <c r="R80" s="408"/>
      <c r="S80" s="719">
        <f>IF(AND(Q80&lt;&gt;0,O80&lt;&gt;0),Q80/(1+$D$17+$D$18+$D$19)/O80/30/(($D$25*1000000/$D$8))*1000,0)</f>
        <v>4.3412094528658365</v>
      </c>
      <c r="T80" s="417" t="s">
        <v>333</v>
      </c>
      <c r="U80" s="699">
        <f>S80*O80*30*$D$11*(1+$D$24)/1000</f>
        <v>174142.3754291732</v>
      </c>
      <c r="V80" s="417" t="s">
        <v>334</v>
      </c>
      <c r="W80" s="699">
        <f>IF(O80&lt;&gt;0,U80/O80,0)</f>
        <v>20.487338285785082</v>
      </c>
      <c r="X80" s="417" t="s">
        <v>334</v>
      </c>
      <c r="Y80" s="262" t="str">
        <f>IF(O80=0,"-",IF(AND(((F80*(1-$Y$76))&lt;W80),(W80&lt;(G80*(1+$Y$76)))),"OK", "NOK"))</f>
        <v>OK</v>
      </c>
      <c r="Z80" s="139"/>
      <c r="AA80" s="227">
        <f>IF(OR(Y80="OK",Y80="-"),1,0)</f>
        <v>1</v>
      </c>
      <c r="AB80" s="423"/>
    </row>
    <row r="81" spans="1:28" s="237" customFormat="1" ht="24" hidden="1" customHeight="1" outlineLevel="1" x14ac:dyDescent="0.25">
      <c r="A81" s="408"/>
      <c r="B81" s="2833"/>
      <c r="C81" s="2837"/>
      <c r="D81" s="2838"/>
      <c r="E81" s="710"/>
      <c r="F81" s="1473">
        <f>G80</f>
        <v>20</v>
      </c>
      <c r="G81" s="1474">
        <v>30</v>
      </c>
      <c r="H81" s="1475">
        <f>0.045</f>
        <v>4.4999999999999998E-2</v>
      </c>
      <c r="I81" s="1309"/>
      <c r="J81" s="1476">
        <f>$L$32*(H78+(G80-F80)*H80+(G81-F81)*H81)*$B$77*$C$77</f>
        <v>798.98896868760039</v>
      </c>
      <c r="K81" s="1477">
        <f>$M$32*(H78+(G80-F80)*H80+(G81-F81)*H81)*$B$77*$C$77</f>
        <v>66.582414057300028</v>
      </c>
      <c r="L81" s="1476">
        <f t="shared" si="4"/>
        <v>998.73621085950049</v>
      </c>
      <c r="M81" s="1477">
        <f t="shared" si="4"/>
        <v>83.228017571625031</v>
      </c>
      <c r="N81" s="408"/>
      <c r="O81" s="715">
        <v>2573</v>
      </c>
      <c r="P81" s="417"/>
      <c r="Q81" s="261">
        <f>O81*$Q$76*M81+O81*(1-$Q$76)*K81</f>
        <v>192731.1202906121</v>
      </c>
      <c r="R81" s="408"/>
      <c r="S81" s="719">
        <f>IF(AND(Q81&lt;&gt;0,O81&lt;&gt;0),Q81/(1+$D$17+$D$18+$D$19)/O81/30/(($D$25*1000000/$D$8))*1000,0)</f>
        <v>6.6394968102653946</v>
      </c>
      <c r="T81" s="417" t="s">
        <v>333</v>
      </c>
      <c r="U81" s="699">
        <f>S81*O81*30*$D$11*(1+$D$24)/1000</f>
        <v>80621.291567202934</v>
      </c>
      <c r="V81" s="417" t="s">
        <v>334</v>
      </c>
      <c r="W81" s="699">
        <f>IF(O81&lt;&gt;0,U81/O81,0)</f>
        <v>31.333576201788937</v>
      </c>
      <c r="X81" s="417" t="s">
        <v>334</v>
      </c>
      <c r="Y81" s="262" t="str">
        <f>IF(O81=0,"-",IF(AND(((F81*(1-$Y$76))&lt;W81),(W81&lt;(G81*(1+$Y$76)))),"OK", "NOK"))</f>
        <v>OK</v>
      </c>
      <c r="Z81" s="139"/>
      <c r="AA81" s="227">
        <f>IF(OR(Y81="OK",Y81="-"),1,0)</f>
        <v>1</v>
      </c>
      <c r="AB81" s="423"/>
    </row>
    <row r="82" spans="1:28" s="237" customFormat="1" ht="24" hidden="1" customHeight="1" outlineLevel="1" x14ac:dyDescent="0.25">
      <c r="A82" s="408"/>
      <c r="B82" s="2833"/>
      <c r="C82" s="2837"/>
      <c r="D82" s="2838"/>
      <c r="E82" s="710"/>
      <c r="F82" s="1473">
        <f>G81</f>
        <v>30</v>
      </c>
      <c r="G82" s="1474">
        <v>40</v>
      </c>
      <c r="H82" s="1475">
        <f>0.04</f>
        <v>0.04</v>
      </c>
      <c r="I82" s="1309"/>
      <c r="J82" s="1476">
        <f>$L$32*(H78+(G80-F80)*H80+(G81-F81)*H81+(G82-F82)*H82)*$B$77*$C$77</f>
        <v>1044.831728283785</v>
      </c>
      <c r="K82" s="1477">
        <f>$M$32*(H78+(G80-F80)*H80+(G81-F81)*H81+(G82-F82)*H82)*$B$77*$C$77</f>
        <v>87.069310690315419</v>
      </c>
      <c r="L82" s="1476">
        <f t="shared" si="4"/>
        <v>1306.0396603547313</v>
      </c>
      <c r="M82" s="1477">
        <f t="shared" si="4"/>
        <v>108.83663836289428</v>
      </c>
      <c r="N82" s="408"/>
      <c r="O82" s="715">
        <v>4825</v>
      </c>
      <c r="P82" s="417"/>
      <c r="Q82" s="261">
        <f>O82*$Q$76*M82+O82*(1-$Q$76)*K82</f>
        <v>472623.1020908684</v>
      </c>
      <c r="R82" s="408"/>
      <c r="S82" s="719">
        <f>IF(AND(Q82&lt;&gt;0,O82&lt;&gt;0),Q82/(1+$D$17+$D$18+$D$19)/O82/30/(($D$25*1000000/$D$8))*1000,0)</f>
        <v>8.6824189057316712</v>
      </c>
      <c r="T82" s="417" t="s">
        <v>333</v>
      </c>
      <c r="U82" s="699">
        <f>S82*O82*30*$D$11*(1+$D$24)/1000</f>
        <v>197702.81445782603</v>
      </c>
      <c r="V82" s="417" t="s">
        <v>334</v>
      </c>
      <c r="W82" s="699">
        <f>IF(O82&lt;&gt;0,U82/O82,0)</f>
        <v>40.974676571570164</v>
      </c>
      <c r="X82" s="417" t="s">
        <v>334</v>
      </c>
      <c r="Y82" s="262" t="str">
        <f>IF(O82=0,"-",IF(AND(((F82*(1-$Y$76))&lt;W82),(W82&lt;(G82*(1+$Y$76)))),"OK", "NOK"))</f>
        <v>OK</v>
      </c>
      <c r="Z82" s="139"/>
      <c r="AA82" s="227">
        <f>IF(OR(Y82="OK",Y82="-"),1,0)</f>
        <v>1</v>
      </c>
      <c r="AB82" s="423"/>
    </row>
    <row r="83" spans="1:28" s="237" customFormat="1" ht="24" hidden="1" customHeight="1" outlineLevel="1" x14ac:dyDescent="0.25">
      <c r="A83" s="408"/>
      <c r="B83" s="2833"/>
      <c r="C83" s="2837"/>
      <c r="D83" s="2838"/>
      <c r="E83" s="710"/>
      <c r="F83" s="1473">
        <f>G82</f>
        <v>40</v>
      </c>
      <c r="G83" s="1474">
        <v>55</v>
      </c>
      <c r="H83" s="1475">
        <f>0.035</f>
        <v>3.5000000000000003E-2</v>
      </c>
      <c r="I83" s="1309"/>
      <c r="J83" s="1476">
        <f>$L$32*(H78+(G80-F80)*H80+(G81-F81)*H81+(G82-F82)*H82+(G83-F83)*H83)*$B$77*$C$77</f>
        <v>1367.5003502537775</v>
      </c>
      <c r="K83" s="1477">
        <f>$M$32*(H78+(G80-F80)*H80+(G81-F81)*H81+(G82-F82)*H82+(G83-F83)*H83)*$B$77*$C$77</f>
        <v>113.95836252114813</v>
      </c>
      <c r="L83" s="1476">
        <f t="shared" si="4"/>
        <v>1709.3754378172218</v>
      </c>
      <c r="M83" s="1477">
        <f t="shared" si="4"/>
        <v>142.44795315143517</v>
      </c>
      <c r="N83" s="408"/>
      <c r="O83" s="715">
        <v>2000</v>
      </c>
      <c r="P83" s="417"/>
      <c r="Q83" s="261">
        <f>O83*$Q$76*M83+O83*(1-$Q$76)*K83</f>
        <v>256406.3156725833</v>
      </c>
      <c r="R83" s="408"/>
      <c r="S83" s="719">
        <f>IF(AND(Q83&lt;&gt;0,O83&lt;&gt;0),Q83/(1+$D$17+$D$18+$D$19)/O83/30/(($D$25*1000000/$D$8))*1000,0)</f>
        <v>11.363754156031156</v>
      </c>
      <c r="T83" s="417" t="s">
        <v>333</v>
      </c>
      <c r="U83" s="699">
        <f>S83*O83*30*$D$11*(1+$D$24)/1000</f>
        <v>107257.24161381599</v>
      </c>
      <c r="V83" s="458" t="s">
        <v>334</v>
      </c>
      <c r="W83" s="699">
        <f>IF(O83&lt;&gt;0,U83/O83,0)</f>
        <v>53.628620806907996</v>
      </c>
      <c r="X83" s="417" t="s">
        <v>334</v>
      </c>
      <c r="Y83" s="262" t="str">
        <f>IF(O83=0,"-",IF(AND(((F83*(1-$Y$76))&lt;W83),(W83&lt;(G83*(1+$Y$76)))),"OK", "NOK"))</f>
        <v>OK</v>
      </c>
      <c r="Z83" s="139"/>
      <c r="AA83" s="227">
        <f>IF(OR(Y83="OK",Y83="-"),1,0)</f>
        <v>1</v>
      </c>
      <c r="AB83" s="423"/>
    </row>
    <row r="84" spans="1:28" s="237" customFormat="1" ht="24" hidden="1" customHeight="1" outlineLevel="1" x14ac:dyDescent="0.25">
      <c r="A84" s="408"/>
      <c r="B84" s="2833"/>
      <c r="C84" s="2837"/>
      <c r="D84" s="2838"/>
      <c r="E84" s="710"/>
      <c r="F84" s="1473">
        <f>G83</f>
        <v>55</v>
      </c>
      <c r="G84" s="1474">
        <v>100</v>
      </c>
      <c r="H84" s="1475">
        <f>0.03</f>
        <v>0.03</v>
      </c>
      <c r="I84" s="1309"/>
      <c r="J84" s="1476">
        <f>$L$32*(H78+(G80-F80)*H80+(G81-F81)*H81+(G82-F82)*H82+(G83-F83)*H83+(G84-F84)*H84)*$B$77*$C$77</f>
        <v>2197.2196638909008</v>
      </c>
      <c r="K84" s="1477">
        <f>$M$32*(H78+(G80-F80)*H80+(G81-F81)*H81+(G82-F82)*H82+(G83-F83)*H83+(G84-F84)*H84)*$B$77*$C$77</f>
        <v>183.10163865757508</v>
      </c>
      <c r="L84" s="1476">
        <f t="shared" si="4"/>
        <v>2746.5245798636261</v>
      </c>
      <c r="M84" s="1477">
        <f t="shared" si="4"/>
        <v>228.87704832196886</v>
      </c>
      <c r="N84" s="408"/>
      <c r="O84" s="715">
        <v>1850</v>
      </c>
      <c r="P84" s="417"/>
      <c r="Q84" s="261">
        <f>O84*$Q$76*M84+O84*(1-$Q$76)*K84</f>
        <v>381080.28545607813</v>
      </c>
      <c r="R84" s="408"/>
      <c r="S84" s="719">
        <f>IF(AND(Q84&lt;&gt;0,O84&lt;&gt;0),Q84/(1+$D$17+$D$18+$D$19)/O84/30/(($D$25*1000000/$D$8))*1000,0)</f>
        <v>18.258616228229837</v>
      </c>
      <c r="T84" s="417" t="s">
        <v>333</v>
      </c>
      <c r="U84" s="699">
        <f>S84*O84*30*$D$11*(1+$D$24)/1000</f>
        <v>159409.56892660126</v>
      </c>
      <c r="V84" s="417" t="s">
        <v>334</v>
      </c>
      <c r="W84" s="699">
        <f>IF(O84&lt;&gt;0,U84/O84,0)</f>
        <v>86.167334554919606</v>
      </c>
      <c r="X84" s="417" t="s">
        <v>334</v>
      </c>
      <c r="Y84" s="262" t="str">
        <f>IF(O84=0,"-",IF(AND(((F84*(1-$Y$76))&lt;W84),(W84&lt;(G84*(1+$Y$76)))),"OK", "NOK"))</f>
        <v>OK</v>
      </c>
      <c r="Z84" s="139"/>
      <c r="AA84" s="227">
        <f>IF(OR(Y84="OK",Y84="-"),1,0)</f>
        <v>1</v>
      </c>
      <c r="AB84" s="423"/>
    </row>
    <row r="85" spans="1:28" s="237" customFormat="1" ht="10.15" hidden="1" customHeight="1" outlineLevel="1" x14ac:dyDescent="0.25">
      <c r="A85" s="408"/>
      <c r="B85" s="408"/>
      <c r="C85" s="409"/>
      <c r="D85" s="408"/>
      <c r="E85" s="408"/>
      <c r="F85" s="408"/>
      <c r="G85" s="408"/>
      <c r="H85" s="409"/>
      <c r="I85" s="408"/>
      <c r="J85" s="409"/>
      <c r="K85" s="409"/>
      <c r="L85" s="409"/>
      <c r="M85" s="409"/>
      <c r="N85" s="408"/>
      <c r="O85" s="408"/>
      <c r="P85" s="408"/>
      <c r="Q85" s="408"/>
      <c r="R85" s="408"/>
      <c r="S85" s="408"/>
      <c r="T85" s="408"/>
      <c r="U85" s="408"/>
      <c r="V85" s="408"/>
      <c r="W85" s="409"/>
      <c r="X85" s="408"/>
      <c r="Y85" s="409"/>
      <c r="Z85" s="408"/>
      <c r="AA85" s="408"/>
      <c r="AB85" s="423"/>
    </row>
    <row r="86" spans="1:28" s="237" customFormat="1" ht="34.9" hidden="1" customHeight="1" outlineLevel="1" x14ac:dyDescent="0.25">
      <c r="A86" s="408"/>
      <c r="B86" s="2820" t="s">
        <v>338</v>
      </c>
      <c r="C86" s="2821"/>
      <c r="D86" s="2821"/>
      <c r="E86" s="2821"/>
      <c r="F86" s="2821"/>
      <c r="G86" s="2821"/>
      <c r="H86" s="2821"/>
      <c r="I86" s="2821"/>
      <c r="J86" s="2821"/>
      <c r="K86" s="2821"/>
      <c r="L86" s="2821"/>
      <c r="M86" s="2821"/>
      <c r="N86" s="408"/>
      <c r="O86" s="408"/>
      <c r="P86" s="408"/>
      <c r="Q86" s="408"/>
      <c r="R86" s="408"/>
      <c r="S86" s="408"/>
      <c r="T86" s="408"/>
      <c r="U86" s="408"/>
      <c r="V86" s="408"/>
      <c r="W86" s="409"/>
      <c r="X86" s="408"/>
      <c r="Y86" s="409"/>
      <c r="Z86" s="408"/>
      <c r="AA86" s="408"/>
      <c r="AB86" s="423"/>
    </row>
    <row r="87" spans="1:28" s="1437" customFormat="1" ht="25.15" hidden="1" customHeight="1" outlineLevel="1" x14ac:dyDescent="0.45">
      <c r="A87" s="1430"/>
      <c r="B87" s="2822" t="s">
        <v>320</v>
      </c>
      <c r="C87" s="2814"/>
      <c r="D87" s="2814"/>
      <c r="E87" s="2823"/>
      <c r="F87" s="2814"/>
      <c r="G87" s="2814"/>
      <c r="H87" s="2814"/>
      <c r="I87" s="2823"/>
      <c r="J87" s="2814"/>
      <c r="K87" s="2814"/>
      <c r="L87" s="2814"/>
      <c r="M87" s="2814"/>
      <c r="N87" s="1430"/>
      <c r="O87" s="1432">
        <f>G10</f>
        <v>5</v>
      </c>
      <c r="P87" s="1439"/>
      <c r="Q87" s="1430"/>
      <c r="R87" s="1430"/>
      <c r="S87" s="1430"/>
      <c r="T87" s="1430"/>
      <c r="U87" s="1430"/>
      <c r="V87" s="1430"/>
      <c r="W87" s="1435"/>
      <c r="X87" s="1430"/>
      <c r="Y87" s="1435"/>
      <c r="Z87" s="1430"/>
      <c r="AA87" s="1430"/>
      <c r="AB87" s="1436"/>
    </row>
    <row r="88" spans="1:28" s="237" customFormat="1" ht="46.9" hidden="1" customHeight="1" outlineLevel="1" x14ac:dyDescent="0.25">
      <c r="A88" s="408"/>
      <c r="B88" s="2822" t="s">
        <v>321</v>
      </c>
      <c r="C88" s="2822" t="s">
        <v>322</v>
      </c>
      <c r="D88" s="2825"/>
      <c r="E88" s="1308"/>
      <c r="F88" s="2813" t="s">
        <v>323</v>
      </c>
      <c r="G88" s="2814"/>
      <c r="H88" s="2815"/>
      <c r="I88" s="709"/>
      <c r="J88" s="2811" t="s">
        <v>876</v>
      </c>
      <c r="K88" s="2812"/>
      <c r="L88" s="2812"/>
      <c r="M88" s="2812"/>
      <c r="N88" s="408"/>
      <c r="O88" s="262">
        <f>O91+O93+O94+O95+O96</f>
        <v>5</v>
      </c>
      <c r="P88" s="417"/>
      <c r="Q88" s="717">
        <f>Q91+Q93+Q94+Q95+Q96</f>
        <v>1492.9825921309969</v>
      </c>
      <c r="R88" s="408"/>
      <c r="S88" s="2809">
        <f>IF(AND(Q88&lt;&gt;0,O88&lt;&gt;0),Q88/(1+$D$17+$D$18+$D$19)/(($D$25*1000000/$D$8)),0)</f>
        <v>3.9700786055227955</v>
      </c>
      <c r="T88" s="2846" t="s">
        <v>324</v>
      </c>
      <c r="U88" s="2809">
        <f>U91+U93+U94+U95+U96+Z97</f>
        <v>624.52905728693872</v>
      </c>
      <c r="V88" s="408" t="s">
        <v>325</v>
      </c>
      <c r="W88" s="2809">
        <f>W91*O91+W93*O93+W94*O94+W95*O95+W96*O96</f>
        <v>624.52905728693872</v>
      </c>
      <c r="X88" s="417" t="s">
        <v>325</v>
      </c>
      <c r="Y88" s="694" t="s">
        <v>326</v>
      </c>
      <c r="Z88" s="139"/>
      <c r="AA88" s="139"/>
      <c r="AB88" s="423"/>
    </row>
    <row r="89" spans="1:28" s="237" customFormat="1" ht="24" hidden="1" customHeight="1" outlineLevel="1" x14ac:dyDescent="0.25">
      <c r="A89" s="408"/>
      <c r="B89" s="2824"/>
      <c r="C89" s="1418" t="s">
        <v>327</v>
      </c>
      <c r="D89" s="1419" t="s">
        <v>328</v>
      </c>
      <c r="E89" s="1309"/>
      <c r="F89" s="2816"/>
      <c r="G89" s="2814"/>
      <c r="H89" s="2815"/>
      <c r="I89" s="710"/>
      <c r="J89" s="2817" t="s">
        <v>329</v>
      </c>
      <c r="K89" s="2818"/>
      <c r="L89" s="2819" t="s">
        <v>330</v>
      </c>
      <c r="M89" s="2818"/>
      <c r="N89" s="408"/>
      <c r="O89" s="722" t="s">
        <v>331</v>
      </c>
      <c r="P89" s="417"/>
      <c r="Q89" s="718">
        <v>0.25</v>
      </c>
      <c r="R89" s="408"/>
      <c r="S89" s="2788"/>
      <c r="T89" s="2847"/>
      <c r="U89" s="2788"/>
      <c r="V89" s="408"/>
      <c r="W89" s="2785"/>
      <c r="X89" s="417"/>
      <c r="Y89" s="721">
        <f>$Y$33</f>
        <v>0.1</v>
      </c>
      <c r="Z89" s="139"/>
      <c r="AA89" s="139"/>
      <c r="AB89" s="423"/>
    </row>
    <row r="90" spans="1:28" s="237" customFormat="1" ht="24" hidden="1" customHeight="1" outlineLevel="1" x14ac:dyDescent="0.25">
      <c r="A90" s="408"/>
      <c r="B90" s="2832">
        <v>2</v>
      </c>
      <c r="C90" s="2832">
        <v>1</v>
      </c>
      <c r="D90" s="2835">
        <v>1.2</v>
      </c>
      <c r="E90" s="710"/>
      <c r="F90" s="1423" t="s">
        <v>832</v>
      </c>
      <c r="G90" s="1424" t="s">
        <v>834</v>
      </c>
      <c r="H90" s="1426" t="s">
        <v>332</v>
      </c>
      <c r="I90" s="710"/>
      <c r="J90" s="1428" t="s">
        <v>312</v>
      </c>
      <c r="K90" s="1429" t="s">
        <v>313</v>
      </c>
      <c r="L90" s="1428" t="s">
        <v>312</v>
      </c>
      <c r="M90" s="1429" t="s">
        <v>313</v>
      </c>
      <c r="N90" s="408"/>
      <c r="O90" s="263"/>
      <c r="P90" s="417"/>
      <c r="Q90" s="264"/>
      <c r="R90" s="408"/>
      <c r="S90" s="129"/>
      <c r="T90" s="417"/>
      <c r="U90" s="129"/>
      <c r="V90" s="408"/>
      <c r="W90" s="267"/>
      <c r="X90" s="417"/>
      <c r="Y90" s="412"/>
      <c r="Z90" s="408"/>
      <c r="AA90" s="408"/>
      <c r="AB90" s="423"/>
    </row>
    <row r="91" spans="1:28" s="237" customFormat="1" ht="24" hidden="1" customHeight="1" outlineLevel="1" x14ac:dyDescent="0.25">
      <c r="A91" s="408"/>
      <c r="B91" s="2833"/>
      <c r="C91" s="2834"/>
      <c r="D91" s="2836"/>
      <c r="E91" s="710"/>
      <c r="F91" s="1473" t="s">
        <v>289</v>
      </c>
      <c r="G91" s="1474">
        <v>5</v>
      </c>
      <c r="H91" s="1475">
        <v>0.35</v>
      </c>
      <c r="I91" s="1309"/>
      <c r="J91" s="1476">
        <f>$L$32*H91*$B$90*$C$90</f>
        <v>215.11241464666165</v>
      </c>
      <c r="K91" s="1477">
        <f>$M$32*H91*$B$90*$C$90</f>
        <v>17.926034553888471</v>
      </c>
      <c r="L91" s="1476">
        <f>J91*$D$90</f>
        <v>258.13489757599399</v>
      </c>
      <c r="M91" s="1477">
        <f>K91*$D$90</f>
        <v>21.511241464666163</v>
      </c>
      <c r="N91" s="408"/>
      <c r="O91" s="715">
        <v>0</v>
      </c>
      <c r="P91" s="417"/>
      <c r="Q91" s="261">
        <f>O91*$Q$76*M91+O91*(1-$Q$76)*K91</f>
        <v>0</v>
      </c>
      <c r="R91" s="408"/>
      <c r="S91" s="719">
        <f>IF(AND(Q91&lt;&gt;0,O91&lt;&gt;0),Q91/(1+$D$17+$D$18+$D$19)/O91/30/(($D$25*1000000/$D$8))*1000,0)</f>
        <v>0</v>
      </c>
      <c r="T91" s="417" t="s">
        <v>333</v>
      </c>
      <c r="U91" s="699">
        <f>S91*O91*30*$D$11*(1+$D$24)/1000</f>
        <v>0</v>
      </c>
      <c r="V91" s="408" t="s">
        <v>334</v>
      </c>
      <c r="W91" s="699">
        <f>IF(O91&lt;&gt;0,U91/O91,0)</f>
        <v>0</v>
      </c>
      <c r="X91" s="417" t="s">
        <v>334</v>
      </c>
      <c r="Y91" s="240" t="str">
        <f>IF(O91=0,"-", IF(W91&lt;=(G91*(1+$Y$89)),"OK", "NOK"))</f>
        <v>-</v>
      </c>
      <c r="Z91" s="139"/>
      <c r="AA91" s="227">
        <f>IF(OR(Y91="OK",Y91="-"),1,0)</f>
        <v>1</v>
      </c>
      <c r="AB91" s="423"/>
    </row>
    <row r="92" spans="1:28" s="237" customFormat="1" ht="24" hidden="1" customHeight="1" outlineLevel="1" x14ac:dyDescent="0.25">
      <c r="A92" s="408"/>
      <c r="B92" s="2833"/>
      <c r="C92" s="2834"/>
      <c r="D92" s="2836"/>
      <c r="E92" s="710"/>
      <c r="F92" s="1423" t="s">
        <v>833</v>
      </c>
      <c r="G92" s="1424" t="s">
        <v>835</v>
      </c>
      <c r="H92" s="1426" t="s">
        <v>332</v>
      </c>
      <c r="I92" s="710"/>
      <c r="J92" s="1421"/>
      <c r="K92" s="1422"/>
      <c r="L92" s="1421"/>
      <c r="M92" s="1422"/>
      <c r="N92" s="408"/>
      <c r="O92" s="263"/>
      <c r="P92" s="417"/>
      <c r="Q92" s="264"/>
      <c r="R92" s="408"/>
      <c r="S92" s="265"/>
      <c r="T92" s="417"/>
      <c r="U92" s="266"/>
      <c r="V92" s="408"/>
      <c r="W92" s="266"/>
      <c r="X92" s="417"/>
      <c r="Y92" s="457"/>
      <c r="Z92" s="139"/>
      <c r="AA92" s="227"/>
      <c r="AB92" s="423"/>
    </row>
    <row r="93" spans="1:28" s="237" customFormat="1" ht="24" hidden="1" customHeight="1" outlineLevel="1" x14ac:dyDescent="0.25">
      <c r="A93" s="408"/>
      <c r="B93" s="2833"/>
      <c r="C93" s="2834"/>
      <c r="D93" s="2836"/>
      <c r="E93" s="710"/>
      <c r="F93" s="1473">
        <f>G91</f>
        <v>5</v>
      </c>
      <c r="G93" s="1474">
        <v>30</v>
      </c>
      <c r="H93" s="1475">
        <v>0.05</v>
      </c>
      <c r="I93" s="1309"/>
      <c r="J93" s="1476">
        <f>$L$32*(H91+(G93-F93)*H93)*$B$90*$C$90</f>
        <v>983.37103838473911</v>
      </c>
      <c r="K93" s="1477">
        <f>$M$32*(H91+(G93-F93)*H93)*$B$90*$C$90</f>
        <v>81.947586532061592</v>
      </c>
      <c r="L93" s="1476">
        <f t="shared" ref="L93:M96" si="5">J93*$D$90</f>
        <v>1180.0452460616868</v>
      </c>
      <c r="M93" s="1477">
        <f t="shared" si="5"/>
        <v>98.337103838473908</v>
      </c>
      <c r="N93" s="408"/>
      <c r="O93" s="715">
        <v>0</v>
      </c>
      <c r="P93" s="417"/>
      <c r="Q93" s="261">
        <f>O93*$Q$76*M93+O93*(1-$Q$76)*K93</f>
        <v>0</v>
      </c>
      <c r="R93" s="408"/>
      <c r="S93" s="719">
        <f>IF(AND(Q93&lt;&gt;0,O93&lt;&gt;0),Q93/(1+$D$17+$D$18+$D$19)/O93/30/(($D$25*1000000/$D$8))*1000,0)</f>
        <v>0</v>
      </c>
      <c r="T93" s="417" t="s">
        <v>333</v>
      </c>
      <c r="U93" s="699">
        <f>S93*O93*30*$D$11*(1+$D$24)/1000</f>
        <v>0</v>
      </c>
      <c r="V93" s="408" t="s">
        <v>334</v>
      </c>
      <c r="W93" s="699">
        <f>IF(O93&lt;&gt;0,U93/O93,0)</f>
        <v>0</v>
      </c>
      <c r="X93" s="417" t="s">
        <v>334</v>
      </c>
      <c r="Y93" s="240" t="str">
        <f>IF(O93=0,"-",IF(AND(((F93*(1-$Y$89))&lt;W93),(W93&lt;(G93*(1+$Y$89)))),"OK", "NOK"))</f>
        <v>-</v>
      </c>
      <c r="Z93" s="139"/>
      <c r="AA93" s="227">
        <f>IF(OR(Y93="OK",Y93="-"),1,0)</f>
        <v>1</v>
      </c>
      <c r="AB93" s="423"/>
    </row>
    <row r="94" spans="1:28" s="237" customFormat="1" ht="24" hidden="1" customHeight="1" outlineLevel="1" x14ac:dyDescent="0.25">
      <c r="A94" s="408"/>
      <c r="B94" s="2833"/>
      <c r="C94" s="2834"/>
      <c r="D94" s="2836"/>
      <c r="E94" s="710"/>
      <c r="F94" s="1473">
        <f>G93</f>
        <v>30</v>
      </c>
      <c r="G94" s="1474">
        <v>100</v>
      </c>
      <c r="H94" s="1475">
        <v>0.03</v>
      </c>
      <c r="I94" s="1309"/>
      <c r="J94" s="1476">
        <f>$L$32*(H91+(G93-F93)*H93+(G94-F94)*H94)*$B$90*$C$90</f>
        <v>2274.0455262647092</v>
      </c>
      <c r="K94" s="1477">
        <f>$M$32*(H91+(G93-F93)*H93+(G94-F94)*H94)*$B$90*$C$90</f>
        <v>189.50379385539242</v>
      </c>
      <c r="L94" s="1476">
        <f t="shared" si="5"/>
        <v>2728.8546315176509</v>
      </c>
      <c r="M94" s="1477">
        <f t="shared" si="5"/>
        <v>227.40455262647089</v>
      </c>
      <c r="N94" s="408"/>
      <c r="O94" s="715">
        <v>4</v>
      </c>
      <c r="P94" s="417"/>
      <c r="Q94" s="261">
        <f>O94*$Q$76*M94+O94*(1-$Q$76)*K94</f>
        <v>833.81669296372661</v>
      </c>
      <c r="R94" s="408"/>
      <c r="S94" s="719">
        <f>IF(AND(Q94&lt;&gt;0,O94&lt;&gt;0),Q94/(1+$D$17+$D$18+$D$19)/O94/30/(($D$25*1000000/$D$8))*1000,0)</f>
        <v>18.477095396772761</v>
      </c>
      <c r="T94" s="417" t="s">
        <v>333</v>
      </c>
      <c r="U94" s="699">
        <f>S94*O94*30*$D$11*(1+$D$24)/1000</f>
        <v>348.79358671119593</v>
      </c>
      <c r="V94" s="408" t="s">
        <v>334</v>
      </c>
      <c r="W94" s="699">
        <f>IF(O94&lt;&gt;0,U94/O94,0)</f>
        <v>87.198396677798982</v>
      </c>
      <c r="X94" s="417" t="s">
        <v>334</v>
      </c>
      <c r="Y94" s="240" t="str">
        <f>IF(O94=0,"-",IF(AND(((F94*(1-$Y$89))&lt;W94),(W94&lt;(G94*(1+$Y$89)))),"OK", "NOK"))</f>
        <v>OK</v>
      </c>
      <c r="Z94" s="139"/>
      <c r="AA94" s="227">
        <f>IF(OR(Y94="OK",Y94="-"),1,0)</f>
        <v>1</v>
      </c>
      <c r="AB94" s="423"/>
    </row>
    <row r="95" spans="1:28" s="237" customFormat="1" ht="24" hidden="1" customHeight="1" outlineLevel="1" x14ac:dyDescent="0.25">
      <c r="A95" s="408"/>
      <c r="B95" s="2833"/>
      <c r="C95" s="2834"/>
      <c r="D95" s="2836"/>
      <c r="E95" s="710"/>
      <c r="F95" s="1473">
        <f>G94</f>
        <v>100</v>
      </c>
      <c r="G95" s="1474">
        <v>500</v>
      </c>
      <c r="H95" s="1475">
        <v>0.02</v>
      </c>
      <c r="I95" s="1309"/>
      <c r="J95" s="1476">
        <f>$L$32*(H91+(G93-F93)*H93+(G94-F94)*H94+(G95-F95)*H95)*$B$90*$C$90</f>
        <v>7190.9007181884035</v>
      </c>
      <c r="K95" s="1477">
        <f>$M$32*(H91+(G93-F93)*H93+(G94-F94)*H94+(G95-F95)*H95)*$B$90*$C$90</f>
        <v>599.24172651570029</v>
      </c>
      <c r="L95" s="1476">
        <f t="shared" si="5"/>
        <v>8629.0808618260835</v>
      </c>
      <c r="M95" s="1477">
        <f t="shared" si="5"/>
        <v>719.09007181884033</v>
      </c>
      <c r="N95" s="408"/>
      <c r="O95" s="715">
        <v>1</v>
      </c>
      <c r="P95" s="417"/>
      <c r="Q95" s="261">
        <f>O95*$Q$76*M95+O95*(1-$Q$76)*K95</f>
        <v>659.16589916727025</v>
      </c>
      <c r="R95" s="408"/>
      <c r="S95" s="719">
        <f>IF(AND(Q95&lt;&gt;0,O95&lt;&gt;0),Q95/(1+$D$17+$D$18+$D$19)/O95/30/(($D$25*1000000/$D$8))*1000,0)</f>
        <v>58.427571930335482</v>
      </c>
      <c r="T95" s="417" t="s">
        <v>333</v>
      </c>
      <c r="U95" s="699">
        <f>S95*O95*30*$D$11*(1+$D$24)/1000</f>
        <v>275.73547057574274</v>
      </c>
      <c r="V95" s="408" t="s">
        <v>334</v>
      </c>
      <c r="W95" s="699">
        <f>IF(O95&lt;&gt;0,U95/O95,0)</f>
        <v>275.73547057574274</v>
      </c>
      <c r="X95" s="417" t="s">
        <v>334</v>
      </c>
      <c r="Y95" s="240" t="str">
        <f>IF(O95=0,"-",IF(AND(((F95*(1-$Y$89))&lt;W95),(W95&lt;(G95*(1+$Y$89)))),"OK", "NOK"))</f>
        <v>OK</v>
      </c>
      <c r="Z95" s="139"/>
      <c r="AA95" s="227">
        <f>IF(OR(Y95="OK",Y95="-"),1,0)</f>
        <v>1</v>
      </c>
      <c r="AB95" s="423"/>
    </row>
    <row r="96" spans="1:28" s="237" customFormat="1" ht="24" hidden="1" customHeight="1" outlineLevel="1" x14ac:dyDescent="0.25">
      <c r="A96" s="408"/>
      <c r="B96" s="2833"/>
      <c r="C96" s="2834"/>
      <c r="D96" s="2836"/>
      <c r="E96" s="710"/>
      <c r="F96" s="1473">
        <f>G95</f>
        <v>500</v>
      </c>
      <c r="G96" s="1474">
        <v>1000</v>
      </c>
      <c r="H96" s="1475">
        <v>0.01</v>
      </c>
      <c r="I96" s="1309"/>
      <c r="J96" s="1476">
        <f>$L$32*(H91+(G93-F93)*H93+(G94-F94)*H94+(G95-F95)*H95+(G96-F96)*H96)*$B$90*$C$90</f>
        <v>10263.935213140714</v>
      </c>
      <c r="K96" s="1477">
        <f>$M$32*(H91+(G93-F93)*H93+(G94-F94)*H94+(G95-F95)*H95+(G96-F96)*H96)*$B$90*$C$90</f>
        <v>855.32793442839272</v>
      </c>
      <c r="L96" s="1476">
        <f t="shared" si="5"/>
        <v>12316.722255768856</v>
      </c>
      <c r="M96" s="1477">
        <f t="shared" si="5"/>
        <v>1026.3935213140712</v>
      </c>
      <c r="N96" s="408"/>
      <c r="O96" s="715">
        <v>0</v>
      </c>
      <c r="P96" s="417"/>
      <c r="Q96" s="261">
        <f>O96*$Q$76*M96+O96*(1-$Q$76)*K96</f>
        <v>0</v>
      </c>
      <c r="R96" s="408"/>
      <c r="S96" s="719">
        <f>IF(AND(Q96&lt;&gt;0,O96&lt;&gt;0),Q96/(1+$D$17+$D$18+$D$19)/O96/30/(($D$25*1000000/$D$8))*1000,0)</f>
        <v>0</v>
      </c>
      <c r="T96" s="417" t="s">
        <v>333</v>
      </c>
      <c r="U96" s="699">
        <f>S96*O96*30*$D$11*(1+$D$24)/1000</f>
        <v>0</v>
      </c>
      <c r="V96" s="408" t="s">
        <v>334</v>
      </c>
      <c r="W96" s="699">
        <f>IF(O96&lt;&gt;0,U96/O96,0)</f>
        <v>0</v>
      </c>
      <c r="X96" s="417" t="s">
        <v>334</v>
      </c>
      <c r="Y96" s="262" t="str">
        <f>IF(O96=0,"-",IF(AND(((F96*(1-$Y$89))&lt;W96),(W96&lt;(G96*(1+$Y$89)))),"OK", "NOK"))</f>
        <v>-</v>
      </c>
      <c r="Z96" s="139"/>
      <c r="AA96" s="227">
        <f>IF(OR(Y96="OK",Y96="-"),1,0)</f>
        <v>1</v>
      </c>
      <c r="AB96" s="423"/>
    </row>
    <row r="97" spans="1:27" s="237" customFormat="1" ht="24" hidden="1" customHeight="1" outlineLevel="1" x14ac:dyDescent="0.25">
      <c r="A97" s="408"/>
      <c r="B97" s="139"/>
      <c r="C97" s="227"/>
      <c r="D97" s="139"/>
      <c r="E97" s="139"/>
      <c r="F97" s="139"/>
      <c r="G97" s="139"/>
      <c r="H97" s="227"/>
      <c r="I97" s="139"/>
      <c r="J97" s="227"/>
      <c r="K97" s="227"/>
      <c r="L97" s="227"/>
      <c r="M97" s="227"/>
      <c r="N97" s="227"/>
      <c r="O97" s="227"/>
      <c r="P97" s="227"/>
      <c r="Q97" s="227"/>
      <c r="R97" s="227"/>
      <c r="S97" s="772"/>
      <c r="T97" s="139"/>
      <c r="U97" s="773"/>
      <c r="V97" s="139"/>
      <c r="W97" s="227"/>
      <c r="X97" s="139"/>
      <c r="Y97" s="227"/>
      <c r="Z97" s="259"/>
      <c r="AA97" s="227"/>
    </row>
    <row r="98" spans="1:27" s="237" customFormat="1" ht="24" customHeight="1" x14ac:dyDescent="0.25">
      <c r="A98" s="408"/>
      <c r="B98" s="139"/>
      <c r="C98" s="227"/>
      <c r="D98" s="139"/>
      <c r="E98" s="139"/>
      <c r="F98" s="139"/>
      <c r="G98" s="139"/>
      <c r="H98" s="227"/>
      <c r="I98" s="139"/>
      <c r="J98" s="227"/>
      <c r="K98" s="227"/>
      <c r="L98" s="227"/>
      <c r="M98" s="227"/>
      <c r="N98" s="139"/>
      <c r="O98" s="139"/>
      <c r="P98" s="139"/>
      <c r="Q98" s="139"/>
      <c r="R98" s="139"/>
      <c r="S98" s="139"/>
      <c r="T98" s="139"/>
      <c r="U98" s="774"/>
      <c r="V98" s="139"/>
      <c r="W98" s="227"/>
      <c r="X98" s="139"/>
      <c r="Y98" s="227"/>
      <c r="Z98" s="139"/>
      <c r="AA98" s="139"/>
    </row>
    <row r="99" spans="1:27" ht="14.25" customHeight="1" x14ac:dyDescent="0.25">
      <c r="A99" s="61"/>
      <c r="H99" s="62"/>
      <c r="J99" s="62"/>
      <c r="K99" s="62"/>
      <c r="L99" s="62"/>
      <c r="M99" s="62"/>
      <c r="T99" s="52"/>
      <c r="U99" s="63"/>
      <c r="V99" s="52"/>
    </row>
    <row r="100" spans="1:27" ht="14.25" customHeight="1" x14ac:dyDescent="0.25">
      <c r="A100" s="61"/>
      <c r="H100" s="62"/>
      <c r="J100" s="62"/>
      <c r="K100" s="62"/>
      <c r="L100" s="62"/>
      <c r="M100" s="62"/>
      <c r="T100" s="52"/>
      <c r="U100" s="63"/>
      <c r="V100" s="52"/>
    </row>
    <row r="101" spans="1:27" ht="14.25" customHeight="1" x14ac:dyDescent="0.25">
      <c r="A101" s="61"/>
      <c r="H101" s="62"/>
      <c r="J101" s="62"/>
      <c r="K101" s="62"/>
      <c r="L101" s="62"/>
      <c r="M101" s="62"/>
      <c r="T101" s="52"/>
      <c r="U101" s="63"/>
      <c r="V101" s="52"/>
    </row>
    <row r="102" spans="1:27" ht="14.25" customHeight="1" x14ac:dyDescent="0.25">
      <c r="A102" s="61"/>
      <c r="H102" s="62"/>
      <c r="J102" s="62"/>
      <c r="K102" s="62"/>
      <c r="L102" s="62"/>
      <c r="M102" s="62"/>
      <c r="T102" s="52"/>
      <c r="U102" s="63"/>
      <c r="V102" s="52"/>
    </row>
    <row r="103" spans="1:27" ht="14.25" customHeight="1" x14ac:dyDescent="0.25">
      <c r="A103" s="61"/>
      <c r="H103" s="62"/>
      <c r="J103" s="62"/>
      <c r="K103" s="62"/>
      <c r="L103" s="62"/>
      <c r="M103" s="62"/>
      <c r="T103" s="52"/>
      <c r="U103" s="63"/>
      <c r="V103" s="52"/>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1" customWidth="1"/>
    <col min="2" max="2" width="55.7109375" style="61" customWidth="1"/>
    <col min="3" max="3" width="10.7109375" style="61" customWidth="1"/>
    <col min="4" max="4" width="11.140625" style="61" bestFit="1" customWidth="1"/>
    <col min="5" max="5" width="18.28515625" style="61" customWidth="1"/>
    <col min="6" max="8" width="23.28515625" style="61" customWidth="1"/>
    <col min="9" max="9" width="10.7109375" style="61" customWidth="1"/>
    <col min="10" max="10" width="15.7109375" style="61" customWidth="1"/>
    <col min="11" max="12" width="18.28515625" style="61" customWidth="1"/>
    <col min="13" max="13" width="10.42578125" style="61" customWidth="1"/>
    <col min="14" max="14" width="15.42578125" style="61" customWidth="1"/>
    <col min="15" max="15" width="18.42578125" style="61" customWidth="1"/>
    <col min="16" max="16" width="14.7109375" style="61" customWidth="1"/>
    <col min="17" max="17" width="11.42578125" style="61" customWidth="1"/>
    <col min="18" max="18" width="13.28515625" style="61" customWidth="1"/>
    <col min="19" max="52" width="11.42578125" style="61" customWidth="1"/>
    <col min="53" max="54" width="10.42578125" style="61" customWidth="1"/>
    <col min="55" max="55" width="10.28515625" style="61" customWidth="1"/>
    <col min="56" max="58" width="8.42578125" style="61" customWidth="1"/>
    <col min="59" max="16384" width="14.42578125" style="61"/>
  </cols>
  <sheetData>
    <row r="1" spans="1:20" ht="4.9000000000000004" customHeight="1" x14ac:dyDescent="0.25">
      <c r="A1" s="61" t="s">
        <v>1005</v>
      </c>
      <c r="R1" s="62"/>
    </row>
    <row r="2" spans="1:20" s="192" customFormat="1" ht="25.15" customHeight="1" x14ac:dyDescent="0.25">
      <c r="B2" s="2881" t="s">
        <v>777</v>
      </c>
      <c r="C2" s="2881"/>
      <c r="D2" s="2881"/>
      <c r="F2" s="268"/>
      <c r="G2" s="268"/>
      <c r="H2" s="268"/>
      <c r="I2" s="1379" t="s">
        <v>424</v>
      </c>
      <c r="J2" s="1380"/>
      <c r="K2" s="1380"/>
      <c r="L2" s="268"/>
      <c r="M2" s="1494"/>
      <c r="N2" s="1495"/>
      <c r="O2" s="268"/>
      <c r="P2" s="268"/>
      <c r="Q2" s="268"/>
      <c r="R2" s="268"/>
      <c r="S2" s="268"/>
      <c r="T2" s="268"/>
    </row>
    <row r="3" spans="1:20" s="192" customFormat="1" ht="19.899999999999999" customHeight="1" x14ac:dyDescent="0.25">
      <c r="B3" s="2881"/>
      <c r="C3" s="2881"/>
      <c r="D3" s="2881"/>
      <c r="F3" s="268"/>
      <c r="G3" s="268"/>
      <c r="H3" s="268"/>
      <c r="I3" s="1380" t="str">
        <f>Apresentação!I2</f>
        <v>RC-RSU V.1.0 - 15/10/2020</v>
      </c>
      <c r="J3" s="1380"/>
      <c r="K3" s="1380"/>
      <c r="L3" s="268"/>
      <c r="M3" s="683"/>
      <c r="N3" s="1496"/>
      <c r="O3" s="268"/>
      <c r="P3" s="268"/>
      <c r="Q3" s="268"/>
      <c r="R3" s="268"/>
      <c r="S3" s="268"/>
      <c r="T3" s="268"/>
    </row>
    <row r="4" spans="1:20" s="192" customFormat="1" ht="19.899999999999999" customHeight="1" x14ac:dyDescent="0.25">
      <c r="B4" s="2881"/>
      <c r="C4" s="2881"/>
      <c r="D4" s="2881"/>
      <c r="F4" s="1264"/>
      <c r="G4" s="1264"/>
      <c r="H4" s="1264"/>
      <c r="I4" s="1264"/>
      <c r="J4" s="1264"/>
      <c r="K4" s="1264"/>
      <c r="L4" s="1264"/>
      <c r="M4" s="683"/>
      <c r="N4" s="1497"/>
      <c r="O4" s="1264"/>
      <c r="P4" s="1264"/>
      <c r="Q4" s="1264"/>
      <c r="R4" s="1264"/>
      <c r="S4" s="1264"/>
      <c r="T4" s="268"/>
    </row>
    <row r="5" spans="1:20" s="192" customFormat="1" ht="12.4" customHeight="1" thickBot="1" x14ac:dyDescent="0.3">
      <c r="F5" s="1264"/>
      <c r="G5" s="1264"/>
      <c r="H5" s="1264"/>
      <c r="I5" s="1264"/>
      <c r="J5" s="1264"/>
      <c r="K5" s="1264"/>
      <c r="L5" s="1264"/>
      <c r="M5" s="1264"/>
      <c r="N5" s="1264"/>
      <c r="O5" s="1264"/>
      <c r="P5" s="1264"/>
      <c r="Q5" s="1264"/>
      <c r="R5" s="1264"/>
      <c r="S5" s="1381"/>
      <c r="T5" s="268"/>
    </row>
    <row r="6" spans="1:20" s="1281" customFormat="1" ht="19.899999999999999" customHeight="1" thickTop="1" thickBot="1" x14ac:dyDescent="0.3">
      <c r="B6" s="1682" t="s">
        <v>778</v>
      </c>
      <c r="C6" s="1693" t="s">
        <v>1007</v>
      </c>
      <c r="D6" s="1724" t="s">
        <v>1006</v>
      </c>
      <c r="E6" s="1277"/>
      <c r="F6" s="2878" t="s">
        <v>340</v>
      </c>
      <c r="G6" s="2879"/>
      <c r="H6" s="2880"/>
      <c r="I6" s="1278"/>
      <c r="J6" s="1278"/>
      <c r="K6" s="1278"/>
      <c r="L6" s="1278"/>
      <c r="M6" s="1278"/>
      <c r="N6" s="1278"/>
      <c r="O6" s="1278"/>
      <c r="P6" s="1278"/>
      <c r="Q6" s="1278"/>
      <c r="R6" s="1278"/>
      <c r="S6" s="1279"/>
      <c r="T6" s="1280"/>
    </row>
    <row r="7" spans="1:20" s="1283" customFormat="1" ht="19.899999999999999" customHeight="1" outlineLevel="1" thickTop="1" thickBot="1" x14ac:dyDescent="0.3">
      <c r="B7" s="1670" t="s">
        <v>610</v>
      </c>
      <c r="C7" s="1694" t="s">
        <v>240</v>
      </c>
      <c r="D7" s="1725" t="s">
        <v>240</v>
      </c>
      <c r="E7" s="1283" t="s">
        <v>194</v>
      </c>
      <c r="F7" s="1400"/>
      <c r="G7" s="1401" t="s">
        <v>341</v>
      </c>
      <c r="H7" s="1729" t="s">
        <v>342</v>
      </c>
      <c r="I7" s="1284"/>
      <c r="J7" s="1284"/>
      <c r="K7" s="1284"/>
      <c r="L7" s="1285"/>
      <c r="M7" s="1285"/>
      <c r="N7" s="1284"/>
      <c r="O7" s="1284"/>
      <c r="P7" s="1284"/>
      <c r="Q7" s="1284"/>
      <c r="R7" s="1284"/>
      <c r="S7" s="1286"/>
      <c r="T7" s="1284"/>
    </row>
    <row r="8" spans="1:20" s="192" customFormat="1" ht="17.649999999999999" customHeight="1" outlineLevel="1" thickTop="1" x14ac:dyDescent="0.25">
      <c r="B8" s="1671" t="s">
        <v>611</v>
      </c>
      <c r="C8" s="1695">
        <f>'R&amp;C-Painel de Controle'!D27</f>
        <v>4.7000000000000002E-3</v>
      </c>
      <c r="D8" s="1677">
        <f>C8</f>
        <v>4.7000000000000002E-3</v>
      </c>
      <c r="E8" s="192" t="s">
        <v>194</v>
      </c>
      <c r="F8" s="1710" t="s">
        <v>344</v>
      </c>
      <c r="G8" s="1711">
        <f>SUMIF(C33:BC33,1,C159:BC159)</f>
        <v>-0.54995112764785592</v>
      </c>
      <c r="H8" s="1712">
        <f>SUMIF(C33:BC33,1,C178:BC178)</f>
        <v>-0.56903296952705951</v>
      </c>
      <c r="I8" s="268"/>
      <c r="J8" s="268"/>
      <c r="K8" s="268"/>
      <c r="L8" s="268"/>
      <c r="M8" s="268"/>
      <c r="N8" s="268"/>
      <c r="O8" s="268"/>
      <c r="P8" s="268"/>
      <c r="Q8" s="268"/>
      <c r="R8" s="268"/>
      <c r="S8" s="270"/>
      <c r="T8" s="268"/>
    </row>
    <row r="9" spans="1:20" s="192" customFormat="1" ht="17.649999999999999" customHeight="1" outlineLevel="1" x14ac:dyDescent="0.25">
      <c r="B9" s="1671" t="s">
        <v>343</v>
      </c>
      <c r="C9" s="1696">
        <v>0</v>
      </c>
      <c r="D9" s="1678">
        <f>C9</f>
        <v>0</v>
      </c>
      <c r="F9" s="1713" t="s">
        <v>345</v>
      </c>
      <c r="G9" s="1714">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-1.5314811262756578E-4</v>
      </c>
      <c r="H9" s="1715">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0.44949608207223823</v>
      </c>
      <c r="I9" s="271"/>
      <c r="J9" s="271"/>
      <c r="K9" s="268"/>
      <c r="L9" s="268"/>
      <c r="M9" s="268"/>
      <c r="N9" s="268"/>
      <c r="O9" s="268"/>
      <c r="P9" s="268"/>
      <c r="Q9" s="268"/>
      <c r="R9" s="268"/>
      <c r="S9" s="270"/>
      <c r="T9" s="268"/>
    </row>
    <row r="10" spans="1:20" s="192" customFormat="1" ht="17.649999999999999" customHeight="1" outlineLevel="1" x14ac:dyDescent="0.25">
      <c r="B10" s="1671" t="s">
        <v>912</v>
      </c>
      <c r="C10" s="1697">
        <v>0.05</v>
      </c>
      <c r="D10" s="1679">
        <f>C10</f>
        <v>0.05</v>
      </c>
      <c r="E10" s="192" t="s">
        <v>194</v>
      </c>
      <c r="F10" s="1713" t="s">
        <v>346</v>
      </c>
      <c r="G10" s="1714">
        <f>G9-C28</f>
        <v>-9.7553148112627566E-2</v>
      </c>
      <c r="H10" s="1715">
        <f>H9-C28</f>
        <v>0.35209608207223825</v>
      </c>
      <c r="I10" s="268"/>
      <c r="J10" s="273"/>
      <c r="K10" s="268"/>
      <c r="L10" s="268"/>
      <c r="M10" s="268"/>
      <c r="N10" s="268"/>
      <c r="O10" s="268"/>
      <c r="P10" s="268"/>
      <c r="Q10" s="268"/>
      <c r="R10" s="268"/>
      <c r="S10" s="270"/>
      <c r="T10" s="268"/>
    </row>
    <row r="11" spans="1:20" s="192" customFormat="1" ht="19.899999999999999" customHeight="1" outlineLevel="1" thickBot="1" x14ac:dyDescent="0.3">
      <c r="B11" s="1671" t="s">
        <v>913</v>
      </c>
      <c r="C11" s="1697">
        <v>0.12</v>
      </c>
      <c r="D11" s="1679">
        <f>C11</f>
        <v>0.12</v>
      </c>
      <c r="E11" s="192" t="s">
        <v>194</v>
      </c>
      <c r="F11" s="1713" t="s">
        <v>347</v>
      </c>
      <c r="G11" s="1716">
        <f>SUMIF(C33:BC33,1,C63:BC63)</f>
        <v>311.76528420469043</v>
      </c>
      <c r="H11" s="1717">
        <f>SUMIF(C33:BC33,1,C63:BC63)</f>
        <v>311.76528420469043</v>
      </c>
      <c r="I11" s="273"/>
      <c r="J11" s="273"/>
      <c r="K11" s="268"/>
      <c r="L11" s="268"/>
      <c r="M11" s="268"/>
      <c r="N11" s="268"/>
      <c r="O11" s="268"/>
      <c r="P11" s="268"/>
      <c r="Q11" s="268"/>
      <c r="R11" s="268"/>
      <c r="S11" s="270"/>
      <c r="T11" s="268"/>
    </row>
    <row r="12" spans="1:20" s="192" customFormat="1" ht="19.899999999999999" customHeight="1" outlineLevel="1" thickTop="1" thickBot="1" x14ac:dyDescent="0.3">
      <c r="B12" s="1672" t="s">
        <v>779</v>
      </c>
      <c r="C12" s="1698" t="s">
        <v>1007</v>
      </c>
      <c r="D12" s="1726" t="s">
        <v>1006</v>
      </c>
      <c r="F12" s="1713" t="s">
        <v>348</v>
      </c>
      <c r="G12" s="1714">
        <f>G8/G11</f>
        <v>-1.7639909108250291E-3</v>
      </c>
      <c r="H12" s="1715">
        <f>H8/H11</f>
        <v>-1.825196705202941E-3</v>
      </c>
      <c r="I12" s="273"/>
      <c r="J12" s="273"/>
      <c r="K12" s="268"/>
      <c r="L12" s="268"/>
      <c r="M12" s="268"/>
      <c r="N12" s="268"/>
      <c r="O12" s="268"/>
      <c r="P12" s="268"/>
      <c r="Q12" s="268"/>
      <c r="R12" s="268"/>
      <c r="S12" s="270"/>
      <c r="T12" s="268"/>
    </row>
    <row r="13" spans="1:20" s="192" customFormat="1" ht="17.649999999999999" customHeight="1" outlineLevel="1" x14ac:dyDescent="0.25">
      <c r="B13" s="1673" t="s">
        <v>447</v>
      </c>
      <c r="C13" s="1699" t="s">
        <v>240</v>
      </c>
      <c r="D13" s="1725" t="s">
        <v>240</v>
      </c>
      <c r="F13" s="1718" t="s">
        <v>349</v>
      </c>
      <c r="G13" s="1719">
        <f>IF(G8&lt;0,SUM(C164:BC164),SUM(C164:BC164))</f>
        <v>35.069838227445821</v>
      </c>
      <c r="H13" s="1720">
        <f>IF(H8&lt;0,SUM(C183:BC183),SUM(C183:BC183))</f>
        <v>35.048421075140865</v>
      </c>
      <c r="I13" s="271"/>
      <c r="J13" s="271"/>
      <c r="K13" s="268"/>
      <c r="L13" s="268"/>
      <c r="M13" s="268"/>
      <c r="N13" s="268"/>
      <c r="O13" s="268"/>
      <c r="P13" s="268"/>
      <c r="Q13" s="268"/>
      <c r="R13" s="268"/>
      <c r="S13" s="270"/>
      <c r="T13" s="268"/>
    </row>
    <row r="14" spans="1:20" s="192" customFormat="1" ht="19.899999999999999" customHeight="1" outlineLevel="1" thickBot="1" x14ac:dyDescent="0.3">
      <c r="B14" s="1671" t="s">
        <v>612</v>
      </c>
      <c r="C14" s="1700">
        <v>0.7</v>
      </c>
      <c r="D14" s="1692">
        <v>0.3</v>
      </c>
      <c r="E14" s="192" t="s">
        <v>194</v>
      </c>
      <c r="F14" s="1721" t="s">
        <v>613</v>
      </c>
      <c r="G14" s="1722">
        <f>(SUMIF(C33:BC33,1,C159:BC159)+SUMIF(C33:BC33,1,C63:BC63))/SUMIF(C33:BC33,1,C63:BC63)</f>
        <v>0.99823600908917509</v>
      </c>
      <c r="H14" s="1723">
        <f>(SUMIF(C33:BC33,1,C178:BC178)+SUMIF(C33:BC33,1,C63:BC63))/SUMIF(C33:BC33,1,C63:BC63)</f>
        <v>0.99817480329479702</v>
      </c>
      <c r="I14" s="271"/>
      <c r="J14" s="271"/>
      <c r="K14" s="268"/>
      <c r="L14" s="268"/>
      <c r="M14" s="268"/>
      <c r="N14" s="268"/>
      <c r="O14" s="268"/>
      <c r="P14" s="268"/>
      <c r="Q14" s="268"/>
      <c r="R14" s="268"/>
      <c r="S14" s="270"/>
      <c r="T14" s="268"/>
    </row>
    <row r="15" spans="1:20" s="192" customFormat="1" ht="4.9000000000000004" customHeight="1" outlineLevel="1" thickTop="1" thickBot="1" x14ac:dyDescent="0.3">
      <c r="B15" s="1274"/>
      <c r="C15" s="1701"/>
      <c r="D15" s="1680"/>
      <c r="F15" s="1261"/>
      <c r="G15" s="1262"/>
      <c r="H15" s="1263"/>
      <c r="I15" s="271"/>
      <c r="J15" s="271"/>
      <c r="K15" s="268"/>
      <c r="L15" s="268"/>
      <c r="M15" s="268"/>
      <c r="N15" s="268"/>
      <c r="O15" s="268"/>
      <c r="P15" s="268"/>
      <c r="Q15" s="268"/>
      <c r="R15" s="268"/>
      <c r="S15" s="270"/>
      <c r="T15" s="268"/>
    </row>
    <row r="16" spans="1:20" s="1287" customFormat="1" ht="40.15" customHeight="1" outlineLevel="1" thickTop="1" thickBot="1" x14ac:dyDescent="0.3">
      <c r="B16" s="1674" t="s">
        <v>709</v>
      </c>
      <c r="C16" s="1746">
        <v>0.125</v>
      </c>
      <c r="D16" s="1747">
        <v>0.125</v>
      </c>
      <c r="E16" s="192" t="s">
        <v>350</v>
      </c>
      <c r="F16" s="2892" t="s">
        <v>780</v>
      </c>
      <c r="G16" s="1733" t="s">
        <v>261</v>
      </c>
      <c r="H16" s="1727" t="s">
        <v>351</v>
      </c>
      <c r="I16" s="1684"/>
      <c r="J16" s="1683"/>
      <c r="K16" s="1288"/>
      <c r="L16" s="1288"/>
      <c r="M16" s="1288"/>
      <c r="N16" s="1288"/>
      <c r="O16" s="1288"/>
      <c r="P16" s="1288"/>
      <c r="Q16" s="1288"/>
      <c r="R16" s="1288"/>
      <c r="S16" s="1289"/>
      <c r="T16" s="1288"/>
    </row>
    <row r="17" spans="1:58" s="192" customFormat="1" ht="17.649999999999999" customHeight="1" outlineLevel="1" thickTop="1" x14ac:dyDescent="0.25">
      <c r="B17" s="1675" t="s">
        <v>782</v>
      </c>
      <c r="C17" s="1702" t="s">
        <v>240</v>
      </c>
      <c r="D17" s="1727" t="s">
        <v>240</v>
      </c>
      <c r="E17" s="1287"/>
      <c r="F17" s="2893"/>
      <c r="G17" s="2896" t="s">
        <v>781</v>
      </c>
      <c r="H17" s="2898"/>
      <c r="I17" s="1685"/>
      <c r="J17" s="1686"/>
      <c r="K17" s="268"/>
      <c r="L17" s="268"/>
      <c r="M17" s="268"/>
      <c r="N17" s="268"/>
      <c r="O17" s="268"/>
      <c r="P17" s="268"/>
      <c r="Q17" s="268"/>
      <c r="R17" s="268"/>
      <c r="S17" s="270"/>
      <c r="T17" s="268"/>
    </row>
    <row r="18" spans="1:58" s="192" customFormat="1" ht="17.649999999999999" customHeight="1" outlineLevel="1" x14ac:dyDescent="0.25">
      <c r="B18" s="1671" t="s">
        <v>614</v>
      </c>
      <c r="C18" s="1703">
        <f>1-C14</f>
        <v>0.30000000000000004</v>
      </c>
      <c r="D18" s="1828">
        <f>1-D14</f>
        <v>0.7</v>
      </c>
      <c r="E18" s="192" t="s">
        <v>194</v>
      </c>
      <c r="F18" s="2893"/>
      <c r="G18" s="2897"/>
      <c r="H18" s="2899"/>
      <c r="I18" s="1689"/>
      <c r="J18" s="1264"/>
      <c r="K18" s="268"/>
      <c r="L18" s="268"/>
      <c r="M18" s="268"/>
      <c r="N18" s="268"/>
      <c r="O18" s="268"/>
      <c r="P18" s="268"/>
      <c r="Q18" s="268"/>
      <c r="R18" s="268"/>
      <c r="S18" s="270"/>
    </row>
    <row r="19" spans="1:58" s="192" customFormat="1" ht="2.65" customHeight="1" outlineLevel="1" x14ac:dyDescent="0.25">
      <c r="B19" s="1274"/>
      <c r="C19" s="1701"/>
      <c r="D19" s="1680"/>
      <c r="F19" s="2893"/>
      <c r="G19" s="1669"/>
      <c r="H19" s="1730"/>
      <c r="I19" s="1690"/>
      <c r="J19" s="268"/>
      <c r="K19" s="268"/>
      <c r="L19" s="268"/>
      <c r="M19" s="268"/>
      <c r="N19" s="268"/>
      <c r="O19" s="268"/>
      <c r="P19" s="268"/>
      <c r="Q19" s="268"/>
      <c r="R19" s="268"/>
      <c r="S19" s="270"/>
    </row>
    <row r="20" spans="1:58" s="192" customFormat="1" ht="17.649999999999999" customHeight="1" outlineLevel="1" x14ac:dyDescent="0.25">
      <c r="B20" s="1671" t="s">
        <v>710</v>
      </c>
      <c r="C20" s="1744" t="s">
        <v>1010</v>
      </c>
      <c r="D20" s="1745" t="s">
        <v>1010</v>
      </c>
      <c r="F20" s="2893"/>
      <c r="G20" s="1268">
        <v>0.05</v>
      </c>
      <c r="H20" s="1269">
        <v>4.3499999999999997E-2</v>
      </c>
      <c r="I20" s="1687"/>
      <c r="J20" s="1264"/>
      <c r="K20" s="268"/>
      <c r="L20" s="268"/>
      <c r="M20" s="268"/>
      <c r="N20" s="268"/>
      <c r="O20" s="268"/>
      <c r="P20" s="268"/>
      <c r="Q20" s="268"/>
      <c r="R20" s="268"/>
      <c r="S20" s="270"/>
      <c r="T20" s="268"/>
    </row>
    <row r="21" spans="1:58" s="192" customFormat="1" ht="17.649999999999999" customHeight="1" outlineLevel="1" x14ac:dyDescent="0.25">
      <c r="B21" s="1671" t="s">
        <v>615</v>
      </c>
      <c r="C21" s="1704">
        <v>0.05</v>
      </c>
      <c r="D21" s="1826">
        <v>0.05</v>
      </c>
      <c r="E21" s="192" t="s">
        <v>350</v>
      </c>
      <c r="F21" s="2893"/>
      <c r="G21" s="1270">
        <v>20</v>
      </c>
      <c r="H21" s="1271">
        <v>20</v>
      </c>
      <c r="I21" s="1688"/>
      <c r="J21" s="1264"/>
      <c r="K21" s="268"/>
      <c r="L21" s="268"/>
      <c r="M21" s="268"/>
      <c r="N21" s="268"/>
      <c r="O21" s="268"/>
      <c r="P21" s="268"/>
      <c r="Q21" s="268"/>
      <c r="R21" s="268"/>
      <c r="S21" s="270"/>
      <c r="T21" s="268"/>
    </row>
    <row r="22" spans="1:58" s="192" customFormat="1" ht="17.649999999999999" customHeight="1" outlineLevel="1" x14ac:dyDescent="0.25">
      <c r="B22" s="1691" t="s">
        <v>616</v>
      </c>
      <c r="C22" s="1705">
        <v>20</v>
      </c>
      <c r="D22" s="1827">
        <v>20</v>
      </c>
      <c r="E22" s="192" t="s">
        <v>339</v>
      </c>
      <c r="F22" s="2893"/>
      <c r="G22" s="1270">
        <v>2</v>
      </c>
      <c r="H22" s="1271">
        <v>2</v>
      </c>
      <c r="I22" s="1688"/>
      <c r="J22" s="1264"/>
      <c r="K22" s="268"/>
      <c r="L22" s="268"/>
      <c r="M22" s="268"/>
      <c r="N22" s="268"/>
      <c r="O22" s="268"/>
      <c r="P22" s="268"/>
      <c r="Q22" s="268"/>
      <c r="R22" s="268"/>
      <c r="S22" s="270"/>
      <c r="T22" s="268"/>
    </row>
    <row r="23" spans="1:58" s="192" customFormat="1" ht="17.649999999999999" customHeight="1" outlineLevel="1" thickBot="1" x14ac:dyDescent="0.3">
      <c r="B23" s="1691" t="s">
        <v>617</v>
      </c>
      <c r="C23" s="1705">
        <v>2</v>
      </c>
      <c r="D23" s="1827">
        <v>2</v>
      </c>
      <c r="E23" s="192" t="s">
        <v>339</v>
      </c>
      <c r="F23" s="2894"/>
      <c r="G23" s="1272">
        <v>4.3499999999999997E-2</v>
      </c>
      <c r="H23" s="1273">
        <v>4.3499999999999997E-2</v>
      </c>
      <c r="I23" s="1687"/>
      <c r="J23" s="1264"/>
      <c r="K23" s="268"/>
      <c r="L23" s="268"/>
      <c r="M23" s="268"/>
      <c r="N23" s="268"/>
      <c r="O23" s="268"/>
      <c r="P23" s="268"/>
      <c r="Q23" s="268"/>
      <c r="R23" s="268"/>
      <c r="S23" s="270"/>
      <c r="T23" s="268"/>
    </row>
    <row r="24" spans="1:58" s="192" customFormat="1" ht="17.649999999999999" customHeight="1" outlineLevel="1" thickTop="1" thickBot="1" x14ac:dyDescent="0.3">
      <c r="B24" s="1691" t="s">
        <v>618</v>
      </c>
      <c r="C24" s="1704">
        <v>4.3499999999999997E-2</v>
      </c>
      <c r="D24" s="1826">
        <v>4.3499999999999997E-2</v>
      </c>
      <c r="E24" s="192" t="s">
        <v>350</v>
      </c>
      <c r="I24" s="268"/>
      <c r="J24" s="268"/>
      <c r="K24" s="268"/>
      <c r="L24" s="268"/>
      <c r="M24" s="268"/>
      <c r="N24" s="268"/>
      <c r="O24" s="268"/>
      <c r="P24" s="268"/>
      <c r="Q24" s="268"/>
      <c r="R24" s="268"/>
      <c r="S24" s="270"/>
      <c r="T24" s="268"/>
    </row>
    <row r="25" spans="1:58" s="192" customFormat="1" ht="17.649999999999999" customHeight="1" outlineLevel="1" thickTop="1" thickBot="1" x14ac:dyDescent="0.3">
      <c r="B25" s="1671" t="s">
        <v>711</v>
      </c>
      <c r="C25" s="1706">
        <v>0.09</v>
      </c>
      <c r="D25" s="1679">
        <f>C25</f>
        <v>0.09</v>
      </c>
      <c r="E25" s="192" t="s">
        <v>194</v>
      </c>
      <c r="F25" s="1731" t="s">
        <v>783</v>
      </c>
      <c r="G25" s="1732"/>
      <c r="H25" s="1732"/>
      <c r="I25" s="1667"/>
      <c r="J25" s="1667"/>
      <c r="K25" s="1667"/>
      <c r="L25" s="1667"/>
      <c r="M25" s="1667"/>
      <c r="N25" s="1667"/>
      <c r="O25" s="1667"/>
      <c r="P25" s="1667"/>
      <c r="Q25" s="1667"/>
      <c r="R25" s="1667"/>
      <c r="S25" s="1668"/>
      <c r="T25" s="268"/>
    </row>
    <row r="26" spans="1:58" s="192" customFormat="1" ht="17.649999999999999" customHeight="1" outlineLevel="1" thickTop="1" thickBot="1" x14ac:dyDescent="0.3">
      <c r="B26" s="1676" t="s">
        <v>712</v>
      </c>
      <c r="C26" s="1707">
        <v>0.25</v>
      </c>
      <c r="D26" s="1679">
        <f>C26</f>
        <v>0.25</v>
      </c>
      <c r="E26" s="192" t="s">
        <v>194</v>
      </c>
      <c r="F26" s="2895" t="s">
        <v>1008</v>
      </c>
      <c r="G26" s="2887"/>
      <c r="H26" s="1265">
        <f>'R&amp;C-Painel de Controle'!D33</f>
        <v>292.94394556662456</v>
      </c>
      <c r="I26" s="1395" t="s">
        <v>246</v>
      </c>
      <c r="J26" s="1394"/>
      <c r="K26" s="2886" t="s">
        <v>604</v>
      </c>
      <c r="L26" s="2887"/>
      <c r="M26" s="1266">
        <f>G8</f>
        <v>-0.54995112764785592</v>
      </c>
      <c r="N26" s="1395" t="s">
        <v>255</v>
      </c>
      <c r="O26" s="2876" t="s">
        <v>605</v>
      </c>
      <c r="P26" s="2876"/>
      <c r="Q26" s="2877"/>
      <c r="R26" s="1267">
        <f>G14</f>
        <v>0.99823600908917509</v>
      </c>
      <c r="S26" s="1397" t="s">
        <v>194</v>
      </c>
      <c r="T26" s="268"/>
    </row>
    <row r="27" spans="1:58" s="192" customFormat="1" ht="19.899999999999999" customHeight="1" outlineLevel="1" thickTop="1" x14ac:dyDescent="0.25">
      <c r="B27" s="1672" t="s">
        <v>352</v>
      </c>
      <c r="C27" s="1708" t="s">
        <v>240</v>
      </c>
      <c r="D27" s="1728" t="s">
        <v>240</v>
      </c>
      <c r="F27" s="2891" t="s">
        <v>606</v>
      </c>
      <c r="G27" s="2889"/>
      <c r="H27" s="735">
        <f>'R&amp;C-Painel de Controle'!D32</f>
        <v>35</v>
      </c>
      <c r="I27" s="1396" t="s">
        <v>339</v>
      </c>
      <c r="J27" s="1274"/>
      <c r="K27" s="2888" t="s">
        <v>607</v>
      </c>
      <c r="L27" s="2889"/>
      <c r="M27" s="736">
        <f>G9</f>
        <v>-1.5314811262756578E-4</v>
      </c>
      <c r="N27" s="1396" t="s">
        <v>194</v>
      </c>
      <c r="O27" s="1274"/>
      <c r="P27" s="1398"/>
      <c r="Q27" s="749"/>
      <c r="R27" s="749"/>
      <c r="S27" s="1399"/>
      <c r="T27" s="268"/>
    </row>
    <row r="28" spans="1:58" s="192" customFormat="1" ht="18" customHeight="1" outlineLevel="1" thickBot="1" x14ac:dyDescent="0.3">
      <c r="B28" s="1676" t="s">
        <v>619</v>
      </c>
      <c r="C28" s="1709">
        <f>C14*C16+C18*C21*(1-(C25+C26))</f>
        <v>9.74E-2</v>
      </c>
      <c r="D28" s="1681">
        <f>D14*D16+D18*D21*(1-(D25+D26))</f>
        <v>6.0600000000000001E-2</v>
      </c>
      <c r="E28" s="192" t="s">
        <v>350</v>
      </c>
      <c r="F28" s="2882" t="s">
        <v>608</v>
      </c>
      <c r="G28" s="2883"/>
      <c r="H28" s="1734">
        <f>H26*('R&amp;C-Painel de Controle'!D7*30/'R&amp;C-Painel de Controle'!D6)</f>
        <v>9.9915264512672088</v>
      </c>
      <c r="I28" s="1735" t="s">
        <v>250</v>
      </c>
      <c r="J28" s="1274"/>
      <c r="K28" s="2890" t="s">
        <v>609</v>
      </c>
      <c r="L28" s="2883"/>
      <c r="M28" s="1736">
        <f>G13</f>
        <v>35.069838227445821</v>
      </c>
      <c r="N28" s="1396" t="s">
        <v>339</v>
      </c>
      <c r="O28" s="1274"/>
      <c r="P28" s="1274"/>
      <c r="Q28" s="1274"/>
      <c r="R28" s="1274"/>
      <c r="S28" s="1399"/>
      <c r="T28" s="268"/>
    </row>
    <row r="29" spans="1:58" s="192" customFormat="1" ht="18" customHeight="1" outlineLevel="1" thickTop="1" thickBot="1" x14ac:dyDescent="0.3">
      <c r="B29" s="290"/>
      <c r="F29" s="2884" t="s">
        <v>1009</v>
      </c>
      <c r="G29" s="2885"/>
      <c r="H29" s="1737">
        <f>'R&amp;C-Painel de Controle'!H33</f>
        <v>318.85362727861343</v>
      </c>
      <c r="I29" s="1738" t="s">
        <v>246</v>
      </c>
      <c r="J29" s="1739"/>
      <c r="K29" s="1739"/>
      <c r="L29" s="1739"/>
      <c r="M29" s="1739"/>
      <c r="N29" s="1739"/>
      <c r="O29" s="1739"/>
      <c r="P29" s="1739"/>
      <c r="Q29" s="1739"/>
      <c r="R29" s="1739"/>
      <c r="S29" s="1740"/>
    </row>
    <row r="30" spans="1:58" s="192" customFormat="1" ht="18" customHeight="1" thickTop="1" x14ac:dyDescent="0.25">
      <c r="B30" s="290"/>
      <c r="R30" s="274"/>
    </row>
    <row r="31" spans="1:58" s="192" customFormat="1" ht="27" customHeight="1" x14ac:dyDescent="0.25">
      <c r="B31" s="595" t="s">
        <v>353</v>
      </c>
      <c r="C31" s="1275">
        <f t="shared" ref="C31:BC31" si="0">IF(AND(C33=1,D33=0,B33=1),1,0)</f>
        <v>0</v>
      </c>
      <c r="D31" s="274">
        <f t="shared" si="0"/>
        <v>0</v>
      </c>
      <c r="E31" s="274">
        <f t="shared" si="0"/>
        <v>0</v>
      </c>
      <c r="F31" s="274">
        <f t="shared" si="0"/>
        <v>0</v>
      </c>
      <c r="G31" s="274">
        <f t="shared" si="0"/>
        <v>0</v>
      </c>
      <c r="H31" s="274">
        <f t="shared" si="0"/>
        <v>0</v>
      </c>
      <c r="I31" s="274">
        <f t="shared" si="0"/>
        <v>0</v>
      </c>
      <c r="J31" s="274">
        <f t="shared" si="0"/>
        <v>0</v>
      </c>
      <c r="K31" s="274">
        <f t="shared" si="0"/>
        <v>0</v>
      </c>
      <c r="L31" s="274">
        <f t="shared" si="0"/>
        <v>0</v>
      </c>
      <c r="M31" s="274">
        <f t="shared" si="0"/>
        <v>0</v>
      </c>
      <c r="N31" s="274">
        <f t="shared" si="0"/>
        <v>0</v>
      </c>
      <c r="O31" s="274">
        <f t="shared" si="0"/>
        <v>0</v>
      </c>
      <c r="P31" s="274">
        <f t="shared" si="0"/>
        <v>0</v>
      </c>
      <c r="Q31" s="274">
        <f t="shared" si="0"/>
        <v>0</v>
      </c>
      <c r="R31" s="274">
        <f t="shared" si="0"/>
        <v>0</v>
      </c>
      <c r="S31" s="274">
        <f t="shared" si="0"/>
        <v>0</v>
      </c>
      <c r="T31" s="274">
        <f t="shared" si="0"/>
        <v>0</v>
      </c>
      <c r="U31" s="274">
        <f t="shared" si="0"/>
        <v>0</v>
      </c>
      <c r="V31" s="274">
        <f t="shared" si="0"/>
        <v>0</v>
      </c>
      <c r="W31" s="274">
        <f t="shared" si="0"/>
        <v>0</v>
      </c>
      <c r="X31" s="274">
        <f t="shared" si="0"/>
        <v>0</v>
      </c>
      <c r="Y31" s="274">
        <f t="shared" si="0"/>
        <v>0</v>
      </c>
      <c r="Z31" s="274">
        <f t="shared" si="0"/>
        <v>0</v>
      </c>
      <c r="AA31" s="274">
        <f t="shared" si="0"/>
        <v>0</v>
      </c>
      <c r="AB31" s="274">
        <f t="shared" si="0"/>
        <v>0</v>
      </c>
      <c r="AC31" s="274">
        <f t="shared" si="0"/>
        <v>0</v>
      </c>
      <c r="AD31" s="274">
        <f t="shared" si="0"/>
        <v>0</v>
      </c>
      <c r="AE31" s="274">
        <f t="shared" si="0"/>
        <v>0</v>
      </c>
      <c r="AF31" s="274">
        <f t="shared" si="0"/>
        <v>0</v>
      </c>
      <c r="AG31" s="274">
        <f t="shared" si="0"/>
        <v>0</v>
      </c>
      <c r="AH31" s="274">
        <f t="shared" si="0"/>
        <v>0</v>
      </c>
      <c r="AI31" s="274">
        <f t="shared" si="0"/>
        <v>0</v>
      </c>
      <c r="AJ31" s="274">
        <f t="shared" si="0"/>
        <v>0</v>
      </c>
      <c r="AK31" s="274">
        <f t="shared" si="0"/>
        <v>1</v>
      </c>
      <c r="AL31" s="274">
        <f t="shared" si="0"/>
        <v>0</v>
      </c>
      <c r="AM31" s="274">
        <f t="shared" si="0"/>
        <v>0</v>
      </c>
      <c r="AN31" s="274">
        <f t="shared" si="0"/>
        <v>0</v>
      </c>
      <c r="AO31" s="274">
        <f t="shared" si="0"/>
        <v>0</v>
      </c>
      <c r="AP31" s="274">
        <f t="shared" si="0"/>
        <v>0</v>
      </c>
      <c r="AQ31" s="274">
        <f t="shared" si="0"/>
        <v>0</v>
      </c>
      <c r="AR31" s="274">
        <f t="shared" si="0"/>
        <v>0</v>
      </c>
      <c r="AS31" s="274">
        <f t="shared" si="0"/>
        <v>0</v>
      </c>
      <c r="AT31" s="274">
        <f t="shared" si="0"/>
        <v>0</v>
      </c>
      <c r="AU31" s="274">
        <f t="shared" si="0"/>
        <v>0</v>
      </c>
      <c r="AV31" s="274">
        <f t="shared" si="0"/>
        <v>0</v>
      </c>
      <c r="AW31" s="274">
        <f t="shared" si="0"/>
        <v>0</v>
      </c>
      <c r="AX31" s="274">
        <f t="shared" si="0"/>
        <v>0</v>
      </c>
      <c r="AY31" s="274">
        <f t="shared" si="0"/>
        <v>0</v>
      </c>
      <c r="AZ31" s="274">
        <f t="shared" si="0"/>
        <v>0</v>
      </c>
      <c r="BA31" s="274">
        <f t="shared" si="0"/>
        <v>0</v>
      </c>
      <c r="BB31" s="274">
        <f t="shared" si="0"/>
        <v>0</v>
      </c>
      <c r="BC31" s="274">
        <f t="shared" si="0"/>
        <v>0</v>
      </c>
    </row>
    <row r="32" spans="1:58" s="192" customFormat="1" ht="27" customHeight="1" x14ac:dyDescent="0.25">
      <c r="A32" s="275"/>
      <c r="B32" s="733" t="s">
        <v>354</v>
      </c>
      <c r="C32" s="737">
        <v>0</v>
      </c>
      <c r="D32" s="291">
        <f t="shared" ref="D32:BC32" si="1">C32+1</f>
        <v>1</v>
      </c>
      <c r="E32" s="291">
        <f t="shared" si="1"/>
        <v>2</v>
      </c>
      <c r="F32" s="291">
        <f t="shared" si="1"/>
        <v>3</v>
      </c>
      <c r="G32" s="291">
        <f t="shared" si="1"/>
        <v>4</v>
      </c>
      <c r="H32" s="291">
        <f t="shared" si="1"/>
        <v>5</v>
      </c>
      <c r="I32" s="291">
        <f t="shared" si="1"/>
        <v>6</v>
      </c>
      <c r="J32" s="291">
        <f t="shared" si="1"/>
        <v>7</v>
      </c>
      <c r="K32" s="291">
        <f t="shared" si="1"/>
        <v>8</v>
      </c>
      <c r="L32" s="291">
        <f t="shared" si="1"/>
        <v>9</v>
      </c>
      <c r="M32" s="291">
        <f t="shared" si="1"/>
        <v>10</v>
      </c>
      <c r="N32" s="291">
        <f t="shared" si="1"/>
        <v>11</v>
      </c>
      <c r="O32" s="291">
        <f t="shared" si="1"/>
        <v>12</v>
      </c>
      <c r="P32" s="291">
        <f t="shared" si="1"/>
        <v>13</v>
      </c>
      <c r="Q32" s="291">
        <f t="shared" si="1"/>
        <v>14</v>
      </c>
      <c r="R32" s="291">
        <f t="shared" si="1"/>
        <v>15</v>
      </c>
      <c r="S32" s="291">
        <f t="shared" si="1"/>
        <v>16</v>
      </c>
      <c r="T32" s="291">
        <f t="shared" si="1"/>
        <v>17</v>
      </c>
      <c r="U32" s="291">
        <f t="shared" si="1"/>
        <v>18</v>
      </c>
      <c r="V32" s="291">
        <f t="shared" si="1"/>
        <v>19</v>
      </c>
      <c r="W32" s="291">
        <f t="shared" si="1"/>
        <v>20</v>
      </c>
      <c r="X32" s="291">
        <f t="shared" si="1"/>
        <v>21</v>
      </c>
      <c r="Y32" s="291">
        <f t="shared" si="1"/>
        <v>22</v>
      </c>
      <c r="Z32" s="291">
        <f t="shared" si="1"/>
        <v>23</v>
      </c>
      <c r="AA32" s="291">
        <f t="shared" si="1"/>
        <v>24</v>
      </c>
      <c r="AB32" s="291">
        <f t="shared" si="1"/>
        <v>25</v>
      </c>
      <c r="AC32" s="291">
        <f t="shared" si="1"/>
        <v>26</v>
      </c>
      <c r="AD32" s="291">
        <f t="shared" si="1"/>
        <v>27</v>
      </c>
      <c r="AE32" s="291">
        <f t="shared" si="1"/>
        <v>28</v>
      </c>
      <c r="AF32" s="291">
        <f t="shared" si="1"/>
        <v>29</v>
      </c>
      <c r="AG32" s="291">
        <f t="shared" si="1"/>
        <v>30</v>
      </c>
      <c r="AH32" s="291">
        <f t="shared" si="1"/>
        <v>31</v>
      </c>
      <c r="AI32" s="291">
        <f t="shared" si="1"/>
        <v>32</v>
      </c>
      <c r="AJ32" s="291">
        <f t="shared" si="1"/>
        <v>33</v>
      </c>
      <c r="AK32" s="291">
        <f t="shared" si="1"/>
        <v>34</v>
      </c>
      <c r="AL32" s="291">
        <f t="shared" si="1"/>
        <v>35</v>
      </c>
      <c r="AM32" s="291">
        <f t="shared" si="1"/>
        <v>36</v>
      </c>
      <c r="AN32" s="291">
        <f t="shared" si="1"/>
        <v>37</v>
      </c>
      <c r="AO32" s="291">
        <f t="shared" si="1"/>
        <v>38</v>
      </c>
      <c r="AP32" s="291">
        <f t="shared" si="1"/>
        <v>39</v>
      </c>
      <c r="AQ32" s="291">
        <f t="shared" si="1"/>
        <v>40</v>
      </c>
      <c r="AR32" s="291">
        <f t="shared" si="1"/>
        <v>41</v>
      </c>
      <c r="AS32" s="291">
        <f t="shared" si="1"/>
        <v>42</v>
      </c>
      <c r="AT32" s="291">
        <f t="shared" si="1"/>
        <v>43</v>
      </c>
      <c r="AU32" s="291">
        <f t="shared" si="1"/>
        <v>44</v>
      </c>
      <c r="AV32" s="291">
        <f t="shared" si="1"/>
        <v>45</v>
      </c>
      <c r="AW32" s="291">
        <f t="shared" si="1"/>
        <v>46</v>
      </c>
      <c r="AX32" s="291">
        <f t="shared" si="1"/>
        <v>47</v>
      </c>
      <c r="AY32" s="291">
        <f t="shared" si="1"/>
        <v>48</v>
      </c>
      <c r="AZ32" s="291">
        <f t="shared" si="1"/>
        <v>49</v>
      </c>
      <c r="BA32" s="291">
        <f t="shared" si="1"/>
        <v>50</v>
      </c>
      <c r="BB32" s="291">
        <f t="shared" si="1"/>
        <v>51</v>
      </c>
      <c r="BC32" s="291">
        <f t="shared" si="1"/>
        <v>52</v>
      </c>
      <c r="BD32" s="275"/>
      <c r="BE32" s="275"/>
      <c r="BF32" s="275"/>
    </row>
    <row r="33" spans="1:58" s="192" customFormat="1" ht="18" customHeight="1" x14ac:dyDescent="0.25">
      <c r="B33" s="290"/>
      <c r="C33" s="274">
        <f t="shared" ref="C33:AH33" si="2">IF(C32&lt;=$H$27-1,1,0)</f>
        <v>1</v>
      </c>
      <c r="D33" s="274">
        <f t="shared" si="2"/>
        <v>1</v>
      </c>
      <c r="E33" s="274">
        <f t="shared" si="2"/>
        <v>1</v>
      </c>
      <c r="F33" s="274">
        <f t="shared" si="2"/>
        <v>1</v>
      </c>
      <c r="G33" s="274">
        <f t="shared" si="2"/>
        <v>1</v>
      </c>
      <c r="H33" s="274">
        <f t="shared" si="2"/>
        <v>1</v>
      </c>
      <c r="I33" s="274">
        <f t="shared" si="2"/>
        <v>1</v>
      </c>
      <c r="J33" s="274">
        <f t="shared" si="2"/>
        <v>1</v>
      </c>
      <c r="K33" s="274">
        <f t="shared" si="2"/>
        <v>1</v>
      </c>
      <c r="L33" s="274">
        <f t="shared" si="2"/>
        <v>1</v>
      </c>
      <c r="M33" s="274">
        <f t="shared" si="2"/>
        <v>1</v>
      </c>
      <c r="N33" s="274">
        <f t="shared" si="2"/>
        <v>1</v>
      </c>
      <c r="O33" s="274">
        <f t="shared" si="2"/>
        <v>1</v>
      </c>
      <c r="P33" s="274">
        <f t="shared" si="2"/>
        <v>1</v>
      </c>
      <c r="Q33" s="274">
        <f t="shared" si="2"/>
        <v>1</v>
      </c>
      <c r="R33" s="274">
        <f t="shared" si="2"/>
        <v>1</v>
      </c>
      <c r="S33" s="274">
        <f t="shared" si="2"/>
        <v>1</v>
      </c>
      <c r="T33" s="274">
        <f t="shared" si="2"/>
        <v>1</v>
      </c>
      <c r="U33" s="274">
        <f t="shared" si="2"/>
        <v>1</v>
      </c>
      <c r="V33" s="274">
        <f t="shared" si="2"/>
        <v>1</v>
      </c>
      <c r="W33" s="274">
        <f t="shared" si="2"/>
        <v>1</v>
      </c>
      <c r="X33" s="274">
        <f t="shared" si="2"/>
        <v>1</v>
      </c>
      <c r="Y33" s="274">
        <f t="shared" si="2"/>
        <v>1</v>
      </c>
      <c r="Z33" s="274">
        <f t="shared" si="2"/>
        <v>1</v>
      </c>
      <c r="AA33" s="274">
        <f t="shared" si="2"/>
        <v>1</v>
      </c>
      <c r="AB33" s="274">
        <f t="shared" si="2"/>
        <v>1</v>
      </c>
      <c r="AC33" s="274">
        <f t="shared" si="2"/>
        <v>1</v>
      </c>
      <c r="AD33" s="274">
        <f t="shared" si="2"/>
        <v>1</v>
      </c>
      <c r="AE33" s="274">
        <f t="shared" si="2"/>
        <v>1</v>
      </c>
      <c r="AF33" s="274">
        <f t="shared" si="2"/>
        <v>1</v>
      </c>
      <c r="AG33" s="274">
        <f t="shared" si="2"/>
        <v>1</v>
      </c>
      <c r="AH33" s="274">
        <f t="shared" si="2"/>
        <v>1</v>
      </c>
      <c r="AI33" s="274">
        <f t="shared" ref="AI33:BC33" si="3">IF(AI32&lt;=$H$27-1,1,0)</f>
        <v>1</v>
      </c>
      <c r="AJ33" s="274">
        <f t="shared" si="3"/>
        <v>1</v>
      </c>
      <c r="AK33" s="274">
        <f t="shared" si="3"/>
        <v>1</v>
      </c>
      <c r="AL33" s="274">
        <f t="shared" si="3"/>
        <v>0</v>
      </c>
      <c r="AM33" s="274">
        <f t="shared" si="3"/>
        <v>0</v>
      </c>
      <c r="AN33" s="274">
        <f t="shared" si="3"/>
        <v>0</v>
      </c>
      <c r="AO33" s="274">
        <f t="shared" si="3"/>
        <v>0</v>
      </c>
      <c r="AP33" s="274">
        <f t="shared" si="3"/>
        <v>0</v>
      </c>
      <c r="AQ33" s="274">
        <f t="shared" si="3"/>
        <v>0</v>
      </c>
      <c r="AR33" s="274">
        <f t="shared" si="3"/>
        <v>0</v>
      </c>
      <c r="AS33" s="274">
        <f t="shared" si="3"/>
        <v>0</v>
      </c>
      <c r="AT33" s="274">
        <f t="shared" si="3"/>
        <v>0</v>
      </c>
      <c r="AU33" s="274">
        <f t="shared" si="3"/>
        <v>0</v>
      </c>
      <c r="AV33" s="274">
        <f t="shared" si="3"/>
        <v>0</v>
      </c>
      <c r="AW33" s="274">
        <f t="shared" si="3"/>
        <v>0</v>
      </c>
      <c r="AX33" s="274">
        <f t="shared" si="3"/>
        <v>0</v>
      </c>
      <c r="AY33" s="274">
        <f t="shared" si="3"/>
        <v>0</v>
      </c>
      <c r="AZ33" s="274">
        <f t="shared" si="3"/>
        <v>0</v>
      </c>
      <c r="BA33" s="274">
        <f t="shared" si="3"/>
        <v>0</v>
      </c>
      <c r="BB33" s="274">
        <f t="shared" si="3"/>
        <v>0</v>
      </c>
      <c r="BC33" s="274">
        <f t="shared" si="3"/>
        <v>0</v>
      </c>
    </row>
    <row r="34" spans="1:58" s="192" customFormat="1" ht="18" customHeight="1" x14ac:dyDescent="0.25">
      <c r="B34" s="290"/>
      <c r="C34" s="279">
        <f>AVERAGE(C35:AF35)/312</f>
        <v>501.28384961466395</v>
      </c>
      <c r="D34" s="192">
        <v>1.8092028670075588E+55</v>
      </c>
      <c r="E34" s="276"/>
      <c r="F34" s="276"/>
      <c r="G34" s="277"/>
      <c r="H34" s="275"/>
      <c r="I34" s="278"/>
      <c r="J34" s="278"/>
      <c r="K34" s="278"/>
      <c r="L34" s="275"/>
      <c r="M34" s="275"/>
      <c r="O34" s="269"/>
      <c r="P34" s="269"/>
      <c r="Q34" s="269"/>
      <c r="R34" s="269"/>
      <c r="S34" s="269"/>
    </row>
    <row r="35" spans="1:58" s="192" customFormat="1" ht="34.9" customHeight="1" collapsed="1" x14ac:dyDescent="0.25">
      <c r="B35" s="733" t="s">
        <v>355</v>
      </c>
      <c r="C35" s="279">
        <f>'R&amp;C-Painel de Controle'!D8</f>
        <v>146000</v>
      </c>
      <c r="D35" s="279">
        <f>C35*(1+$C$8)</f>
        <v>146686.19999999998</v>
      </c>
      <c r="E35" s="279">
        <f t="shared" ref="E35:AI35" si="4">D35*(1+$C$8)</f>
        <v>147375.62513999996</v>
      </c>
      <c r="F35" s="279">
        <f t="shared" si="4"/>
        <v>148068.29057815796</v>
      </c>
      <c r="G35" s="279">
        <f t="shared" si="4"/>
        <v>148764.21154387528</v>
      </c>
      <c r="H35" s="279">
        <f t="shared" si="4"/>
        <v>149463.40333813149</v>
      </c>
      <c r="I35" s="279">
        <f t="shared" si="4"/>
        <v>150165.8813338207</v>
      </c>
      <c r="J35" s="279">
        <f t="shared" si="4"/>
        <v>150871.66097608965</v>
      </c>
      <c r="K35" s="279">
        <f t="shared" si="4"/>
        <v>151580.75778267728</v>
      </c>
      <c r="L35" s="279">
        <f t="shared" si="4"/>
        <v>152293.18734425586</v>
      </c>
      <c r="M35" s="279">
        <f t="shared" si="4"/>
        <v>153008.96532477386</v>
      </c>
      <c r="N35" s="279">
        <f t="shared" si="4"/>
        <v>153728.10746180027</v>
      </c>
      <c r="O35" s="279">
        <f t="shared" si="4"/>
        <v>154450.62956687072</v>
      </c>
      <c r="P35" s="279">
        <f t="shared" si="4"/>
        <v>155176.54752583499</v>
      </c>
      <c r="Q35" s="279">
        <f t="shared" si="4"/>
        <v>155905.87729920639</v>
      </c>
      <c r="R35" s="279">
        <f t="shared" si="4"/>
        <v>156638.63492251266</v>
      </c>
      <c r="S35" s="279">
        <f t="shared" si="4"/>
        <v>157374.83650664845</v>
      </c>
      <c r="T35" s="279">
        <f t="shared" si="4"/>
        <v>158114.49823822969</v>
      </c>
      <c r="U35" s="279">
        <f t="shared" si="4"/>
        <v>158857.63637994934</v>
      </c>
      <c r="V35" s="279">
        <f t="shared" si="4"/>
        <v>159604.26727093509</v>
      </c>
      <c r="W35" s="279">
        <f t="shared" si="4"/>
        <v>160354.40732710846</v>
      </c>
      <c r="X35" s="279">
        <f t="shared" si="4"/>
        <v>161108.07304154587</v>
      </c>
      <c r="Y35" s="279">
        <f t="shared" si="4"/>
        <v>161865.28098484111</v>
      </c>
      <c r="Z35" s="279">
        <f t="shared" si="4"/>
        <v>162626.04780546986</v>
      </c>
      <c r="AA35" s="279">
        <f t="shared" si="4"/>
        <v>163390.39023015555</v>
      </c>
      <c r="AB35" s="279">
        <f t="shared" si="4"/>
        <v>164158.32506423726</v>
      </c>
      <c r="AC35" s="279">
        <f t="shared" si="4"/>
        <v>164929.86919203916</v>
      </c>
      <c r="AD35" s="279">
        <f t="shared" si="4"/>
        <v>165705.03957724173</v>
      </c>
      <c r="AE35" s="279">
        <f t="shared" si="4"/>
        <v>166483.85326325474</v>
      </c>
      <c r="AF35" s="279">
        <f t="shared" si="4"/>
        <v>167266.32737359204</v>
      </c>
      <c r="AG35" s="279">
        <f t="shared" si="4"/>
        <v>168052.47911224791</v>
      </c>
      <c r="AH35" s="279">
        <f t="shared" si="4"/>
        <v>168842.32576407547</v>
      </c>
      <c r="AI35" s="279">
        <f t="shared" si="4"/>
        <v>169635.88469516661</v>
      </c>
      <c r="AJ35" s="279">
        <f t="shared" ref="AJ35:BC35" si="5">AI35*(1+$C$8)</f>
        <v>170433.17335323387</v>
      </c>
      <c r="AK35" s="279">
        <f t="shared" si="5"/>
        <v>171234.20926799407</v>
      </c>
      <c r="AL35" s="279">
        <f t="shared" si="5"/>
        <v>172039.01005155363</v>
      </c>
      <c r="AM35" s="279">
        <f t="shared" si="5"/>
        <v>172847.59339879593</v>
      </c>
      <c r="AN35" s="279">
        <f t="shared" si="5"/>
        <v>173659.97708777027</v>
      </c>
      <c r="AO35" s="279">
        <f t="shared" si="5"/>
        <v>174476.17898008277</v>
      </c>
      <c r="AP35" s="279">
        <f t="shared" si="5"/>
        <v>175296.21702128914</v>
      </c>
      <c r="AQ35" s="279">
        <f t="shared" si="5"/>
        <v>176120.10924128917</v>
      </c>
      <c r="AR35" s="279">
        <f t="shared" si="5"/>
        <v>176947.87375472323</v>
      </c>
      <c r="AS35" s="279">
        <f t="shared" si="5"/>
        <v>177779.52876137043</v>
      </c>
      <c r="AT35" s="279">
        <f t="shared" si="5"/>
        <v>178615.09254654887</v>
      </c>
      <c r="AU35" s="279">
        <f t="shared" si="5"/>
        <v>179454.58348151765</v>
      </c>
      <c r="AV35" s="279">
        <f t="shared" si="5"/>
        <v>180298.02002388076</v>
      </c>
      <c r="AW35" s="279">
        <f t="shared" si="5"/>
        <v>181145.42071799299</v>
      </c>
      <c r="AX35" s="279">
        <f t="shared" si="5"/>
        <v>181996.80419536756</v>
      </c>
      <c r="AY35" s="279">
        <f t="shared" si="5"/>
        <v>182852.18917508578</v>
      </c>
      <c r="AZ35" s="279">
        <f t="shared" si="5"/>
        <v>183711.59446420867</v>
      </c>
      <c r="BA35" s="279">
        <f t="shared" si="5"/>
        <v>184575.03895819045</v>
      </c>
      <c r="BB35" s="279">
        <f t="shared" si="5"/>
        <v>185442.54164129394</v>
      </c>
      <c r="BC35" s="279">
        <f t="shared" si="5"/>
        <v>186314.12158700801</v>
      </c>
    </row>
    <row r="36" spans="1:58" s="192" customFormat="1" ht="18" hidden="1" customHeight="1" outlineLevel="1" x14ac:dyDescent="0.25">
      <c r="A36" s="277"/>
      <c r="B36" s="228" t="s">
        <v>356</v>
      </c>
      <c r="C36" s="277" t="s">
        <v>357</v>
      </c>
      <c r="D36" s="277" t="s">
        <v>249</v>
      </c>
      <c r="E36" s="277"/>
      <c r="F36" s="277"/>
      <c r="G36" s="277"/>
      <c r="H36" s="277"/>
      <c r="I36" s="277"/>
      <c r="J36" s="277"/>
      <c r="K36" s="277"/>
      <c r="L36" s="277"/>
      <c r="M36" s="277"/>
      <c r="N36" s="277"/>
      <c r="O36" s="277"/>
      <c r="P36" s="277"/>
      <c r="Q36" s="277"/>
      <c r="R36" s="277"/>
      <c r="S36" s="277"/>
      <c r="T36" s="277"/>
      <c r="U36" s="277"/>
      <c r="V36" s="277"/>
      <c r="W36" s="277"/>
      <c r="X36" s="277"/>
      <c r="Y36" s="277"/>
      <c r="Z36" s="277"/>
      <c r="AA36" s="277"/>
      <c r="AB36" s="277"/>
      <c r="AC36" s="277"/>
      <c r="AD36" s="277"/>
      <c r="AE36" s="277"/>
      <c r="AF36" s="277"/>
      <c r="AG36" s="277"/>
      <c r="AH36" s="277"/>
      <c r="AI36" s="277"/>
      <c r="AJ36" s="277"/>
      <c r="AK36" s="277"/>
      <c r="AL36" s="277"/>
      <c r="AM36" s="277"/>
      <c r="AN36" s="277"/>
      <c r="AO36" s="277"/>
      <c r="AP36" s="277"/>
      <c r="AQ36" s="277"/>
      <c r="AR36" s="277"/>
      <c r="AS36" s="277"/>
      <c r="AT36" s="277"/>
      <c r="AU36" s="277"/>
      <c r="AV36" s="277"/>
      <c r="AW36" s="277"/>
      <c r="AX36" s="277"/>
      <c r="AY36" s="277"/>
      <c r="AZ36" s="277"/>
      <c r="BA36" s="277"/>
      <c r="BB36" s="277"/>
      <c r="BC36" s="277"/>
      <c r="BD36" s="277"/>
      <c r="BE36" s="277"/>
      <c r="BF36" s="277"/>
    </row>
    <row r="37" spans="1:58" s="192" customFormat="1" ht="18" hidden="1" customHeight="1" outlineLevel="1" x14ac:dyDescent="0.25">
      <c r="B37" s="732" t="str">
        <f>B65</f>
        <v>Triagem Manual — Seletivos</v>
      </c>
      <c r="C37" s="291" t="str">
        <f>C65</f>
        <v>Não</v>
      </c>
      <c r="D37" s="291">
        <f>'R&amp;C-Painel de Controle'!H52</f>
        <v>0</v>
      </c>
      <c r="E37" s="1274"/>
      <c r="R37" s="274"/>
    </row>
    <row r="38" spans="1:58" s="192" customFormat="1" ht="18" hidden="1" customHeight="1" outlineLevel="1" x14ac:dyDescent="0.25">
      <c r="B38" s="260" t="s">
        <v>620</v>
      </c>
      <c r="C38" s="292">
        <f>IF(SUM(C66)&lt;100%,0,100%)</f>
        <v>0</v>
      </c>
      <c r="D38" s="289">
        <f>IF(SUM($C66:D66)&lt;100%,0,100%)</f>
        <v>0</v>
      </c>
      <c r="E38" s="292">
        <v>0</v>
      </c>
      <c r="F38" s="292">
        <f t="shared" ref="F38:Q38" si="6">IF(SUM($C66:F66)&lt;100%,0,100%)</f>
        <v>1</v>
      </c>
      <c r="G38" s="292">
        <f t="shared" si="6"/>
        <v>1</v>
      </c>
      <c r="H38" s="292">
        <f t="shared" si="6"/>
        <v>1</v>
      </c>
      <c r="I38" s="292">
        <f t="shared" si="6"/>
        <v>1</v>
      </c>
      <c r="J38" s="292">
        <f t="shared" si="6"/>
        <v>1</v>
      </c>
      <c r="K38" s="292">
        <f t="shared" si="6"/>
        <v>1</v>
      </c>
      <c r="L38" s="292">
        <f t="shared" si="6"/>
        <v>1</v>
      </c>
      <c r="M38" s="292">
        <f t="shared" si="6"/>
        <v>1</v>
      </c>
      <c r="N38" s="292">
        <f t="shared" si="6"/>
        <v>1</v>
      </c>
      <c r="O38" s="292">
        <f t="shared" si="6"/>
        <v>1</v>
      </c>
      <c r="P38" s="292">
        <f t="shared" si="6"/>
        <v>1</v>
      </c>
      <c r="Q38" s="292">
        <f t="shared" si="6"/>
        <v>1</v>
      </c>
      <c r="R38" s="292"/>
      <c r="S38" s="292"/>
      <c r="T38" s="292"/>
      <c r="U38" s="292"/>
      <c r="V38" s="292"/>
      <c r="W38" s="292"/>
      <c r="X38" s="292"/>
      <c r="Y38" s="292"/>
      <c r="Z38" s="292"/>
      <c r="AA38" s="292"/>
      <c r="AB38" s="292"/>
      <c r="AC38" s="292"/>
      <c r="AD38" s="292"/>
      <c r="AE38" s="292"/>
      <c r="AF38" s="292"/>
      <c r="AG38" s="292"/>
      <c r="AH38" s="292"/>
      <c r="AI38" s="292"/>
      <c r="AJ38" s="292"/>
      <c r="AK38" s="292"/>
      <c r="AL38" s="292"/>
      <c r="AM38" s="292"/>
      <c r="AN38" s="292"/>
      <c r="AO38" s="292"/>
      <c r="AP38" s="292"/>
      <c r="AQ38" s="292"/>
      <c r="AR38" s="292"/>
      <c r="AS38" s="292"/>
      <c r="AT38" s="292"/>
      <c r="AU38" s="292"/>
      <c r="AV38" s="292"/>
      <c r="AW38" s="292"/>
      <c r="AX38" s="292"/>
      <c r="AY38" s="292"/>
      <c r="AZ38" s="292"/>
      <c r="BA38" s="292"/>
      <c r="BB38" s="292"/>
      <c r="BC38" s="292"/>
    </row>
    <row r="39" spans="1:58" s="192" customFormat="1" ht="18" hidden="1" customHeight="1" outlineLevel="1" x14ac:dyDescent="0.25">
      <c r="B39" s="260" t="s">
        <v>621</v>
      </c>
      <c r="C39" s="293">
        <f>C38*$D$37</f>
        <v>0</v>
      </c>
      <c r="D39" s="295">
        <f t="shared" ref="D39:Q39" si="7">D38*$D$37*(1+$C$8)</f>
        <v>0</v>
      </c>
      <c r="E39" s="299">
        <f t="shared" si="7"/>
        <v>0</v>
      </c>
      <c r="F39" s="299">
        <f t="shared" si="7"/>
        <v>0</v>
      </c>
      <c r="G39" s="299">
        <f t="shared" si="7"/>
        <v>0</v>
      </c>
      <c r="H39" s="299">
        <f t="shared" si="7"/>
        <v>0</v>
      </c>
      <c r="I39" s="299">
        <f t="shared" si="7"/>
        <v>0</v>
      </c>
      <c r="J39" s="299">
        <f t="shared" si="7"/>
        <v>0</v>
      </c>
      <c r="K39" s="299">
        <f t="shared" si="7"/>
        <v>0</v>
      </c>
      <c r="L39" s="299">
        <f t="shared" si="7"/>
        <v>0</v>
      </c>
      <c r="M39" s="299">
        <f t="shared" si="7"/>
        <v>0</v>
      </c>
      <c r="N39" s="299">
        <f t="shared" si="7"/>
        <v>0</v>
      </c>
      <c r="O39" s="299">
        <f t="shared" si="7"/>
        <v>0</v>
      </c>
      <c r="P39" s="299">
        <f t="shared" si="7"/>
        <v>0</v>
      </c>
      <c r="Q39" s="299">
        <f t="shared" si="7"/>
        <v>0</v>
      </c>
      <c r="R39" s="299">
        <f t="shared" ref="R39:BC39" si="8">Q39*(1+$C$8)</f>
        <v>0</v>
      </c>
      <c r="S39" s="299">
        <f t="shared" si="8"/>
        <v>0</v>
      </c>
      <c r="T39" s="299">
        <f t="shared" si="8"/>
        <v>0</v>
      </c>
      <c r="U39" s="299">
        <f t="shared" si="8"/>
        <v>0</v>
      </c>
      <c r="V39" s="299">
        <f t="shared" si="8"/>
        <v>0</v>
      </c>
      <c r="W39" s="299">
        <f t="shared" si="8"/>
        <v>0</v>
      </c>
      <c r="X39" s="299">
        <f t="shared" si="8"/>
        <v>0</v>
      </c>
      <c r="Y39" s="299">
        <f t="shared" si="8"/>
        <v>0</v>
      </c>
      <c r="Z39" s="299">
        <f t="shared" si="8"/>
        <v>0</v>
      </c>
      <c r="AA39" s="299">
        <f t="shared" si="8"/>
        <v>0</v>
      </c>
      <c r="AB39" s="299">
        <f t="shared" si="8"/>
        <v>0</v>
      </c>
      <c r="AC39" s="299">
        <f t="shared" si="8"/>
        <v>0</v>
      </c>
      <c r="AD39" s="299">
        <f t="shared" si="8"/>
        <v>0</v>
      </c>
      <c r="AE39" s="299">
        <f t="shared" si="8"/>
        <v>0</v>
      </c>
      <c r="AF39" s="299">
        <f t="shared" si="8"/>
        <v>0</v>
      </c>
      <c r="AG39" s="299">
        <f t="shared" si="8"/>
        <v>0</v>
      </c>
      <c r="AH39" s="299">
        <f t="shared" si="8"/>
        <v>0</v>
      </c>
      <c r="AI39" s="299">
        <f t="shared" si="8"/>
        <v>0</v>
      </c>
      <c r="AJ39" s="299">
        <f t="shared" si="8"/>
        <v>0</v>
      </c>
      <c r="AK39" s="299">
        <f t="shared" si="8"/>
        <v>0</v>
      </c>
      <c r="AL39" s="299">
        <f t="shared" si="8"/>
        <v>0</v>
      </c>
      <c r="AM39" s="299">
        <f t="shared" si="8"/>
        <v>0</v>
      </c>
      <c r="AN39" s="299">
        <f t="shared" si="8"/>
        <v>0</v>
      </c>
      <c r="AO39" s="299">
        <f t="shared" si="8"/>
        <v>0</v>
      </c>
      <c r="AP39" s="299">
        <f t="shared" si="8"/>
        <v>0</v>
      </c>
      <c r="AQ39" s="299">
        <f t="shared" si="8"/>
        <v>0</v>
      </c>
      <c r="AR39" s="299">
        <f t="shared" si="8"/>
        <v>0</v>
      </c>
      <c r="AS39" s="299">
        <f t="shared" si="8"/>
        <v>0</v>
      </c>
      <c r="AT39" s="299">
        <f t="shared" si="8"/>
        <v>0</v>
      </c>
      <c r="AU39" s="299">
        <f t="shared" si="8"/>
        <v>0</v>
      </c>
      <c r="AV39" s="299">
        <f t="shared" si="8"/>
        <v>0</v>
      </c>
      <c r="AW39" s="299">
        <f t="shared" si="8"/>
        <v>0</v>
      </c>
      <c r="AX39" s="299">
        <f t="shared" si="8"/>
        <v>0</v>
      </c>
      <c r="AY39" s="299">
        <f t="shared" si="8"/>
        <v>0</v>
      </c>
      <c r="AZ39" s="299">
        <f t="shared" si="8"/>
        <v>0</v>
      </c>
      <c r="BA39" s="299">
        <f t="shared" si="8"/>
        <v>0</v>
      </c>
      <c r="BB39" s="299">
        <f t="shared" si="8"/>
        <v>0</v>
      </c>
      <c r="BC39" s="299">
        <f t="shared" si="8"/>
        <v>0</v>
      </c>
      <c r="BD39" s="280"/>
      <c r="BE39" s="280"/>
      <c r="BF39" s="280"/>
    </row>
    <row r="40" spans="1:58" s="192" customFormat="1" ht="18" hidden="1" customHeight="1" outlineLevel="1" x14ac:dyDescent="0.25">
      <c r="B40" s="732" t="str">
        <f>B68</f>
        <v>Triagem Mecanizada</v>
      </c>
      <c r="C40" s="291" t="str">
        <f>C68</f>
        <v>Sim</v>
      </c>
      <c r="D40" s="291">
        <f>'R&amp;C-Painel de Controle'!H55</f>
        <v>146467.94871794875</v>
      </c>
      <c r="E40" s="301"/>
      <c r="F40" s="301"/>
      <c r="G40" s="301"/>
      <c r="H40" s="301"/>
      <c r="I40" s="301"/>
      <c r="J40" s="301"/>
      <c r="K40" s="301"/>
      <c r="L40" s="301"/>
      <c r="M40" s="301"/>
      <c r="N40" s="301"/>
      <c r="O40" s="301"/>
      <c r="P40" s="301"/>
      <c r="Q40" s="301"/>
      <c r="R40" s="301"/>
      <c r="S40" s="301"/>
      <c r="T40" s="301"/>
      <c r="U40" s="301"/>
      <c r="V40" s="301"/>
      <c r="W40" s="301"/>
      <c r="X40" s="301"/>
      <c r="Y40" s="301"/>
      <c r="Z40" s="301"/>
      <c r="AA40" s="301"/>
      <c r="AB40" s="301"/>
      <c r="AC40" s="301"/>
      <c r="AD40" s="301"/>
      <c r="AE40" s="301"/>
      <c r="AF40" s="301"/>
      <c r="AG40" s="301"/>
      <c r="AH40" s="301"/>
      <c r="AI40" s="301"/>
      <c r="AJ40" s="301"/>
      <c r="AK40" s="301"/>
      <c r="AL40" s="301"/>
      <c r="AM40" s="301"/>
      <c r="AN40" s="301"/>
      <c r="AO40" s="301"/>
      <c r="AP40" s="301"/>
      <c r="AQ40" s="301"/>
      <c r="AR40" s="301"/>
      <c r="AS40" s="301"/>
      <c r="AT40" s="301"/>
      <c r="AU40" s="301"/>
      <c r="AV40" s="301"/>
      <c r="AW40" s="301"/>
      <c r="AX40" s="301"/>
      <c r="AY40" s="301"/>
      <c r="AZ40" s="301"/>
      <c r="BA40" s="301"/>
      <c r="BB40" s="301"/>
      <c r="BC40" s="301"/>
      <c r="BD40" s="274"/>
      <c r="BE40" s="274"/>
      <c r="BF40" s="274"/>
    </row>
    <row r="41" spans="1:58" s="192" customFormat="1" ht="18" hidden="1" customHeight="1" outlineLevel="1" x14ac:dyDescent="0.25">
      <c r="B41" s="260" t="s">
        <v>620</v>
      </c>
      <c r="C41" s="292">
        <f>IF(SUM(C69)&lt;100%,0,100%)</f>
        <v>0</v>
      </c>
      <c r="D41" s="289">
        <f>IF(SUM($C69:D69)&lt;100%,0,100%)</f>
        <v>0</v>
      </c>
      <c r="E41" s="292">
        <v>0</v>
      </c>
      <c r="F41" s="292">
        <f t="shared" ref="F41:Q41" si="9">IF(SUM($C69:F69)&lt;100%,0,100%)</f>
        <v>1</v>
      </c>
      <c r="G41" s="292">
        <f t="shared" si="9"/>
        <v>1</v>
      </c>
      <c r="H41" s="292">
        <f t="shared" si="9"/>
        <v>1</v>
      </c>
      <c r="I41" s="292">
        <f t="shared" si="9"/>
        <v>1</v>
      </c>
      <c r="J41" s="292">
        <f t="shared" si="9"/>
        <v>1</v>
      </c>
      <c r="K41" s="292">
        <f t="shared" si="9"/>
        <v>1</v>
      </c>
      <c r="L41" s="292">
        <f t="shared" si="9"/>
        <v>1</v>
      </c>
      <c r="M41" s="292">
        <f t="shared" si="9"/>
        <v>1</v>
      </c>
      <c r="N41" s="292">
        <f t="shared" si="9"/>
        <v>1</v>
      </c>
      <c r="O41" s="292">
        <f t="shared" si="9"/>
        <v>1</v>
      </c>
      <c r="P41" s="292">
        <f t="shared" si="9"/>
        <v>1</v>
      </c>
      <c r="Q41" s="292">
        <f t="shared" si="9"/>
        <v>1</v>
      </c>
      <c r="R41" s="292"/>
      <c r="S41" s="292"/>
      <c r="T41" s="292"/>
      <c r="U41" s="292"/>
      <c r="V41" s="292"/>
      <c r="W41" s="292"/>
      <c r="X41" s="292"/>
      <c r="Y41" s="292"/>
      <c r="Z41" s="292"/>
      <c r="AA41" s="292"/>
      <c r="AB41" s="292"/>
      <c r="AC41" s="292"/>
      <c r="AD41" s="292"/>
      <c r="AE41" s="292"/>
      <c r="AF41" s="292"/>
      <c r="AG41" s="292"/>
      <c r="AH41" s="292"/>
      <c r="AI41" s="292"/>
      <c r="AJ41" s="292"/>
      <c r="AK41" s="292"/>
      <c r="AL41" s="292"/>
      <c r="AM41" s="292"/>
      <c r="AN41" s="292"/>
      <c r="AO41" s="292"/>
      <c r="AP41" s="292"/>
      <c r="AQ41" s="292"/>
      <c r="AR41" s="292"/>
      <c r="AS41" s="292"/>
      <c r="AT41" s="292"/>
      <c r="AU41" s="292"/>
      <c r="AV41" s="292"/>
      <c r="AW41" s="292"/>
      <c r="AX41" s="292"/>
      <c r="AY41" s="292"/>
      <c r="AZ41" s="292"/>
      <c r="BA41" s="292"/>
      <c r="BB41" s="292"/>
      <c r="BC41" s="292"/>
      <c r="BD41" s="274"/>
      <c r="BE41" s="274"/>
      <c r="BF41" s="274"/>
    </row>
    <row r="42" spans="1:58" s="192" customFormat="1" ht="18" hidden="1" customHeight="1" outlineLevel="1" x14ac:dyDescent="0.25">
      <c r="B42" s="260" t="s">
        <v>621</v>
      </c>
      <c r="C42" s="293">
        <f>C41*$D$40</f>
        <v>0</v>
      </c>
      <c r="D42" s="295">
        <f t="shared" ref="D42:Q42" si="10">D41*$D$40*(1+$C$8)</f>
        <v>0</v>
      </c>
      <c r="E42" s="299">
        <f t="shared" si="10"/>
        <v>0</v>
      </c>
      <c r="F42" s="299">
        <f t="shared" si="10"/>
        <v>147156.34807692311</v>
      </c>
      <c r="G42" s="299">
        <f t="shared" si="10"/>
        <v>147156.34807692311</v>
      </c>
      <c r="H42" s="299">
        <f t="shared" si="10"/>
        <v>147156.34807692311</v>
      </c>
      <c r="I42" s="299">
        <f t="shared" si="10"/>
        <v>147156.34807692311</v>
      </c>
      <c r="J42" s="299">
        <f t="shared" si="10"/>
        <v>147156.34807692311</v>
      </c>
      <c r="K42" s="299">
        <f t="shared" si="10"/>
        <v>147156.34807692311</v>
      </c>
      <c r="L42" s="299">
        <f t="shared" si="10"/>
        <v>147156.34807692311</v>
      </c>
      <c r="M42" s="299">
        <f t="shared" si="10"/>
        <v>147156.34807692311</v>
      </c>
      <c r="N42" s="299">
        <f t="shared" si="10"/>
        <v>147156.34807692311</v>
      </c>
      <c r="O42" s="299">
        <f t="shared" si="10"/>
        <v>147156.34807692311</v>
      </c>
      <c r="P42" s="299">
        <f t="shared" si="10"/>
        <v>147156.34807692311</v>
      </c>
      <c r="Q42" s="299">
        <f t="shared" si="10"/>
        <v>147156.34807692311</v>
      </c>
      <c r="R42" s="299">
        <f t="shared" ref="R42:BC42" si="11">Q42*(1+$C$8)</f>
        <v>147847.98291288465</v>
      </c>
      <c r="S42" s="299">
        <f t="shared" si="11"/>
        <v>148542.8684325752</v>
      </c>
      <c r="T42" s="299">
        <f t="shared" si="11"/>
        <v>149241.0199142083</v>
      </c>
      <c r="U42" s="299">
        <f t="shared" si="11"/>
        <v>149942.45270780506</v>
      </c>
      <c r="V42" s="299">
        <f t="shared" si="11"/>
        <v>150647.18223553174</v>
      </c>
      <c r="W42" s="299">
        <f t="shared" si="11"/>
        <v>151355.22399203872</v>
      </c>
      <c r="X42" s="299">
        <f t="shared" si="11"/>
        <v>152066.59354480129</v>
      </c>
      <c r="Y42" s="299">
        <f t="shared" si="11"/>
        <v>152781.30653446185</v>
      </c>
      <c r="Z42" s="299">
        <f t="shared" si="11"/>
        <v>153499.37867517382</v>
      </c>
      <c r="AA42" s="299">
        <f t="shared" si="11"/>
        <v>154220.82575494712</v>
      </c>
      <c r="AB42" s="299">
        <f t="shared" si="11"/>
        <v>154945.66363599536</v>
      </c>
      <c r="AC42" s="299">
        <f t="shared" si="11"/>
        <v>155673.90825508453</v>
      </c>
      <c r="AD42" s="299">
        <f t="shared" si="11"/>
        <v>156405.57562388343</v>
      </c>
      <c r="AE42" s="299">
        <f t="shared" si="11"/>
        <v>157140.68182931567</v>
      </c>
      <c r="AF42" s="299">
        <f t="shared" si="11"/>
        <v>157879.24303391343</v>
      </c>
      <c r="AG42" s="299">
        <f t="shared" si="11"/>
        <v>158621.2754761728</v>
      </c>
      <c r="AH42" s="299">
        <f t="shared" si="11"/>
        <v>159366.79547091079</v>
      </c>
      <c r="AI42" s="299">
        <f t="shared" si="11"/>
        <v>160115.81940962406</v>
      </c>
      <c r="AJ42" s="299">
        <f t="shared" si="11"/>
        <v>160868.36376084929</v>
      </c>
      <c r="AK42" s="299">
        <f t="shared" si="11"/>
        <v>161624.44507052525</v>
      </c>
      <c r="AL42" s="299">
        <f t="shared" si="11"/>
        <v>162384.07996235671</v>
      </c>
      <c r="AM42" s="299">
        <f t="shared" si="11"/>
        <v>163147.28513817978</v>
      </c>
      <c r="AN42" s="299">
        <f t="shared" si="11"/>
        <v>163914.07737832921</v>
      </c>
      <c r="AO42" s="299">
        <f t="shared" si="11"/>
        <v>164684.47354200736</v>
      </c>
      <c r="AP42" s="299">
        <f t="shared" si="11"/>
        <v>165458.49056765478</v>
      </c>
      <c r="AQ42" s="299">
        <f t="shared" si="11"/>
        <v>166236.14547332274</v>
      </c>
      <c r="AR42" s="299">
        <f t="shared" si="11"/>
        <v>167017.45535704735</v>
      </c>
      <c r="AS42" s="299">
        <f t="shared" si="11"/>
        <v>167802.43739722547</v>
      </c>
      <c r="AT42" s="299">
        <f t="shared" si="11"/>
        <v>168591.10885299242</v>
      </c>
      <c r="AU42" s="299">
        <f t="shared" si="11"/>
        <v>169383.48706460148</v>
      </c>
      <c r="AV42" s="299">
        <f t="shared" si="11"/>
        <v>170179.58945380509</v>
      </c>
      <c r="AW42" s="299">
        <f t="shared" si="11"/>
        <v>170979.43352423797</v>
      </c>
      <c r="AX42" s="299">
        <f t="shared" si="11"/>
        <v>171783.03686180187</v>
      </c>
      <c r="AY42" s="299">
        <f t="shared" si="11"/>
        <v>172590.41713505232</v>
      </c>
      <c r="AZ42" s="299">
        <f t="shared" si="11"/>
        <v>173401.59209558705</v>
      </c>
      <c r="BA42" s="299">
        <f t="shared" si="11"/>
        <v>174216.5795784363</v>
      </c>
      <c r="BB42" s="299">
        <f t="shared" si="11"/>
        <v>175035.39750245493</v>
      </c>
      <c r="BC42" s="299">
        <f t="shared" si="11"/>
        <v>175858.06387071646</v>
      </c>
      <c r="BD42" s="280"/>
      <c r="BE42" s="280"/>
      <c r="BF42" s="280"/>
    </row>
    <row r="43" spans="1:58" s="192" customFormat="1" ht="18" hidden="1" customHeight="1" outlineLevel="1" x14ac:dyDescent="0.25">
      <c r="B43" s="732" t="str">
        <f>B71</f>
        <v>Produção de CDR TM — Trat. Mec.</v>
      </c>
      <c r="C43" s="291" t="str">
        <f>C71</f>
        <v>Não</v>
      </c>
      <c r="D43" s="291">
        <f>'R&amp;C-Painel de Controle'!H58</f>
        <v>0</v>
      </c>
      <c r="E43" s="301"/>
      <c r="F43" s="301"/>
      <c r="G43" s="301"/>
      <c r="H43" s="301"/>
      <c r="I43" s="301"/>
      <c r="J43" s="301"/>
      <c r="K43" s="301"/>
      <c r="L43" s="301"/>
      <c r="M43" s="301"/>
      <c r="N43" s="301"/>
      <c r="O43" s="301"/>
      <c r="P43" s="301"/>
      <c r="Q43" s="301"/>
      <c r="R43" s="301"/>
      <c r="S43" s="301"/>
      <c r="T43" s="301"/>
      <c r="U43" s="301"/>
      <c r="V43" s="301"/>
      <c r="W43" s="301"/>
      <c r="X43" s="301"/>
      <c r="Y43" s="301"/>
      <c r="Z43" s="301"/>
      <c r="AA43" s="301"/>
      <c r="AB43" s="301"/>
      <c r="AC43" s="301"/>
      <c r="AD43" s="301"/>
      <c r="AE43" s="301"/>
      <c r="AF43" s="301"/>
      <c r="AG43" s="301"/>
      <c r="AH43" s="301"/>
      <c r="AI43" s="301"/>
      <c r="AJ43" s="301"/>
      <c r="AK43" s="301"/>
      <c r="AL43" s="301"/>
      <c r="AM43" s="301"/>
      <c r="AN43" s="301"/>
      <c r="AO43" s="301"/>
      <c r="AP43" s="301"/>
      <c r="AQ43" s="301"/>
      <c r="AR43" s="301"/>
      <c r="AS43" s="301"/>
      <c r="AT43" s="301"/>
      <c r="AU43" s="301"/>
      <c r="AV43" s="301"/>
      <c r="AW43" s="301"/>
      <c r="AX43" s="301"/>
      <c r="AY43" s="301"/>
      <c r="AZ43" s="301"/>
      <c r="BA43" s="301"/>
      <c r="BB43" s="301"/>
      <c r="BC43" s="301"/>
      <c r="BD43" s="274"/>
      <c r="BE43" s="274"/>
      <c r="BF43" s="274"/>
    </row>
    <row r="44" spans="1:58" s="192" customFormat="1" ht="18" hidden="1" customHeight="1" outlineLevel="1" x14ac:dyDescent="0.25">
      <c r="B44" s="260" t="s">
        <v>620</v>
      </c>
      <c r="C44" s="292">
        <f>IF(SUM($C72:C72)&lt;100%,0,100%)</f>
        <v>0</v>
      </c>
      <c r="D44" s="289">
        <f>IF(SUM($C72:D72)&lt;100%,0,100%)</f>
        <v>0</v>
      </c>
      <c r="E44" s="292">
        <v>0</v>
      </c>
      <c r="F44" s="292">
        <f>IF(SUM($C72:F72)&lt;100%,0,100%)</f>
        <v>1</v>
      </c>
      <c r="G44" s="292">
        <f>IF(SUM($C72:G72)&lt;100%,0,100%)</f>
        <v>1</v>
      </c>
      <c r="H44" s="292">
        <f>IF(SUM($C72:H72)&lt;100%,0,100%)</f>
        <v>1</v>
      </c>
      <c r="I44" s="292">
        <f>IF(SUM($C72:H72)&lt;100%,0,100%)</f>
        <v>1</v>
      </c>
      <c r="J44" s="292">
        <f>IF(SUM($C72:H72)&lt;100%,0,100%)</f>
        <v>1</v>
      </c>
      <c r="K44" s="292">
        <f>IF(SUM($C72:H72)&lt;100%,0,100%)</f>
        <v>1</v>
      </c>
      <c r="L44" s="292">
        <f t="shared" ref="L44:Q44" si="12">IF(SUM($C72:L72)&lt;100%,0,100%)</f>
        <v>1</v>
      </c>
      <c r="M44" s="292">
        <f t="shared" si="12"/>
        <v>1</v>
      </c>
      <c r="N44" s="292">
        <f t="shared" si="12"/>
        <v>1</v>
      </c>
      <c r="O44" s="292">
        <f t="shared" si="12"/>
        <v>1</v>
      </c>
      <c r="P44" s="292">
        <f t="shared" si="12"/>
        <v>1</v>
      </c>
      <c r="Q44" s="292">
        <f t="shared" si="12"/>
        <v>1</v>
      </c>
      <c r="R44" s="292"/>
      <c r="S44" s="292"/>
      <c r="T44" s="292"/>
      <c r="U44" s="292"/>
      <c r="V44" s="292"/>
      <c r="W44" s="292"/>
      <c r="X44" s="292"/>
      <c r="Y44" s="292"/>
      <c r="Z44" s="292"/>
      <c r="AA44" s="292"/>
      <c r="AB44" s="292"/>
      <c r="AC44" s="292"/>
      <c r="AD44" s="292"/>
      <c r="AE44" s="292"/>
      <c r="AF44" s="292"/>
      <c r="AG44" s="292"/>
      <c r="AH44" s="292"/>
      <c r="AI44" s="292"/>
      <c r="AJ44" s="292"/>
      <c r="AK44" s="292"/>
      <c r="AL44" s="292"/>
      <c r="AM44" s="292"/>
      <c r="AN44" s="292"/>
      <c r="AO44" s="292"/>
      <c r="AP44" s="292"/>
      <c r="AQ44" s="292"/>
      <c r="AR44" s="292"/>
      <c r="AS44" s="292"/>
      <c r="AT44" s="292"/>
      <c r="AU44" s="292"/>
      <c r="AV44" s="292"/>
      <c r="AW44" s="292"/>
      <c r="AX44" s="292"/>
      <c r="AY44" s="292"/>
      <c r="AZ44" s="292"/>
      <c r="BA44" s="292"/>
      <c r="BB44" s="292"/>
      <c r="BC44" s="292"/>
      <c r="BD44" s="274"/>
      <c r="BE44" s="274"/>
      <c r="BF44" s="274"/>
    </row>
    <row r="45" spans="1:58" s="192" customFormat="1" ht="18" hidden="1" customHeight="1" outlineLevel="1" x14ac:dyDescent="0.25">
      <c r="B45" s="260" t="s">
        <v>621</v>
      </c>
      <c r="C45" s="293">
        <f>C44*$D$43</f>
        <v>0</v>
      </c>
      <c r="D45" s="295">
        <f t="shared" ref="D45:Q45" si="13">D44*$D$43*(1+$C$8)</f>
        <v>0</v>
      </c>
      <c r="E45" s="299">
        <f t="shared" si="13"/>
        <v>0</v>
      </c>
      <c r="F45" s="299">
        <f t="shared" si="13"/>
        <v>0</v>
      </c>
      <c r="G45" s="299">
        <f t="shared" si="13"/>
        <v>0</v>
      </c>
      <c r="H45" s="299">
        <f t="shared" si="13"/>
        <v>0</v>
      </c>
      <c r="I45" s="299">
        <f t="shared" si="13"/>
        <v>0</v>
      </c>
      <c r="J45" s="299">
        <f t="shared" si="13"/>
        <v>0</v>
      </c>
      <c r="K45" s="299">
        <f t="shared" si="13"/>
        <v>0</v>
      </c>
      <c r="L45" s="299">
        <f t="shared" si="13"/>
        <v>0</v>
      </c>
      <c r="M45" s="299">
        <f t="shared" si="13"/>
        <v>0</v>
      </c>
      <c r="N45" s="299">
        <f t="shared" si="13"/>
        <v>0</v>
      </c>
      <c r="O45" s="299">
        <f t="shared" si="13"/>
        <v>0</v>
      </c>
      <c r="P45" s="299">
        <f t="shared" si="13"/>
        <v>0</v>
      </c>
      <c r="Q45" s="299">
        <f t="shared" si="13"/>
        <v>0</v>
      </c>
      <c r="R45" s="299">
        <f t="shared" ref="R45:BC45" si="14">Q45*(1+$C$8)</f>
        <v>0</v>
      </c>
      <c r="S45" s="299">
        <f t="shared" si="14"/>
        <v>0</v>
      </c>
      <c r="T45" s="299">
        <f t="shared" si="14"/>
        <v>0</v>
      </c>
      <c r="U45" s="299">
        <f t="shared" si="14"/>
        <v>0</v>
      </c>
      <c r="V45" s="299">
        <f t="shared" si="14"/>
        <v>0</v>
      </c>
      <c r="W45" s="299">
        <f t="shared" si="14"/>
        <v>0</v>
      </c>
      <c r="X45" s="299">
        <f t="shared" si="14"/>
        <v>0</v>
      </c>
      <c r="Y45" s="299">
        <f t="shared" si="14"/>
        <v>0</v>
      </c>
      <c r="Z45" s="299">
        <f t="shared" si="14"/>
        <v>0</v>
      </c>
      <c r="AA45" s="299">
        <f t="shared" si="14"/>
        <v>0</v>
      </c>
      <c r="AB45" s="299">
        <f t="shared" si="14"/>
        <v>0</v>
      </c>
      <c r="AC45" s="299">
        <f t="shared" si="14"/>
        <v>0</v>
      </c>
      <c r="AD45" s="299">
        <f t="shared" si="14"/>
        <v>0</v>
      </c>
      <c r="AE45" s="299">
        <f t="shared" si="14"/>
        <v>0</v>
      </c>
      <c r="AF45" s="299">
        <f t="shared" si="14"/>
        <v>0</v>
      </c>
      <c r="AG45" s="299">
        <f t="shared" si="14"/>
        <v>0</v>
      </c>
      <c r="AH45" s="299">
        <f t="shared" si="14"/>
        <v>0</v>
      </c>
      <c r="AI45" s="299">
        <f t="shared" si="14"/>
        <v>0</v>
      </c>
      <c r="AJ45" s="299">
        <f t="shared" si="14"/>
        <v>0</v>
      </c>
      <c r="AK45" s="299">
        <f t="shared" si="14"/>
        <v>0</v>
      </c>
      <c r="AL45" s="299">
        <f t="shared" si="14"/>
        <v>0</v>
      </c>
      <c r="AM45" s="299">
        <f t="shared" si="14"/>
        <v>0</v>
      </c>
      <c r="AN45" s="299">
        <f t="shared" si="14"/>
        <v>0</v>
      </c>
      <c r="AO45" s="299">
        <f t="shared" si="14"/>
        <v>0</v>
      </c>
      <c r="AP45" s="299">
        <f t="shared" si="14"/>
        <v>0</v>
      </c>
      <c r="AQ45" s="299">
        <f t="shared" si="14"/>
        <v>0</v>
      </c>
      <c r="AR45" s="299">
        <f t="shared" si="14"/>
        <v>0</v>
      </c>
      <c r="AS45" s="299">
        <f t="shared" si="14"/>
        <v>0</v>
      </c>
      <c r="AT45" s="299">
        <f t="shared" si="14"/>
        <v>0</v>
      </c>
      <c r="AU45" s="299">
        <f t="shared" si="14"/>
        <v>0</v>
      </c>
      <c r="AV45" s="299">
        <f t="shared" si="14"/>
        <v>0</v>
      </c>
      <c r="AW45" s="299">
        <f t="shared" si="14"/>
        <v>0</v>
      </c>
      <c r="AX45" s="299">
        <f t="shared" si="14"/>
        <v>0</v>
      </c>
      <c r="AY45" s="299">
        <f t="shared" si="14"/>
        <v>0</v>
      </c>
      <c r="AZ45" s="299">
        <f t="shared" si="14"/>
        <v>0</v>
      </c>
      <c r="BA45" s="299">
        <f t="shared" si="14"/>
        <v>0</v>
      </c>
      <c r="BB45" s="299">
        <f t="shared" si="14"/>
        <v>0</v>
      </c>
      <c r="BC45" s="299">
        <f t="shared" si="14"/>
        <v>0</v>
      </c>
      <c r="BD45" s="280"/>
      <c r="BE45" s="280"/>
      <c r="BF45" s="280"/>
    </row>
    <row r="46" spans="1:58" s="192" customFormat="1" ht="18" hidden="1" customHeight="1" outlineLevel="1" x14ac:dyDescent="0.25">
      <c r="B46" s="732" t="str">
        <f>B74</f>
        <v>Prod. CDR TMB — Trat. Mec./Biológ.</v>
      </c>
      <c r="C46" s="291" t="str">
        <f>C74</f>
        <v>Sim</v>
      </c>
      <c r="D46" s="291">
        <f>'R&amp;C-Painel de Controle'!H61</f>
        <v>149195.9142628205</v>
      </c>
      <c r="E46" s="301"/>
      <c r="F46" s="301"/>
      <c r="G46" s="301"/>
      <c r="H46" s="301"/>
      <c r="I46" s="301"/>
      <c r="J46" s="301"/>
      <c r="K46" s="301"/>
      <c r="L46" s="301"/>
      <c r="M46" s="301"/>
      <c r="N46" s="301"/>
      <c r="O46" s="301"/>
      <c r="P46" s="301"/>
      <c r="Q46" s="301"/>
      <c r="R46" s="301"/>
      <c r="S46" s="301"/>
      <c r="T46" s="301"/>
      <c r="U46" s="301"/>
      <c r="V46" s="301"/>
      <c r="W46" s="301"/>
      <c r="X46" s="301"/>
      <c r="Y46" s="301"/>
      <c r="Z46" s="301"/>
      <c r="AA46" s="301"/>
      <c r="AB46" s="301"/>
      <c r="AC46" s="301"/>
      <c r="AD46" s="301"/>
      <c r="AE46" s="301"/>
      <c r="AF46" s="301"/>
      <c r="AG46" s="301"/>
      <c r="AH46" s="301"/>
      <c r="AI46" s="301"/>
      <c r="AJ46" s="301"/>
      <c r="AK46" s="301"/>
      <c r="AL46" s="301"/>
      <c r="AM46" s="301"/>
      <c r="AN46" s="301"/>
      <c r="AO46" s="301"/>
      <c r="AP46" s="301"/>
      <c r="AQ46" s="301"/>
      <c r="AR46" s="301"/>
      <c r="AS46" s="301"/>
      <c r="AT46" s="301"/>
      <c r="AU46" s="301"/>
      <c r="AV46" s="301"/>
      <c r="AW46" s="301"/>
      <c r="AX46" s="301"/>
      <c r="AY46" s="301"/>
      <c r="AZ46" s="301"/>
      <c r="BA46" s="301"/>
      <c r="BB46" s="301"/>
      <c r="BC46" s="301"/>
      <c r="BD46" s="274"/>
      <c r="BE46" s="274"/>
      <c r="BF46" s="274"/>
    </row>
    <row r="47" spans="1:58" s="192" customFormat="1" ht="18" hidden="1" customHeight="1" outlineLevel="1" x14ac:dyDescent="0.25">
      <c r="B47" s="260" t="s">
        <v>620</v>
      </c>
      <c r="C47" s="292">
        <f>IF(SUM(C75)&lt;100%,0,100%)</f>
        <v>0</v>
      </c>
      <c r="D47" s="289">
        <f>IF(SUM($C75:D75)&lt;100%,0,100%)</f>
        <v>0</v>
      </c>
      <c r="E47" s="292">
        <v>0</v>
      </c>
      <c r="F47" s="292">
        <f t="shared" ref="F47:Q47" si="15">IF(SUM($C75:F75)&lt;100%,0,100%)</f>
        <v>1</v>
      </c>
      <c r="G47" s="292">
        <f t="shared" si="15"/>
        <v>1</v>
      </c>
      <c r="H47" s="292">
        <f t="shared" si="15"/>
        <v>1</v>
      </c>
      <c r="I47" s="292">
        <f t="shared" si="15"/>
        <v>1</v>
      </c>
      <c r="J47" s="292">
        <f t="shared" si="15"/>
        <v>1</v>
      </c>
      <c r="K47" s="292">
        <f t="shared" si="15"/>
        <v>1</v>
      </c>
      <c r="L47" s="292">
        <f t="shared" si="15"/>
        <v>1</v>
      </c>
      <c r="M47" s="292">
        <f t="shared" si="15"/>
        <v>1</v>
      </c>
      <c r="N47" s="292">
        <f t="shared" si="15"/>
        <v>1</v>
      </c>
      <c r="O47" s="292">
        <f t="shared" si="15"/>
        <v>1</v>
      </c>
      <c r="P47" s="292">
        <f t="shared" si="15"/>
        <v>1</v>
      </c>
      <c r="Q47" s="292">
        <f t="shared" si="15"/>
        <v>1</v>
      </c>
      <c r="R47" s="292"/>
      <c r="S47" s="292"/>
      <c r="T47" s="292"/>
      <c r="U47" s="292"/>
      <c r="V47" s="292"/>
      <c r="W47" s="292"/>
      <c r="X47" s="292"/>
      <c r="Y47" s="292"/>
      <c r="Z47" s="292"/>
      <c r="AA47" s="292"/>
      <c r="AB47" s="292"/>
      <c r="AC47" s="292"/>
      <c r="AD47" s="292"/>
      <c r="AE47" s="292"/>
      <c r="AF47" s="292"/>
      <c r="AG47" s="292"/>
      <c r="AH47" s="292"/>
      <c r="AI47" s="292"/>
      <c r="AJ47" s="292"/>
      <c r="AK47" s="292"/>
      <c r="AL47" s="292"/>
      <c r="AM47" s="292"/>
      <c r="AN47" s="292"/>
      <c r="AO47" s="292"/>
      <c r="AP47" s="292"/>
      <c r="AQ47" s="292"/>
      <c r="AR47" s="292"/>
      <c r="AS47" s="292"/>
      <c r="AT47" s="292"/>
      <c r="AU47" s="292"/>
      <c r="AV47" s="292"/>
      <c r="AW47" s="292"/>
      <c r="AX47" s="292"/>
      <c r="AY47" s="292"/>
      <c r="AZ47" s="292"/>
      <c r="BA47" s="292"/>
      <c r="BB47" s="292"/>
      <c r="BC47" s="292"/>
      <c r="BD47" s="274"/>
      <c r="BE47" s="274"/>
      <c r="BF47" s="274"/>
    </row>
    <row r="48" spans="1:58" s="192" customFormat="1" ht="18" hidden="1" customHeight="1" outlineLevel="1" x14ac:dyDescent="0.25">
      <c r="B48" s="260" t="s">
        <v>621</v>
      </c>
      <c r="C48" s="293">
        <f>C47*$D$46</f>
        <v>0</v>
      </c>
      <c r="D48" s="295">
        <f t="shared" ref="D48:Q48" si="16">D47*$D$46*(1+$C$8)</f>
        <v>0</v>
      </c>
      <c r="E48" s="299">
        <f t="shared" si="16"/>
        <v>0</v>
      </c>
      <c r="F48" s="299">
        <f t="shared" si="16"/>
        <v>149897.13505985573</v>
      </c>
      <c r="G48" s="299">
        <f t="shared" si="16"/>
        <v>149897.13505985573</v>
      </c>
      <c r="H48" s="299">
        <f t="shared" si="16"/>
        <v>149897.13505985573</v>
      </c>
      <c r="I48" s="299">
        <f t="shared" si="16"/>
        <v>149897.13505985573</v>
      </c>
      <c r="J48" s="299">
        <f t="shared" si="16"/>
        <v>149897.13505985573</v>
      </c>
      <c r="K48" s="299">
        <f t="shared" si="16"/>
        <v>149897.13505985573</v>
      </c>
      <c r="L48" s="299">
        <f t="shared" si="16"/>
        <v>149897.13505985573</v>
      </c>
      <c r="M48" s="299">
        <f t="shared" si="16"/>
        <v>149897.13505985573</v>
      </c>
      <c r="N48" s="299">
        <f t="shared" si="16"/>
        <v>149897.13505985573</v>
      </c>
      <c r="O48" s="299">
        <f t="shared" si="16"/>
        <v>149897.13505985573</v>
      </c>
      <c r="P48" s="299">
        <f t="shared" si="16"/>
        <v>149897.13505985573</v>
      </c>
      <c r="Q48" s="299">
        <f t="shared" si="16"/>
        <v>149897.13505985573</v>
      </c>
      <c r="R48" s="299">
        <f t="shared" ref="R48:BC48" si="17">Q48*(1+$C$8)</f>
        <v>150601.65159463705</v>
      </c>
      <c r="S48" s="299">
        <f t="shared" si="17"/>
        <v>151309.47935713184</v>
      </c>
      <c r="T48" s="299">
        <f t="shared" si="17"/>
        <v>152020.63391011037</v>
      </c>
      <c r="U48" s="299">
        <f t="shared" si="17"/>
        <v>152735.13088948786</v>
      </c>
      <c r="V48" s="299">
        <f t="shared" si="17"/>
        <v>153452.98600466843</v>
      </c>
      <c r="W48" s="299">
        <f t="shared" si="17"/>
        <v>154174.21503889037</v>
      </c>
      <c r="X48" s="299">
        <f t="shared" si="17"/>
        <v>154898.83384957313</v>
      </c>
      <c r="Y48" s="299">
        <f t="shared" si="17"/>
        <v>155626.85836866611</v>
      </c>
      <c r="Z48" s="299">
        <f t="shared" si="17"/>
        <v>156358.30460299883</v>
      </c>
      <c r="AA48" s="299">
        <f t="shared" si="17"/>
        <v>157093.18863463291</v>
      </c>
      <c r="AB48" s="299">
        <f t="shared" si="17"/>
        <v>157831.52662121569</v>
      </c>
      <c r="AC48" s="299">
        <f t="shared" si="17"/>
        <v>158573.33479633537</v>
      </c>
      <c r="AD48" s="299">
        <f t="shared" si="17"/>
        <v>159318.62946987813</v>
      </c>
      <c r="AE48" s="299">
        <f t="shared" si="17"/>
        <v>160067.42702838653</v>
      </c>
      <c r="AF48" s="299">
        <f t="shared" si="17"/>
        <v>160819.74393541995</v>
      </c>
      <c r="AG48" s="299">
        <f t="shared" si="17"/>
        <v>161575.59673191642</v>
      </c>
      <c r="AH48" s="299">
        <f t="shared" si="17"/>
        <v>162335.00203655643</v>
      </c>
      <c r="AI48" s="299">
        <f t="shared" si="17"/>
        <v>163097.97654612822</v>
      </c>
      <c r="AJ48" s="299">
        <f t="shared" si="17"/>
        <v>163864.53703589502</v>
      </c>
      <c r="AK48" s="299">
        <f t="shared" si="17"/>
        <v>164634.70035996372</v>
      </c>
      <c r="AL48" s="299">
        <f t="shared" si="17"/>
        <v>165408.48345165554</v>
      </c>
      <c r="AM48" s="299">
        <f t="shared" si="17"/>
        <v>166185.9033238783</v>
      </c>
      <c r="AN48" s="299">
        <f t="shared" si="17"/>
        <v>166966.97706950051</v>
      </c>
      <c r="AO48" s="299">
        <f t="shared" si="17"/>
        <v>167751.72186172716</v>
      </c>
      <c r="AP48" s="299">
        <f t="shared" si="17"/>
        <v>168540.15495447727</v>
      </c>
      <c r="AQ48" s="299">
        <f t="shared" si="17"/>
        <v>169332.29368276329</v>
      </c>
      <c r="AR48" s="299">
        <f t="shared" si="17"/>
        <v>170128.15546307227</v>
      </c>
      <c r="AS48" s="299">
        <f t="shared" si="17"/>
        <v>170927.75779374869</v>
      </c>
      <c r="AT48" s="299">
        <f t="shared" si="17"/>
        <v>171731.11825537929</v>
      </c>
      <c r="AU48" s="299">
        <f t="shared" si="17"/>
        <v>172538.25451117955</v>
      </c>
      <c r="AV48" s="299">
        <f t="shared" si="17"/>
        <v>173349.18430738209</v>
      </c>
      <c r="AW48" s="299">
        <f t="shared" si="17"/>
        <v>174163.92547362679</v>
      </c>
      <c r="AX48" s="299">
        <f t="shared" si="17"/>
        <v>174982.49592335284</v>
      </c>
      <c r="AY48" s="299">
        <f t="shared" si="17"/>
        <v>175804.91365419258</v>
      </c>
      <c r="AZ48" s="299">
        <f t="shared" si="17"/>
        <v>176631.19674836728</v>
      </c>
      <c r="BA48" s="299">
        <f t="shared" si="17"/>
        <v>177461.3633730846</v>
      </c>
      <c r="BB48" s="299">
        <f t="shared" si="17"/>
        <v>178295.43178093809</v>
      </c>
      <c r="BC48" s="299">
        <f t="shared" si="17"/>
        <v>179133.42031030849</v>
      </c>
      <c r="BD48" s="280"/>
      <c r="BE48" s="280"/>
      <c r="BF48" s="280"/>
    </row>
    <row r="49" spans="1:58" s="192" customFormat="1" ht="18" hidden="1" customHeight="1" outlineLevel="1" x14ac:dyDescent="0.25">
      <c r="B49" s="732" t="str">
        <f>B77</f>
        <v>Biodigestão Anaeróbia</v>
      </c>
      <c r="C49" s="291" t="str">
        <f>C77</f>
        <v>Não'</v>
      </c>
      <c r="D49" s="291">
        <f>'R&amp;C-Painel de Controle'!H64</f>
        <v>0</v>
      </c>
      <c r="E49" s="301"/>
      <c r="F49" s="301"/>
      <c r="G49" s="301"/>
      <c r="H49" s="301"/>
      <c r="I49" s="301"/>
      <c r="J49" s="301"/>
      <c r="K49" s="301"/>
      <c r="L49" s="301"/>
      <c r="M49" s="301"/>
      <c r="N49" s="301"/>
      <c r="O49" s="301"/>
      <c r="P49" s="301"/>
      <c r="Q49" s="301"/>
      <c r="R49" s="301"/>
      <c r="S49" s="301"/>
      <c r="T49" s="301"/>
      <c r="U49" s="301"/>
      <c r="V49" s="301"/>
      <c r="W49" s="301"/>
      <c r="X49" s="301"/>
      <c r="Y49" s="301"/>
      <c r="Z49" s="301"/>
      <c r="AA49" s="301"/>
      <c r="AB49" s="301"/>
      <c r="AC49" s="301"/>
      <c r="AD49" s="301"/>
      <c r="AE49" s="301"/>
      <c r="AF49" s="301"/>
      <c r="AG49" s="301"/>
      <c r="AH49" s="301"/>
      <c r="AI49" s="301"/>
      <c r="AJ49" s="301"/>
      <c r="AK49" s="301"/>
      <c r="AL49" s="301"/>
      <c r="AM49" s="301"/>
      <c r="AN49" s="301"/>
      <c r="AO49" s="301"/>
      <c r="AP49" s="301"/>
      <c r="AQ49" s="301"/>
      <c r="AR49" s="301"/>
      <c r="AS49" s="301"/>
      <c r="AT49" s="301"/>
      <c r="AU49" s="301"/>
      <c r="AV49" s="301"/>
      <c r="AW49" s="301"/>
      <c r="AX49" s="301"/>
      <c r="AY49" s="301"/>
      <c r="AZ49" s="301"/>
      <c r="BA49" s="301"/>
      <c r="BB49" s="301"/>
      <c r="BC49" s="301"/>
      <c r="BD49" s="274"/>
      <c r="BE49" s="274"/>
      <c r="BF49" s="274"/>
    </row>
    <row r="50" spans="1:58" s="192" customFormat="1" ht="18" hidden="1" customHeight="1" outlineLevel="1" x14ac:dyDescent="0.25">
      <c r="B50" s="260" t="s">
        <v>620</v>
      </c>
      <c r="C50" s="292">
        <f>IF(SUM(C78)&lt;100%,0,100%)</f>
        <v>0</v>
      </c>
      <c r="D50" s="289">
        <f>IF(SUM($C78:D78)&lt;100%,0,100%)</f>
        <v>0</v>
      </c>
      <c r="E50" s="292">
        <v>0</v>
      </c>
      <c r="F50" s="292">
        <f t="shared" ref="F50:Q50" si="18">IF(SUM($C78:F78)&lt;100%,0,100%)</f>
        <v>1</v>
      </c>
      <c r="G50" s="292">
        <f t="shared" si="18"/>
        <v>1</v>
      </c>
      <c r="H50" s="292">
        <f t="shared" si="18"/>
        <v>1</v>
      </c>
      <c r="I50" s="292">
        <f t="shared" si="18"/>
        <v>1</v>
      </c>
      <c r="J50" s="292">
        <f t="shared" si="18"/>
        <v>1</v>
      </c>
      <c r="K50" s="292">
        <f t="shared" si="18"/>
        <v>1</v>
      </c>
      <c r="L50" s="292">
        <f t="shared" si="18"/>
        <v>1</v>
      </c>
      <c r="M50" s="292">
        <f t="shared" si="18"/>
        <v>1</v>
      </c>
      <c r="N50" s="292">
        <f t="shared" si="18"/>
        <v>1</v>
      </c>
      <c r="O50" s="292">
        <f t="shared" si="18"/>
        <v>1</v>
      </c>
      <c r="P50" s="292">
        <f t="shared" si="18"/>
        <v>1</v>
      </c>
      <c r="Q50" s="292">
        <f t="shared" si="18"/>
        <v>1</v>
      </c>
      <c r="R50" s="292"/>
      <c r="S50" s="292"/>
      <c r="T50" s="292"/>
      <c r="U50" s="292"/>
      <c r="V50" s="292"/>
      <c r="W50" s="292"/>
      <c r="X50" s="292"/>
      <c r="Y50" s="292"/>
      <c r="Z50" s="292"/>
      <c r="AA50" s="292"/>
      <c r="AB50" s="292"/>
      <c r="AC50" s="292"/>
      <c r="AD50" s="292"/>
      <c r="AE50" s="292"/>
      <c r="AF50" s="292"/>
      <c r="AG50" s="292"/>
      <c r="AH50" s="292"/>
      <c r="AI50" s="292"/>
      <c r="AJ50" s="292"/>
      <c r="AK50" s="292"/>
      <c r="AL50" s="292"/>
      <c r="AM50" s="292"/>
      <c r="AN50" s="292"/>
      <c r="AO50" s="292"/>
      <c r="AP50" s="292"/>
      <c r="AQ50" s="292"/>
      <c r="AR50" s="292"/>
      <c r="AS50" s="292"/>
      <c r="AT50" s="292"/>
      <c r="AU50" s="292"/>
      <c r="AV50" s="292"/>
      <c r="AW50" s="292"/>
      <c r="AX50" s="292"/>
      <c r="AY50" s="292"/>
      <c r="AZ50" s="292"/>
      <c r="BA50" s="292"/>
      <c r="BB50" s="292"/>
      <c r="BC50" s="292"/>
      <c r="BD50" s="274"/>
      <c r="BE50" s="274"/>
      <c r="BF50" s="274"/>
    </row>
    <row r="51" spans="1:58" s="192" customFormat="1" ht="18" hidden="1" customHeight="1" outlineLevel="1" x14ac:dyDescent="0.25">
      <c r="B51" s="260" t="s">
        <v>621</v>
      </c>
      <c r="C51" s="293">
        <f>C50*$D$49</f>
        <v>0</v>
      </c>
      <c r="D51" s="295">
        <f t="shared" ref="D51:Q51" si="19">D50*$D$49*(1+$C$8)</f>
        <v>0</v>
      </c>
      <c r="E51" s="299">
        <f t="shared" si="19"/>
        <v>0</v>
      </c>
      <c r="F51" s="299">
        <f t="shared" si="19"/>
        <v>0</v>
      </c>
      <c r="G51" s="299">
        <f t="shared" si="19"/>
        <v>0</v>
      </c>
      <c r="H51" s="299">
        <f t="shared" si="19"/>
        <v>0</v>
      </c>
      <c r="I51" s="299">
        <f t="shared" si="19"/>
        <v>0</v>
      </c>
      <c r="J51" s="299">
        <f t="shared" si="19"/>
        <v>0</v>
      </c>
      <c r="K51" s="299">
        <f t="shared" si="19"/>
        <v>0</v>
      </c>
      <c r="L51" s="299">
        <f t="shared" si="19"/>
        <v>0</v>
      </c>
      <c r="M51" s="299">
        <f t="shared" si="19"/>
        <v>0</v>
      </c>
      <c r="N51" s="299">
        <f t="shared" si="19"/>
        <v>0</v>
      </c>
      <c r="O51" s="299">
        <f t="shared" si="19"/>
        <v>0</v>
      </c>
      <c r="P51" s="299">
        <f t="shared" si="19"/>
        <v>0</v>
      </c>
      <c r="Q51" s="299">
        <f t="shared" si="19"/>
        <v>0</v>
      </c>
      <c r="R51" s="299">
        <f t="shared" ref="R51:BC51" si="20">Q51*(1+$C$8)</f>
        <v>0</v>
      </c>
      <c r="S51" s="299">
        <f t="shared" si="20"/>
        <v>0</v>
      </c>
      <c r="T51" s="299">
        <f t="shared" si="20"/>
        <v>0</v>
      </c>
      <c r="U51" s="299">
        <f t="shared" si="20"/>
        <v>0</v>
      </c>
      <c r="V51" s="299">
        <f t="shared" si="20"/>
        <v>0</v>
      </c>
      <c r="W51" s="299">
        <f t="shared" si="20"/>
        <v>0</v>
      </c>
      <c r="X51" s="299">
        <f t="shared" si="20"/>
        <v>0</v>
      </c>
      <c r="Y51" s="299">
        <f t="shared" si="20"/>
        <v>0</v>
      </c>
      <c r="Z51" s="299">
        <f t="shared" si="20"/>
        <v>0</v>
      </c>
      <c r="AA51" s="299">
        <f t="shared" si="20"/>
        <v>0</v>
      </c>
      <c r="AB51" s="299">
        <f t="shared" si="20"/>
        <v>0</v>
      </c>
      <c r="AC51" s="299">
        <f t="shared" si="20"/>
        <v>0</v>
      </c>
      <c r="AD51" s="299">
        <f t="shared" si="20"/>
        <v>0</v>
      </c>
      <c r="AE51" s="299">
        <f t="shared" si="20"/>
        <v>0</v>
      </c>
      <c r="AF51" s="299">
        <f t="shared" si="20"/>
        <v>0</v>
      </c>
      <c r="AG51" s="299">
        <f t="shared" si="20"/>
        <v>0</v>
      </c>
      <c r="AH51" s="299">
        <f t="shared" si="20"/>
        <v>0</v>
      </c>
      <c r="AI51" s="299">
        <f t="shared" si="20"/>
        <v>0</v>
      </c>
      <c r="AJ51" s="299">
        <f t="shared" si="20"/>
        <v>0</v>
      </c>
      <c r="AK51" s="299">
        <f t="shared" si="20"/>
        <v>0</v>
      </c>
      <c r="AL51" s="299">
        <f t="shared" si="20"/>
        <v>0</v>
      </c>
      <c r="AM51" s="299">
        <f t="shared" si="20"/>
        <v>0</v>
      </c>
      <c r="AN51" s="299">
        <f t="shared" si="20"/>
        <v>0</v>
      </c>
      <c r="AO51" s="299">
        <f t="shared" si="20"/>
        <v>0</v>
      </c>
      <c r="AP51" s="299">
        <f t="shared" si="20"/>
        <v>0</v>
      </c>
      <c r="AQ51" s="299">
        <f t="shared" si="20"/>
        <v>0</v>
      </c>
      <c r="AR51" s="299">
        <f t="shared" si="20"/>
        <v>0</v>
      </c>
      <c r="AS51" s="299">
        <f t="shared" si="20"/>
        <v>0</v>
      </c>
      <c r="AT51" s="299">
        <f t="shared" si="20"/>
        <v>0</v>
      </c>
      <c r="AU51" s="299">
        <f t="shared" si="20"/>
        <v>0</v>
      </c>
      <c r="AV51" s="299">
        <f t="shared" si="20"/>
        <v>0</v>
      </c>
      <c r="AW51" s="299">
        <f t="shared" si="20"/>
        <v>0</v>
      </c>
      <c r="AX51" s="299">
        <f t="shared" si="20"/>
        <v>0</v>
      </c>
      <c r="AY51" s="299">
        <f t="shared" si="20"/>
        <v>0</v>
      </c>
      <c r="AZ51" s="299">
        <f t="shared" si="20"/>
        <v>0</v>
      </c>
      <c r="BA51" s="299">
        <f t="shared" si="20"/>
        <v>0</v>
      </c>
      <c r="BB51" s="299">
        <f t="shared" si="20"/>
        <v>0</v>
      </c>
      <c r="BC51" s="299">
        <f t="shared" si="20"/>
        <v>0</v>
      </c>
      <c r="BD51" s="280"/>
      <c r="BE51" s="280"/>
      <c r="BF51" s="280"/>
    </row>
    <row r="52" spans="1:58" s="192" customFormat="1" ht="18" hidden="1" customHeight="1" outlineLevel="1" x14ac:dyDescent="0.25">
      <c r="B52" s="732" t="str">
        <f>B80</f>
        <v>Compostagem</v>
      </c>
      <c r="C52" s="291" t="str">
        <f>C80</f>
        <v>Não</v>
      </c>
      <c r="D52" s="291">
        <f>'R&amp;C-Painel de Controle'!H67</f>
        <v>0</v>
      </c>
      <c r="E52" s="301"/>
      <c r="F52" s="301"/>
      <c r="G52" s="301"/>
      <c r="H52" s="301"/>
      <c r="I52" s="301"/>
      <c r="J52" s="301"/>
      <c r="K52" s="301"/>
      <c r="L52" s="301"/>
      <c r="M52" s="301"/>
      <c r="N52" s="301"/>
      <c r="O52" s="301"/>
      <c r="P52" s="301"/>
      <c r="Q52" s="301"/>
      <c r="R52" s="301"/>
      <c r="S52" s="301"/>
      <c r="T52" s="301"/>
      <c r="U52" s="301"/>
      <c r="V52" s="301"/>
      <c r="W52" s="301"/>
      <c r="X52" s="301"/>
      <c r="Y52" s="301"/>
      <c r="Z52" s="301"/>
      <c r="AA52" s="301"/>
      <c r="AB52" s="301"/>
      <c r="AC52" s="301"/>
      <c r="AD52" s="301"/>
      <c r="AE52" s="301"/>
      <c r="AF52" s="301"/>
      <c r="AG52" s="301"/>
      <c r="AH52" s="301"/>
      <c r="AI52" s="301"/>
      <c r="AJ52" s="301"/>
      <c r="AK52" s="301"/>
      <c r="AL52" s="301"/>
      <c r="AM52" s="301"/>
      <c r="AN52" s="301"/>
      <c r="AO52" s="301"/>
      <c r="AP52" s="301"/>
      <c r="AQ52" s="301"/>
      <c r="AR52" s="301"/>
      <c r="AS52" s="301"/>
      <c r="AT52" s="301"/>
      <c r="AU52" s="301"/>
      <c r="AV52" s="301"/>
      <c r="AW52" s="301"/>
      <c r="AX52" s="301"/>
      <c r="AY52" s="301"/>
      <c r="AZ52" s="301"/>
      <c r="BA52" s="301"/>
      <c r="BB52" s="301"/>
      <c r="BC52" s="301"/>
      <c r="BD52" s="274"/>
      <c r="BE52" s="274"/>
      <c r="BF52" s="274"/>
    </row>
    <row r="53" spans="1:58" s="192" customFormat="1" ht="18" hidden="1" customHeight="1" outlineLevel="1" x14ac:dyDescent="0.25">
      <c r="B53" s="260" t="s">
        <v>620</v>
      </c>
      <c r="C53" s="292">
        <f>IF(SUM(C81)&lt;100%,0,100%)</f>
        <v>0</v>
      </c>
      <c r="D53" s="289">
        <f>IF(SUM($C81:D81)&lt;100%,0,100%)</f>
        <v>0</v>
      </c>
      <c r="E53" s="292">
        <v>0</v>
      </c>
      <c r="F53" s="292">
        <f t="shared" ref="F53:Q53" si="21">IF(SUM($C81:F81)&lt;100%,0,100%)</f>
        <v>1</v>
      </c>
      <c r="G53" s="292">
        <f t="shared" si="21"/>
        <v>1</v>
      </c>
      <c r="H53" s="292">
        <f t="shared" si="21"/>
        <v>1</v>
      </c>
      <c r="I53" s="292">
        <f t="shared" si="21"/>
        <v>1</v>
      </c>
      <c r="J53" s="292">
        <f t="shared" si="21"/>
        <v>1</v>
      </c>
      <c r="K53" s="292">
        <f t="shared" si="21"/>
        <v>1</v>
      </c>
      <c r="L53" s="292">
        <f t="shared" si="21"/>
        <v>1</v>
      </c>
      <c r="M53" s="292">
        <f t="shared" si="21"/>
        <v>1</v>
      </c>
      <c r="N53" s="292">
        <f t="shared" si="21"/>
        <v>1</v>
      </c>
      <c r="O53" s="292">
        <f t="shared" si="21"/>
        <v>1</v>
      </c>
      <c r="P53" s="292">
        <f t="shared" si="21"/>
        <v>1</v>
      </c>
      <c r="Q53" s="292">
        <f t="shared" si="21"/>
        <v>1</v>
      </c>
      <c r="R53" s="292"/>
      <c r="S53" s="292"/>
      <c r="T53" s="292"/>
      <c r="U53" s="292"/>
      <c r="V53" s="292"/>
      <c r="W53" s="292"/>
      <c r="X53" s="292"/>
      <c r="Y53" s="292"/>
      <c r="Z53" s="292"/>
      <c r="AA53" s="292"/>
      <c r="AB53" s="292"/>
      <c r="AC53" s="292"/>
      <c r="AD53" s="292"/>
      <c r="AE53" s="292"/>
      <c r="AF53" s="292"/>
      <c r="AG53" s="292"/>
      <c r="AH53" s="292"/>
      <c r="AI53" s="292"/>
      <c r="AJ53" s="292"/>
      <c r="AK53" s="292"/>
      <c r="AL53" s="292"/>
      <c r="AM53" s="292"/>
      <c r="AN53" s="292"/>
      <c r="AO53" s="292"/>
      <c r="AP53" s="292"/>
      <c r="AQ53" s="292"/>
      <c r="AR53" s="292"/>
      <c r="AS53" s="292"/>
      <c r="AT53" s="292"/>
      <c r="AU53" s="292"/>
      <c r="AV53" s="292"/>
      <c r="AW53" s="292"/>
      <c r="AX53" s="292"/>
      <c r="AY53" s="292"/>
      <c r="AZ53" s="292"/>
      <c r="BA53" s="292"/>
      <c r="BB53" s="292"/>
      <c r="BC53" s="292"/>
      <c r="BD53" s="274"/>
      <c r="BE53" s="274"/>
      <c r="BF53" s="274"/>
    </row>
    <row r="54" spans="1:58" s="192" customFormat="1" ht="18" hidden="1" customHeight="1" outlineLevel="1" x14ac:dyDescent="0.25">
      <c r="B54" s="260" t="s">
        <v>621</v>
      </c>
      <c r="C54" s="293">
        <f>C53*$D$52</f>
        <v>0</v>
      </c>
      <c r="D54" s="295">
        <f t="shared" ref="D54:Q54" si="22">D53*$D$52*(1+$C$8)</f>
        <v>0</v>
      </c>
      <c r="E54" s="299">
        <f t="shared" si="22"/>
        <v>0</v>
      </c>
      <c r="F54" s="299">
        <f t="shared" si="22"/>
        <v>0</v>
      </c>
      <c r="G54" s="299">
        <f t="shared" si="22"/>
        <v>0</v>
      </c>
      <c r="H54" s="299">
        <f t="shared" si="22"/>
        <v>0</v>
      </c>
      <c r="I54" s="299">
        <f t="shared" si="22"/>
        <v>0</v>
      </c>
      <c r="J54" s="299">
        <f t="shared" si="22"/>
        <v>0</v>
      </c>
      <c r="K54" s="299">
        <f t="shared" si="22"/>
        <v>0</v>
      </c>
      <c r="L54" s="299">
        <f t="shared" si="22"/>
        <v>0</v>
      </c>
      <c r="M54" s="299">
        <f t="shared" si="22"/>
        <v>0</v>
      </c>
      <c r="N54" s="299">
        <f t="shared" si="22"/>
        <v>0</v>
      </c>
      <c r="O54" s="299">
        <f t="shared" si="22"/>
        <v>0</v>
      </c>
      <c r="P54" s="299">
        <f t="shared" si="22"/>
        <v>0</v>
      </c>
      <c r="Q54" s="299">
        <f t="shared" si="22"/>
        <v>0</v>
      </c>
      <c r="R54" s="299">
        <f t="shared" ref="R54:BC54" si="23">Q54*(1+$C$8)</f>
        <v>0</v>
      </c>
      <c r="S54" s="299">
        <f t="shared" si="23"/>
        <v>0</v>
      </c>
      <c r="T54" s="299">
        <f t="shared" si="23"/>
        <v>0</v>
      </c>
      <c r="U54" s="299">
        <f t="shared" si="23"/>
        <v>0</v>
      </c>
      <c r="V54" s="299">
        <f t="shared" si="23"/>
        <v>0</v>
      </c>
      <c r="W54" s="299">
        <f t="shared" si="23"/>
        <v>0</v>
      </c>
      <c r="X54" s="299">
        <f t="shared" si="23"/>
        <v>0</v>
      </c>
      <c r="Y54" s="299">
        <f t="shared" si="23"/>
        <v>0</v>
      </c>
      <c r="Z54" s="299">
        <f t="shared" si="23"/>
        <v>0</v>
      </c>
      <c r="AA54" s="299">
        <f t="shared" si="23"/>
        <v>0</v>
      </c>
      <c r="AB54" s="299">
        <f t="shared" si="23"/>
        <v>0</v>
      </c>
      <c r="AC54" s="299">
        <f t="shared" si="23"/>
        <v>0</v>
      </c>
      <c r="AD54" s="299">
        <f t="shared" si="23"/>
        <v>0</v>
      </c>
      <c r="AE54" s="299">
        <f t="shared" si="23"/>
        <v>0</v>
      </c>
      <c r="AF54" s="299">
        <f t="shared" si="23"/>
        <v>0</v>
      </c>
      <c r="AG54" s="299">
        <f t="shared" si="23"/>
        <v>0</v>
      </c>
      <c r="AH54" s="299">
        <f t="shared" si="23"/>
        <v>0</v>
      </c>
      <c r="AI54" s="299">
        <f t="shared" si="23"/>
        <v>0</v>
      </c>
      <c r="AJ54" s="299">
        <f t="shared" si="23"/>
        <v>0</v>
      </c>
      <c r="AK54" s="299">
        <f t="shared" si="23"/>
        <v>0</v>
      </c>
      <c r="AL54" s="299">
        <f t="shared" si="23"/>
        <v>0</v>
      </c>
      <c r="AM54" s="299">
        <f t="shared" si="23"/>
        <v>0</v>
      </c>
      <c r="AN54" s="299">
        <f t="shared" si="23"/>
        <v>0</v>
      </c>
      <c r="AO54" s="299">
        <f t="shared" si="23"/>
        <v>0</v>
      </c>
      <c r="AP54" s="299">
        <f t="shared" si="23"/>
        <v>0</v>
      </c>
      <c r="AQ54" s="299">
        <f t="shared" si="23"/>
        <v>0</v>
      </c>
      <c r="AR54" s="299">
        <f t="shared" si="23"/>
        <v>0</v>
      </c>
      <c r="AS54" s="299">
        <f t="shared" si="23"/>
        <v>0</v>
      </c>
      <c r="AT54" s="299">
        <f t="shared" si="23"/>
        <v>0</v>
      </c>
      <c r="AU54" s="299">
        <f t="shared" si="23"/>
        <v>0</v>
      </c>
      <c r="AV54" s="299">
        <f t="shared" si="23"/>
        <v>0</v>
      </c>
      <c r="AW54" s="299">
        <f t="shared" si="23"/>
        <v>0</v>
      </c>
      <c r="AX54" s="299">
        <f t="shared" si="23"/>
        <v>0</v>
      </c>
      <c r="AY54" s="299">
        <f t="shared" si="23"/>
        <v>0</v>
      </c>
      <c r="AZ54" s="299">
        <f t="shared" si="23"/>
        <v>0</v>
      </c>
      <c r="BA54" s="299">
        <f t="shared" si="23"/>
        <v>0</v>
      </c>
      <c r="BB54" s="299">
        <f t="shared" si="23"/>
        <v>0</v>
      </c>
      <c r="BC54" s="299">
        <f t="shared" si="23"/>
        <v>0</v>
      </c>
      <c r="BD54" s="280"/>
      <c r="BE54" s="280"/>
      <c r="BF54" s="280"/>
    </row>
    <row r="55" spans="1:58" s="192" customFormat="1" ht="18" hidden="1" customHeight="1" outlineLevel="1" x14ac:dyDescent="0.25">
      <c r="B55" s="732" t="str">
        <f>B83</f>
        <v>Incineração</v>
      </c>
      <c r="C55" s="291" t="str">
        <f>C83</f>
        <v>Não</v>
      </c>
      <c r="D55" s="291">
        <f>'R&amp;C-Painel de Controle'!H70</f>
        <v>0</v>
      </c>
      <c r="E55" s="301"/>
      <c r="F55" s="301"/>
      <c r="G55" s="301"/>
      <c r="H55" s="301"/>
      <c r="I55" s="301"/>
      <c r="J55" s="301"/>
      <c r="K55" s="301"/>
      <c r="L55" s="301"/>
      <c r="M55" s="301"/>
      <c r="N55" s="301"/>
      <c r="O55" s="301"/>
      <c r="P55" s="301"/>
      <c r="Q55" s="301"/>
      <c r="R55" s="301"/>
      <c r="S55" s="301"/>
      <c r="T55" s="301"/>
      <c r="U55" s="301"/>
      <c r="V55" s="301"/>
      <c r="W55" s="301"/>
      <c r="X55" s="301"/>
      <c r="Y55" s="301"/>
      <c r="Z55" s="301"/>
      <c r="AA55" s="301"/>
      <c r="AB55" s="301"/>
      <c r="AC55" s="301"/>
      <c r="AD55" s="301"/>
      <c r="AE55" s="301"/>
      <c r="AF55" s="301"/>
      <c r="AG55" s="301"/>
      <c r="AH55" s="301"/>
      <c r="AI55" s="301"/>
      <c r="AJ55" s="301"/>
      <c r="AK55" s="301"/>
      <c r="AL55" s="301"/>
      <c r="AM55" s="301"/>
      <c r="AN55" s="301"/>
      <c r="AO55" s="301"/>
      <c r="AP55" s="301"/>
      <c r="AQ55" s="301"/>
      <c r="AR55" s="301"/>
      <c r="AS55" s="301"/>
      <c r="AT55" s="301"/>
      <c r="AU55" s="301"/>
      <c r="AV55" s="301"/>
      <c r="AW55" s="301"/>
      <c r="AX55" s="301"/>
      <c r="AY55" s="301"/>
      <c r="AZ55" s="301"/>
      <c r="BA55" s="301"/>
      <c r="BB55" s="301"/>
      <c r="BC55" s="301"/>
      <c r="BD55" s="274"/>
      <c r="BE55" s="274"/>
      <c r="BF55" s="274"/>
    </row>
    <row r="56" spans="1:58" s="192" customFormat="1" ht="18" hidden="1" customHeight="1" outlineLevel="1" x14ac:dyDescent="0.25">
      <c r="B56" s="260" t="s">
        <v>620</v>
      </c>
      <c r="C56" s="292">
        <f>IF(SUM(C84)&lt;100%,0,100%)</f>
        <v>0</v>
      </c>
      <c r="D56" s="289">
        <f>IF(SUM($C84:D84)&lt;100%,0,100%)</f>
        <v>0</v>
      </c>
      <c r="E56" s="292">
        <v>0</v>
      </c>
      <c r="F56" s="292">
        <f t="shared" ref="F56:Q56" si="24">IF(SUM($C84:F84)&lt;100%,0,100%)</f>
        <v>1</v>
      </c>
      <c r="G56" s="292">
        <f t="shared" si="24"/>
        <v>1</v>
      </c>
      <c r="H56" s="292">
        <f t="shared" si="24"/>
        <v>1</v>
      </c>
      <c r="I56" s="292">
        <f t="shared" si="24"/>
        <v>1</v>
      </c>
      <c r="J56" s="292">
        <f t="shared" si="24"/>
        <v>1</v>
      </c>
      <c r="K56" s="292">
        <f t="shared" si="24"/>
        <v>1</v>
      </c>
      <c r="L56" s="292">
        <f t="shared" si="24"/>
        <v>1</v>
      </c>
      <c r="M56" s="292">
        <f t="shared" si="24"/>
        <v>1</v>
      </c>
      <c r="N56" s="292">
        <f t="shared" si="24"/>
        <v>1</v>
      </c>
      <c r="O56" s="292">
        <f t="shared" si="24"/>
        <v>1</v>
      </c>
      <c r="P56" s="292">
        <f t="shared" si="24"/>
        <v>1</v>
      </c>
      <c r="Q56" s="292">
        <f t="shared" si="24"/>
        <v>1</v>
      </c>
      <c r="R56" s="301"/>
      <c r="S56" s="301"/>
      <c r="T56" s="301"/>
      <c r="U56" s="301"/>
      <c r="V56" s="301"/>
      <c r="W56" s="301"/>
      <c r="X56" s="301"/>
      <c r="Y56" s="301"/>
      <c r="Z56" s="301"/>
      <c r="AA56" s="301"/>
      <c r="AB56" s="301"/>
      <c r="AC56" s="301"/>
      <c r="AD56" s="301"/>
      <c r="AE56" s="301"/>
      <c r="AF56" s="301"/>
      <c r="AG56" s="301"/>
      <c r="AH56" s="301"/>
      <c r="AI56" s="301"/>
      <c r="AJ56" s="301"/>
      <c r="AK56" s="301"/>
      <c r="AL56" s="301"/>
      <c r="AM56" s="301"/>
      <c r="AN56" s="301"/>
      <c r="AO56" s="301"/>
      <c r="AP56" s="301"/>
      <c r="AQ56" s="301"/>
      <c r="AR56" s="301"/>
      <c r="AS56" s="301"/>
      <c r="AT56" s="301"/>
      <c r="AU56" s="301"/>
      <c r="AV56" s="301"/>
      <c r="AW56" s="301"/>
      <c r="AX56" s="301"/>
      <c r="AY56" s="301"/>
      <c r="AZ56" s="301"/>
      <c r="BA56" s="301"/>
      <c r="BB56" s="301"/>
      <c r="BC56" s="659"/>
      <c r="BD56" s="274"/>
      <c r="BE56" s="274"/>
      <c r="BF56" s="274"/>
    </row>
    <row r="57" spans="1:58" s="192" customFormat="1" ht="18" hidden="1" customHeight="1" outlineLevel="1" x14ac:dyDescent="0.25">
      <c r="B57" s="260" t="s">
        <v>621</v>
      </c>
      <c r="C57" s="293">
        <f>C56*$D$55</f>
        <v>0</v>
      </c>
      <c r="D57" s="295">
        <f t="shared" ref="D57:Q57" si="25">D56*$D$55*(1+$C$8)</f>
        <v>0</v>
      </c>
      <c r="E57" s="299">
        <f t="shared" si="25"/>
        <v>0</v>
      </c>
      <c r="F57" s="299">
        <f t="shared" si="25"/>
        <v>0</v>
      </c>
      <c r="G57" s="299">
        <f t="shared" si="25"/>
        <v>0</v>
      </c>
      <c r="H57" s="299">
        <f t="shared" si="25"/>
        <v>0</v>
      </c>
      <c r="I57" s="299">
        <f t="shared" si="25"/>
        <v>0</v>
      </c>
      <c r="J57" s="299">
        <f t="shared" si="25"/>
        <v>0</v>
      </c>
      <c r="K57" s="299">
        <f t="shared" si="25"/>
        <v>0</v>
      </c>
      <c r="L57" s="299">
        <f t="shared" si="25"/>
        <v>0</v>
      </c>
      <c r="M57" s="299">
        <f t="shared" si="25"/>
        <v>0</v>
      </c>
      <c r="N57" s="299">
        <f t="shared" si="25"/>
        <v>0</v>
      </c>
      <c r="O57" s="299">
        <f t="shared" si="25"/>
        <v>0</v>
      </c>
      <c r="P57" s="299">
        <f t="shared" si="25"/>
        <v>0</v>
      </c>
      <c r="Q57" s="299">
        <f t="shared" si="25"/>
        <v>0</v>
      </c>
      <c r="R57" s="299">
        <f t="shared" ref="R57:BC57" si="26">Q57*(1+$C$8)</f>
        <v>0</v>
      </c>
      <c r="S57" s="299">
        <f t="shared" si="26"/>
        <v>0</v>
      </c>
      <c r="T57" s="299">
        <f t="shared" si="26"/>
        <v>0</v>
      </c>
      <c r="U57" s="299">
        <f t="shared" si="26"/>
        <v>0</v>
      </c>
      <c r="V57" s="299">
        <f t="shared" si="26"/>
        <v>0</v>
      </c>
      <c r="W57" s="299">
        <f t="shared" si="26"/>
        <v>0</v>
      </c>
      <c r="X57" s="299">
        <f t="shared" si="26"/>
        <v>0</v>
      </c>
      <c r="Y57" s="299">
        <f t="shared" si="26"/>
        <v>0</v>
      </c>
      <c r="Z57" s="299">
        <f t="shared" si="26"/>
        <v>0</v>
      </c>
      <c r="AA57" s="299">
        <f t="shared" si="26"/>
        <v>0</v>
      </c>
      <c r="AB57" s="299">
        <f t="shared" si="26"/>
        <v>0</v>
      </c>
      <c r="AC57" s="299">
        <f t="shared" si="26"/>
        <v>0</v>
      </c>
      <c r="AD57" s="299">
        <f t="shared" si="26"/>
        <v>0</v>
      </c>
      <c r="AE57" s="299">
        <f t="shared" si="26"/>
        <v>0</v>
      </c>
      <c r="AF57" s="299">
        <f t="shared" si="26"/>
        <v>0</v>
      </c>
      <c r="AG57" s="299">
        <f t="shared" si="26"/>
        <v>0</v>
      </c>
      <c r="AH57" s="299">
        <f t="shared" si="26"/>
        <v>0</v>
      </c>
      <c r="AI57" s="299">
        <f t="shared" si="26"/>
        <v>0</v>
      </c>
      <c r="AJ57" s="299">
        <f t="shared" si="26"/>
        <v>0</v>
      </c>
      <c r="AK57" s="299">
        <f t="shared" si="26"/>
        <v>0</v>
      </c>
      <c r="AL57" s="299">
        <f t="shared" si="26"/>
        <v>0</v>
      </c>
      <c r="AM57" s="299">
        <f t="shared" si="26"/>
        <v>0</v>
      </c>
      <c r="AN57" s="299">
        <f t="shared" si="26"/>
        <v>0</v>
      </c>
      <c r="AO57" s="299">
        <f t="shared" si="26"/>
        <v>0</v>
      </c>
      <c r="AP57" s="299">
        <f t="shared" si="26"/>
        <v>0</v>
      </c>
      <c r="AQ57" s="299">
        <f t="shared" si="26"/>
        <v>0</v>
      </c>
      <c r="AR57" s="299">
        <f t="shared" si="26"/>
        <v>0</v>
      </c>
      <c r="AS57" s="299">
        <f t="shared" si="26"/>
        <v>0</v>
      </c>
      <c r="AT57" s="299">
        <f t="shared" si="26"/>
        <v>0</v>
      </c>
      <c r="AU57" s="299">
        <f t="shared" si="26"/>
        <v>0</v>
      </c>
      <c r="AV57" s="299">
        <f t="shared" si="26"/>
        <v>0</v>
      </c>
      <c r="AW57" s="299">
        <f t="shared" si="26"/>
        <v>0</v>
      </c>
      <c r="AX57" s="299">
        <f t="shared" si="26"/>
        <v>0</v>
      </c>
      <c r="AY57" s="299">
        <f t="shared" si="26"/>
        <v>0</v>
      </c>
      <c r="AZ57" s="299">
        <f t="shared" si="26"/>
        <v>0</v>
      </c>
      <c r="BA57" s="299">
        <f t="shared" si="26"/>
        <v>0</v>
      </c>
      <c r="BB57" s="299">
        <f t="shared" si="26"/>
        <v>0</v>
      </c>
      <c r="BC57" s="299">
        <f t="shared" si="26"/>
        <v>0</v>
      </c>
      <c r="BD57" s="280"/>
      <c r="BE57" s="280"/>
      <c r="BF57" s="280"/>
    </row>
    <row r="58" spans="1:58" s="192" customFormat="1" ht="18" hidden="1" customHeight="1" outlineLevel="1" x14ac:dyDescent="0.25">
      <c r="B58" s="732" t="str">
        <f>B86</f>
        <v>Aterro Sanitário</v>
      </c>
      <c r="C58" s="291" t="str">
        <f>C86</f>
        <v>Sim</v>
      </c>
      <c r="D58" s="291">
        <f>'R&amp;C-Painel de Controle'!H73</f>
        <v>70017.417820512841</v>
      </c>
      <c r="E58" s="301"/>
      <c r="F58" s="301"/>
      <c r="G58" s="301"/>
      <c r="H58" s="301"/>
      <c r="I58" s="301"/>
      <c r="J58" s="301"/>
      <c r="K58" s="301"/>
      <c r="L58" s="301"/>
      <c r="M58" s="301"/>
      <c r="N58" s="301"/>
      <c r="O58" s="301"/>
      <c r="P58" s="301"/>
      <c r="Q58" s="301"/>
      <c r="R58" s="301"/>
      <c r="S58" s="301"/>
      <c r="T58" s="301"/>
      <c r="U58" s="301"/>
      <c r="V58" s="301"/>
      <c r="W58" s="301"/>
      <c r="X58" s="301"/>
      <c r="Y58" s="301"/>
      <c r="Z58" s="301"/>
      <c r="AA58" s="301"/>
      <c r="AB58" s="301"/>
      <c r="AC58" s="301"/>
      <c r="AD58" s="301"/>
      <c r="AE58" s="301"/>
      <c r="AF58" s="301"/>
      <c r="AG58" s="301"/>
      <c r="AH58" s="301"/>
      <c r="AI58" s="301"/>
      <c r="AJ58" s="301"/>
      <c r="AK58" s="301"/>
      <c r="AL58" s="301"/>
      <c r="AM58" s="301"/>
      <c r="AN58" s="301"/>
      <c r="AO58" s="301"/>
      <c r="AP58" s="301"/>
      <c r="AQ58" s="301"/>
      <c r="AR58" s="301"/>
      <c r="AS58" s="301"/>
      <c r="AT58" s="301"/>
      <c r="AU58" s="301"/>
      <c r="AV58" s="301"/>
      <c r="AW58" s="301"/>
      <c r="AX58" s="301"/>
      <c r="AY58" s="301"/>
      <c r="AZ58" s="301"/>
      <c r="BA58" s="301"/>
      <c r="BB58" s="301"/>
      <c r="BC58" s="301"/>
      <c r="BD58" s="274"/>
      <c r="BE58" s="274"/>
      <c r="BF58" s="274"/>
    </row>
    <row r="59" spans="1:58" s="192" customFormat="1" ht="18" hidden="1" customHeight="1" outlineLevel="1" x14ac:dyDescent="0.25">
      <c r="B59" s="260" t="s">
        <v>620</v>
      </c>
      <c r="C59" s="292">
        <f>IF(SUM(C87)&lt;100%,0,100%)</f>
        <v>0</v>
      </c>
      <c r="D59" s="289">
        <f>IF(SUM($C87:D87)&lt;100%,0,100%)</f>
        <v>0</v>
      </c>
      <c r="E59" s="292">
        <v>0</v>
      </c>
      <c r="F59" s="292">
        <f t="shared" ref="F59:Q59" si="27">IF(SUM($C87:F87)&lt;100%,0,100%)</f>
        <v>1</v>
      </c>
      <c r="G59" s="292">
        <f t="shared" si="27"/>
        <v>1</v>
      </c>
      <c r="H59" s="292">
        <f t="shared" si="27"/>
        <v>1</v>
      </c>
      <c r="I59" s="292">
        <f t="shared" si="27"/>
        <v>1</v>
      </c>
      <c r="J59" s="292">
        <f t="shared" si="27"/>
        <v>1</v>
      </c>
      <c r="K59" s="292">
        <f t="shared" si="27"/>
        <v>1</v>
      </c>
      <c r="L59" s="292">
        <f t="shared" si="27"/>
        <v>1</v>
      </c>
      <c r="M59" s="292">
        <f t="shared" si="27"/>
        <v>1</v>
      </c>
      <c r="N59" s="292">
        <f t="shared" si="27"/>
        <v>1</v>
      </c>
      <c r="O59" s="292">
        <f t="shared" si="27"/>
        <v>1</v>
      </c>
      <c r="P59" s="292">
        <f t="shared" si="27"/>
        <v>1</v>
      </c>
      <c r="Q59" s="292">
        <f t="shared" si="27"/>
        <v>1</v>
      </c>
      <c r="R59" s="301"/>
      <c r="S59" s="301"/>
      <c r="T59" s="301"/>
      <c r="U59" s="301"/>
      <c r="V59" s="301"/>
      <c r="W59" s="301"/>
      <c r="X59" s="301"/>
      <c r="Y59" s="301"/>
      <c r="Z59" s="301"/>
      <c r="AA59" s="301"/>
      <c r="AB59" s="301"/>
      <c r="AC59" s="301"/>
      <c r="AD59" s="301"/>
      <c r="AE59" s="301"/>
      <c r="AF59" s="301"/>
      <c r="AG59" s="301"/>
      <c r="AH59" s="301"/>
      <c r="AI59" s="301"/>
      <c r="AJ59" s="301"/>
      <c r="AK59" s="301"/>
      <c r="AL59" s="301"/>
      <c r="AM59" s="301"/>
      <c r="AN59" s="301"/>
      <c r="AO59" s="301"/>
      <c r="AP59" s="301"/>
      <c r="AQ59" s="301"/>
      <c r="AR59" s="301"/>
      <c r="AS59" s="301"/>
      <c r="AT59" s="301"/>
      <c r="AU59" s="301"/>
      <c r="AV59" s="301"/>
      <c r="AW59" s="301"/>
      <c r="AX59" s="301"/>
      <c r="AY59" s="301"/>
      <c r="AZ59" s="301"/>
      <c r="BA59" s="301"/>
      <c r="BB59" s="301"/>
      <c r="BC59" s="301"/>
      <c r="BD59" s="274"/>
      <c r="BE59" s="274"/>
      <c r="BF59" s="274"/>
    </row>
    <row r="60" spans="1:58" s="192" customFormat="1" ht="18" hidden="1" customHeight="1" outlineLevel="1" x14ac:dyDescent="0.25">
      <c r="B60" s="260" t="s">
        <v>621</v>
      </c>
      <c r="C60" s="293">
        <f>C59*$D$58</f>
        <v>0</v>
      </c>
      <c r="D60" s="295">
        <f t="shared" ref="D60:Q60" si="28">D59*$D$58*(1+$C$8)</f>
        <v>0</v>
      </c>
      <c r="E60" s="299">
        <f t="shared" si="28"/>
        <v>0</v>
      </c>
      <c r="F60" s="299">
        <f t="shared" si="28"/>
        <v>70346.499684269249</v>
      </c>
      <c r="G60" s="299">
        <f t="shared" si="28"/>
        <v>70346.499684269249</v>
      </c>
      <c r="H60" s="299">
        <f t="shared" si="28"/>
        <v>70346.499684269249</v>
      </c>
      <c r="I60" s="299">
        <f t="shared" si="28"/>
        <v>70346.499684269249</v>
      </c>
      <c r="J60" s="299">
        <f t="shared" si="28"/>
        <v>70346.499684269249</v>
      </c>
      <c r="K60" s="299">
        <f t="shared" si="28"/>
        <v>70346.499684269249</v>
      </c>
      <c r="L60" s="299">
        <f t="shared" si="28"/>
        <v>70346.499684269249</v>
      </c>
      <c r="M60" s="299">
        <f t="shared" si="28"/>
        <v>70346.499684269249</v>
      </c>
      <c r="N60" s="299">
        <f t="shared" si="28"/>
        <v>70346.499684269249</v>
      </c>
      <c r="O60" s="299">
        <f t="shared" si="28"/>
        <v>70346.499684269249</v>
      </c>
      <c r="P60" s="299">
        <f t="shared" si="28"/>
        <v>70346.499684269249</v>
      </c>
      <c r="Q60" s="299">
        <f t="shared" si="28"/>
        <v>70346.499684269249</v>
      </c>
      <c r="R60" s="299">
        <f t="shared" ref="R60:BC60" si="29">Q60*(1+$C$8)</f>
        <v>70677.128232785311</v>
      </c>
      <c r="S60" s="299">
        <f t="shared" si="29"/>
        <v>71009.31073547939</v>
      </c>
      <c r="T60" s="299">
        <f t="shared" si="29"/>
        <v>71343.054495936143</v>
      </c>
      <c r="U60" s="299">
        <f t="shared" si="29"/>
        <v>71678.366852067033</v>
      </c>
      <c r="V60" s="299">
        <f t="shared" si="29"/>
        <v>72015.255176271748</v>
      </c>
      <c r="W60" s="299">
        <f t="shared" si="29"/>
        <v>72353.726875600216</v>
      </c>
      <c r="X60" s="299">
        <f t="shared" si="29"/>
        <v>72693.789391915532</v>
      </c>
      <c r="Y60" s="299">
        <f t="shared" si="29"/>
        <v>73035.450202057531</v>
      </c>
      <c r="Z60" s="299">
        <f t="shared" si="29"/>
        <v>73378.716818007189</v>
      </c>
      <c r="AA60" s="299">
        <f t="shared" si="29"/>
        <v>73723.596787051822</v>
      </c>
      <c r="AB60" s="299">
        <f t="shared" si="29"/>
        <v>74070.097691950956</v>
      </c>
      <c r="AC60" s="299">
        <f t="shared" si="29"/>
        <v>74418.227151103114</v>
      </c>
      <c r="AD60" s="299">
        <f t="shared" si="29"/>
        <v>74767.99281871329</v>
      </c>
      <c r="AE60" s="299">
        <f t="shared" si="29"/>
        <v>75119.402384961242</v>
      </c>
      <c r="AF60" s="299">
        <f t="shared" si="29"/>
        <v>75472.463576170558</v>
      </c>
      <c r="AG60" s="299">
        <f t="shared" si="29"/>
        <v>75827.18415497856</v>
      </c>
      <c r="AH60" s="299">
        <f t="shared" si="29"/>
        <v>76183.571920506947</v>
      </c>
      <c r="AI60" s="299">
        <f t="shared" si="29"/>
        <v>76541.634708533325</v>
      </c>
      <c r="AJ60" s="299">
        <f t="shared" si="29"/>
        <v>76901.380391663421</v>
      </c>
      <c r="AK60" s="299">
        <f t="shared" si="29"/>
        <v>77262.816879504229</v>
      </c>
      <c r="AL60" s="299">
        <f t="shared" si="29"/>
        <v>77625.9521188379</v>
      </c>
      <c r="AM60" s="299">
        <f t="shared" si="29"/>
        <v>77990.79409379643</v>
      </c>
      <c r="AN60" s="299">
        <f t="shared" si="29"/>
        <v>78357.350826037262</v>
      </c>
      <c r="AO60" s="299">
        <f t="shared" si="29"/>
        <v>78725.630374919638</v>
      </c>
      <c r="AP60" s="299">
        <f t="shared" si="29"/>
        <v>79095.640837681756</v>
      </c>
      <c r="AQ60" s="299">
        <f t="shared" si="29"/>
        <v>79467.390349618858</v>
      </c>
      <c r="AR60" s="299">
        <f t="shared" si="29"/>
        <v>79840.887084262067</v>
      </c>
      <c r="AS60" s="299">
        <f t="shared" si="29"/>
        <v>80216.139253558096</v>
      </c>
      <c r="AT60" s="299">
        <f t="shared" si="29"/>
        <v>80593.155108049817</v>
      </c>
      <c r="AU60" s="299">
        <f t="shared" si="29"/>
        <v>80971.94293705764</v>
      </c>
      <c r="AV60" s="299">
        <f t="shared" si="29"/>
        <v>81352.511068861801</v>
      </c>
      <c r="AW60" s="299">
        <f t="shared" si="29"/>
        <v>81734.867870885442</v>
      </c>
      <c r="AX60" s="299">
        <f t="shared" si="29"/>
        <v>82119.021749878593</v>
      </c>
      <c r="AY60" s="299">
        <f t="shared" si="29"/>
        <v>82504.981152103021</v>
      </c>
      <c r="AZ60" s="299">
        <f t="shared" si="29"/>
        <v>82892.754563517898</v>
      </c>
      <c r="BA60" s="299">
        <f t="shared" si="29"/>
        <v>83282.350509966433</v>
      </c>
      <c r="BB60" s="299">
        <f t="shared" si="29"/>
        <v>83673.777557363268</v>
      </c>
      <c r="BC60" s="299">
        <f t="shared" si="29"/>
        <v>84067.04431188287</v>
      </c>
      <c r="BD60" s="280"/>
      <c r="BE60" s="280"/>
      <c r="BF60" s="280"/>
    </row>
    <row r="61" spans="1:58" s="192" customFormat="1" ht="18" hidden="1" customHeight="1" outlineLevel="1" x14ac:dyDescent="0.25">
      <c r="B61" s="732" t="s">
        <v>622</v>
      </c>
      <c r="C61" s="294">
        <f>C35</f>
        <v>146000</v>
      </c>
      <c r="D61" s="296">
        <f>D35</f>
        <v>146686.19999999998</v>
      </c>
      <c r="E61" s="294">
        <f>'R&amp;C-Painel de Controle'!D46</f>
        <v>0</v>
      </c>
      <c r="F61" s="294">
        <f t="shared" ref="F61:Q61" si="30">E61*(1+$C$8)</f>
        <v>0</v>
      </c>
      <c r="G61" s="294">
        <f t="shared" si="30"/>
        <v>0</v>
      </c>
      <c r="H61" s="294">
        <f t="shared" si="30"/>
        <v>0</v>
      </c>
      <c r="I61" s="294">
        <f t="shared" si="30"/>
        <v>0</v>
      </c>
      <c r="J61" s="294">
        <f t="shared" si="30"/>
        <v>0</v>
      </c>
      <c r="K61" s="294">
        <f t="shared" si="30"/>
        <v>0</v>
      </c>
      <c r="L61" s="294">
        <f t="shared" si="30"/>
        <v>0</v>
      </c>
      <c r="M61" s="294">
        <f t="shared" si="30"/>
        <v>0</v>
      </c>
      <c r="N61" s="294">
        <f t="shared" si="30"/>
        <v>0</v>
      </c>
      <c r="O61" s="294">
        <f t="shared" si="30"/>
        <v>0</v>
      </c>
      <c r="P61" s="294">
        <f t="shared" si="30"/>
        <v>0</v>
      </c>
      <c r="Q61" s="294">
        <f t="shared" si="30"/>
        <v>0</v>
      </c>
      <c r="R61" s="294">
        <f t="shared" ref="R61:BC61" si="31">Q61*(1+$C$8)</f>
        <v>0</v>
      </c>
      <c r="S61" s="294">
        <f t="shared" si="31"/>
        <v>0</v>
      </c>
      <c r="T61" s="294">
        <f t="shared" si="31"/>
        <v>0</v>
      </c>
      <c r="U61" s="294">
        <f t="shared" si="31"/>
        <v>0</v>
      </c>
      <c r="V61" s="294">
        <f t="shared" si="31"/>
        <v>0</v>
      </c>
      <c r="W61" s="294">
        <f t="shared" si="31"/>
        <v>0</v>
      </c>
      <c r="X61" s="294">
        <f t="shared" si="31"/>
        <v>0</v>
      </c>
      <c r="Y61" s="294">
        <f t="shared" si="31"/>
        <v>0</v>
      </c>
      <c r="Z61" s="294">
        <f t="shared" si="31"/>
        <v>0</v>
      </c>
      <c r="AA61" s="294">
        <f t="shared" si="31"/>
        <v>0</v>
      </c>
      <c r="AB61" s="294">
        <f t="shared" si="31"/>
        <v>0</v>
      </c>
      <c r="AC61" s="294">
        <f t="shared" si="31"/>
        <v>0</v>
      </c>
      <c r="AD61" s="294">
        <f t="shared" si="31"/>
        <v>0</v>
      </c>
      <c r="AE61" s="294">
        <f t="shared" si="31"/>
        <v>0</v>
      </c>
      <c r="AF61" s="294">
        <f t="shared" si="31"/>
        <v>0</v>
      </c>
      <c r="AG61" s="294">
        <f t="shared" si="31"/>
        <v>0</v>
      </c>
      <c r="AH61" s="294">
        <f t="shared" si="31"/>
        <v>0</v>
      </c>
      <c r="AI61" s="294">
        <f t="shared" si="31"/>
        <v>0</v>
      </c>
      <c r="AJ61" s="294">
        <f t="shared" si="31"/>
        <v>0</v>
      </c>
      <c r="AK61" s="294">
        <f t="shared" si="31"/>
        <v>0</v>
      </c>
      <c r="AL61" s="294">
        <f t="shared" si="31"/>
        <v>0</v>
      </c>
      <c r="AM61" s="294">
        <f t="shared" si="31"/>
        <v>0</v>
      </c>
      <c r="AN61" s="294">
        <f t="shared" si="31"/>
        <v>0</v>
      </c>
      <c r="AO61" s="294">
        <f t="shared" si="31"/>
        <v>0</v>
      </c>
      <c r="AP61" s="294">
        <f t="shared" si="31"/>
        <v>0</v>
      </c>
      <c r="AQ61" s="294">
        <f t="shared" si="31"/>
        <v>0</v>
      </c>
      <c r="AR61" s="294">
        <f t="shared" si="31"/>
        <v>0</v>
      </c>
      <c r="AS61" s="294">
        <f t="shared" si="31"/>
        <v>0</v>
      </c>
      <c r="AT61" s="294">
        <f t="shared" si="31"/>
        <v>0</v>
      </c>
      <c r="AU61" s="294">
        <f t="shared" si="31"/>
        <v>0</v>
      </c>
      <c r="AV61" s="294">
        <f t="shared" si="31"/>
        <v>0</v>
      </c>
      <c r="AW61" s="294">
        <f t="shared" si="31"/>
        <v>0</v>
      </c>
      <c r="AX61" s="294">
        <f t="shared" si="31"/>
        <v>0</v>
      </c>
      <c r="AY61" s="294">
        <f t="shared" si="31"/>
        <v>0</v>
      </c>
      <c r="AZ61" s="294">
        <f t="shared" si="31"/>
        <v>0</v>
      </c>
      <c r="BA61" s="294">
        <f t="shared" si="31"/>
        <v>0</v>
      </c>
      <c r="BB61" s="294">
        <f t="shared" si="31"/>
        <v>0</v>
      </c>
      <c r="BC61" s="294">
        <f t="shared" si="31"/>
        <v>0</v>
      </c>
      <c r="BD61" s="280"/>
      <c r="BE61" s="280"/>
      <c r="BF61" s="280"/>
    </row>
    <row r="62" spans="1:58" s="192" customFormat="1" ht="18" customHeight="1" x14ac:dyDescent="0.25">
      <c r="B62" s="193" t="s">
        <v>898</v>
      </c>
      <c r="C62" s="1485">
        <v>0</v>
      </c>
      <c r="D62" s="281"/>
      <c r="E62" s="281"/>
      <c r="F62" s="281"/>
      <c r="G62" s="281"/>
      <c r="H62" s="281"/>
      <c r="I62" s="281"/>
      <c r="J62" s="281"/>
      <c r="K62" s="281"/>
      <c r="L62" s="281"/>
      <c r="M62" s="281"/>
      <c r="N62" s="281"/>
      <c r="O62" s="281"/>
      <c r="P62" s="281"/>
      <c r="Q62" s="281"/>
      <c r="R62" s="274"/>
    </row>
    <row r="63" spans="1:58" s="192" customFormat="1" ht="25.9" customHeight="1" collapsed="1" x14ac:dyDescent="0.25">
      <c r="B63" s="738" t="s">
        <v>358</v>
      </c>
      <c r="C63" s="281">
        <f>((C67+C70+C73+C76+C79+C82+C85+C88+'R&amp;C-Painel de Controle'!H21)+('R&amp;C-Painel de Controle'!$K$77*$H$27/5+'R&amp;C-Painel de Controle'!$K$75*$H$27/20+'R&amp;C-Painel de Controle'!$D$29+'R&amp;C-Painel de Controle'!$D$30)/3*(1+$C$62))</f>
        <v>79.308724236660794</v>
      </c>
      <c r="D63" s="281">
        <f>((D67+D70+D73+D76+D79+D82+D85+D88+'R&amp;C-Painel de Controle'!I21)+('R&amp;C-Painel de Controle'!$K$77*$H$27/5+'R&amp;C-Painel de Controle'!$K$75*$H$27/20+'R&amp;C-Painel de Controle'!$D$29+'R&amp;C-Painel de Controle'!$D$30)/3*(1+$C$62))</f>
        <v>121.06304957243202</v>
      </c>
      <c r="E63" s="281">
        <f>((E67+E70+E73+E76+E79+E82+E85+E88+'R&amp;C-Painel de Controle'!J21)+('R&amp;C-Painel de Controle'!$K$77*$H$27/5+'R&amp;C-Painel de Controle'!$K$75*$H$27/20+'R&amp;C-Painel de Controle'!$D$29+'R&amp;C-Painel de Controle'!$D$30)/3*(1+$C$62))</f>
        <v>111.3935103955976</v>
      </c>
      <c r="F63" s="281">
        <f>(F67+F70+F73+F76+F79+F82+F85+F88)*(1+$C$62)</f>
        <v>0</v>
      </c>
      <c r="G63" s="281">
        <f t="shared" ref="G63:BC63" si="32">(G67+G70+G73+G76+G79+G82+G85+G88)*(1+$C$62)</f>
        <v>0</v>
      </c>
      <c r="H63" s="281">
        <f t="shared" si="32"/>
        <v>0</v>
      </c>
      <c r="I63" s="281">
        <f t="shared" si="32"/>
        <v>0</v>
      </c>
      <c r="J63" s="281">
        <f t="shared" si="32"/>
        <v>0</v>
      </c>
      <c r="K63" s="281">
        <f t="shared" si="32"/>
        <v>0</v>
      </c>
      <c r="L63" s="281">
        <f t="shared" si="32"/>
        <v>0</v>
      </c>
      <c r="M63" s="281">
        <f t="shared" si="32"/>
        <v>0</v>
      </c>
      <c r="N63" s="281">
        <f t="shared" si="32"/>
        <v>0</v>
      </c>
      <c r="O63" s="281">
        <f t="shared" si="32"/>
        <v>0</v>
      </c>
      <c r="P63" s="281">
        <f t="shared" si="32"/>
        <v>0</v>
      </c>
      <c r="Q63" s="281">
        <f t="shared" si="32"/>
        <v>0</v>
      </c>
      <c r="R63" s="281">
        <f t="shared" si="32"/>
        <v>0</v>
      </c>
      <c r="S63" s="281">
        <f t="shared" si="32"/>
        <v>0</v>
      </c>
      <c r="T63" s="281">
        <f t="shared" si="32"/>
        <v>0</v>
      </c>
      <c r="U63" s="281">
        <f t="shared" si="32"/>
        <v>0</v>
      </c>
      <c r="V63" s="281">
        <f t="shared" si="32"/>
        <v>0</v>
      </c>
      <c r="W63" s="281">
        <f t="shared" si="32"/>
        <v>0</v>
      </c>
      <c r="X63" s="281">
        <f t="shared" si="32"/>
        <v>0</v>
      </c>
      <c r="Y63" s="281">
        <f t="shared" si="32"/>
        <v>0</v>
      </c>
      <c r="Z63" s="281">
        <f t="shared" si="32"/>
        <v>0</v>
      </c>
      <c r="AA63" s="281">
        <f t="shared" si="32"/>
        <v>0</v>
      </c>
      <c r="AB63" s="281">
        <f t="shared" si="32"/>
        <v>0</v>
      </c>
      <c r="AC63" s="281">
        <f t="shared" si="32"/>
        <v>0</v>
      </c>
      <c r="AD63" s="281">
        <f t="shared" si="32"/>
        <v>0</v>
      </c>
      <c r="AE63" s="281">
        <f t="shared" si="32"/>
        <v>0</v>
      </c>
      <c r="AF63" s="281">
        <f t="shared" si="32"/>
        <v>0</v>
      </c>
      <c r="AG63" s="281">
        <f t="shared" si="32"/>
        <v>0</v>
      </c>
      <c r="AH63" s="281">
        <f t="shared" si="32"/>
        <v>0</v>
      </c>
      <c r="AI63" s="281">
        <f t="shared" si="32"/>
        <v>0</v>
      </c>
      <c r="AJ63" s="281">
        <f t="shared" si="32"/>
        <v>0</v>
      </c>
      <c r="AK63" s="281">
        <f t="shared" si="32"/>
        <v>0</v>
      </c>
      <c r="AL63" s="281">
        <f t="shared" si="32"/>
        <v>0</v>
      </c>
      <c r="AM63" s="281">
        <f t="shared" si="32"/>
        <v>0</v>
      </c>
      <c r="AN63" s="281">
        <f t="shared" si="32"/>
        <v>0</v>
      </c>
      <c r="AO63" s="281">
        <f t="shared" si="32"/>
        <v>0</v>
      </c>
      <c r="AP63" s="281">
        <f t="shared" si="32"/>
        <v>0</v>
      </c>
      <c r="AQ63" s="281">
        <f t="shared" si="32"/>
        <v>0</v>
      </c>
      <c r="AR63" s="281">
        <f t="shared" si="32"/>
        <v>0</v>
      </c>
      <c r="AS63" s="281">
        <f t="shared" si="32"/>
        <v>0</v>
      </c>
      <c r="AT63" s="281">
        <f t="shared" si="32"/>
        <v>0</v>
      </c>
      <c r="AU63" s="281">
        <f t="shared" si="32"/>
        <v>0</v>
      </c>
      <c r="AV63" s="281">
        <f t="shared" si="32"/>
        <v>0</v>
      </c>
      <c r="AW63" s="281">
        <f t="shared" si="32"/>
        <v>0</v>
      </c>
      <c r="AX63" s="281">
        <f t="shared" si="32"/>
        <v>0</v>
      </c>
      <c r="AY63" s="281">
        <f t="shared" si="32"/>
        <v>0</v>
      </c>
      <c r="AZ63" s="281">
        <f t="shared" si="32"/>
        <v>0</v>
      </c>
      <c r="BA63" s="281">
        <f t="shared" si="32"/>
        <v>0</v>
      </c>
      <c r="BB63" s="281">
        <f t="shared" si="32"/>
        <v>0</v>
      </c>
      <c r="BC63" s="281">
        <f t="shared" si="32"/>
        <v>0</v>
      </c>
    </row>
    <row r="64" spans="1:58" s="192" customFormat="1" ht="18" hidden="1" customHeight="1" outlineLevel="1" x14ac:dyDescent="0.25">
      <c r="A64" s="277"/>
      <c r="B64" s="228" t="s">
        <v>356</v>
      </c>
      <c r="C64" s="277" t="s">
        <v>357</v>
      </c>
      <c r="D64" s="277" t="s">
        <v>255</v>
      </c>
      <c r="E64" s="277"/>
      <c r="F64" s="277"/>
      <c r="G64" s="277"/>
      <c r="H64" s="277"/>
      <c r="I64" s="277"/>
      <c r="J64" s="277"/>
      <c r="K64" s="277"/>
      <c r="L64" s="277"/>
      <c r="M64" s="277"/>
      <c r="N64" s="277"/>
      <c r="O64" s="277"/>
      <c r="P64" s="277"/>
      <c r="Q64" s="277"/>
      <c r="R64" s="277"/>
      <c r="S64" s="277"/>
      <c r="T64" s="277"/>
      <c r="U64" s="277"/>
      <c r="V64" s="277"/>
      <c r="W64" s="277"/>
      <c r="X64" s="277"/>
      <c r="Y64" s="277"/>
      <c r="Z64" s="277"/>
      <c r="AA64" s="277"/>
      <c r="AB64" s="277"/>
      <c r="AC64" s="277"/>
      <c r="AD64" s="277"/>
      <c r="AE64" s="277"/>
      <c r="AF64" s="277"/>
      <c r="AG64" s="277"/>
      <c r="AH64" s="277"/>
      <c r="AI64" s="277"/>
      <c r="AJ64" s="277"/>
      <c r="AK64" s="277"/>
      <c r="AL64" s="277"/>
      <c r="AM64" s="277"/>
      <c r="AN64" s="277"/>
      <c r="AO64" s="277"/>
      <c r="AP64" s="277"/>
      <c r="AQ64" s="277"/>
      <c r="AR64" s="277"/>
      <c r="AS64" s="277"/>
      <c r="AT64" s="277"/>
      <c r="AU64" s="277"/>
      <c r="AV64" s="277"/>
      <c r="AW64" s="277"/>
      <c r="AX64" s="277"/>
      <c r="AY64" s="277"/>
      <c r="AZ64" s="277"/>
      <c r="BA64" s="277"/>
      <c r="BB64" s="277"/>
      <c r="BC64" s="277"/>
      <c r="BD64" s="277"/>
      <c r="BE64" s="277"/>
      <c r="BF64" s="277"/>
    </row>
    <row r="65" spans="2:55" s="192" customFormat="1" ht="18" hidden="1" customHeight="1" outlineLevel="1" x14ac:dyDescent="0.25">
      <c r="B65" s="732" t="str">
        <f>'R&amp;C-Painel de Controle'!F52</f>
        <v>Triagem Manual — Seletivos</v>
      </c>
      <c r="C65" s="291" t="str">
        <f>'R&amp;C-Painel de Controle'!G52</f>
        <v>Não</v>
      </c>
      <c r="D65" s="302">
        <f>'R&amp;C-Painel de Controle'!K52</f>
        <v>0</v>
      </c>
      <c r="R65" s="274"/>
    </row>
    <row r="66" spans="2:55" s="192" customFormat="1" ht="18" hidden="1" customHeight="1" outlineLevel="1" x14ac:dyDescent="0.25">
      <c r="B66" s="252" t="s">
        <v>620</v>
      </c>
      <c r="C66" s="292">
        <v>0.2</v>
      </c>
      <c r="D66" s="292">
        <v>0.5</v>
      </c>
      <c r="E66" s="292">
        <v>0.3</v>
      </c>
      <c r="F66" s="292">
        <v>0</v>
      </c>
      <c r="G66" s="292">
        <v>0</v>
      </c>
      <c r="H66" s="292">
        <v>0</v>
      </c>
      <c r="I66" s="292">
        <v>0</v>
      </c>
      <c r="J66" s="292">
        <v>0</v>
      </c>
      <c r="K66" s="292">
        <v>0</v>
      </c>
      <c r="L66" s="292">
        <v>0</v>
      </c>
      <c r="M66" s="292">
        <v>0</v>
      </c>
      <c r="N66" s="292">
        <v>0</v>
      </c>
      <c r="O66" s="292">
        <v>0</v>
      </c>
      <c r="P66" s="292">
        <v>0</v>
      </c>
      <c r="Q66" s="292">
        <v>0</v>
      </c>
      <c r="R66" s="292">
        <v>0</v>
      </c>
      <c r="S66" s="292">
        <v>0</v>
      </c>
      <c r="T66" s="292">
        <v>0</v>
      </c>
      <c r="U66" s="292">
        <v>0</v>
      </c>
      <c r="V66" s="292">
        <v>0</v>
      </c>
      <c r="W66" s="292">
        <v>0</v>
      </c>
      <c r="X66" s="292">
        <v>0</v>
      </c>
      <c r="Y66" s="292">
        <v>0</v>
      </c>
      <c r="Z66" s="292">
        <v>0</v>
      </c>
      <c r="AA66" s="292">
        <v>0</v>
      </c>
      <c r="AB66" s="292">
        <v>0</v>
      </c>
      <c r="AC66" s="292">
        <v>0</v>
      </c>
      <c r="AD66" s="292">
        <v>0</v>
      </c>
      <c r="AE66" s="292">
        <v>0</v>
      </c>
      <c r="AF66" s="292">
        <v>0</v>
      </c>
      <c r="AG66" s="292">
        <v>0</v>
      </c>
      <c r="AH66" s="292">
        <v>0</v>
      </c>
      <c r="AI66" s="292">
        <v>0</v>
      </c>
      <c r="AJ66" s="292">
        <v>0</v>
      </c>
      <c r="AK66" s="292">
        <v>0</v>
      </c>
      <c r="AL66" s="292">
        <v>0</v>
      </c>
      <c r="AM66" s="292">
        <v>0</v>
      </c>
      <c r="AN66" s="292">
        <v>0</v>
      </c>
      <c r="AO66" s="292">
        <v>0</v>
      </c>
      <c r="AP66" s="292">
        <v>0</v>
      </c>
      <c r="AQ66" s="292">
        <v>0</v>
      </c>
      <c r="AR66" s="292">
        <v>0</v>
      </c>
      <c r="AS66" s="292">
        <v>0</v>
      </c>
      <c r="AT66" s="292">
        <v>0</v>
      </c>
      <c r="AU66" s="292">
        <v>0</v>
      </c>
      <c r="AV66" s="292">
        <v>0</v>
      </c>
      <c r="AW66" s="292">
        <v>0</v>
      </c>
      <c r="AX66" s="292">
        <v>0</v>
      </c>
      <c r="AY66" s="292">
        <v>0</v>
      </c>
      <c r="AZ66" s="292">
        <v>0</v>
      </c>
      <c r="BA66" s="292">
        <v>0</v>
      </c>
      <c r="BB66" s="292">
        <v>0</v>
      </c>
      <c r="BC66" s="292">
        <v>0</v>
      </c>
    </row>
    <row r="67" spans="2:55" s="192" customFormat="1" ht="18" hidden="1" customHeight="1" outlineLevel="1" x14ac:dyDescent="0.25">
      <c r="B67" s="252" t="s">
        <v>359</v>
      </c>
      <c r="C67" s="299">
        <f t="shared" ref="C67:BC67" si="33">C66*$D$65</f>
        <v>0</v>
      </c>
      <c r="D67" s="299">
        <f t="shared" si="33"/>
        <v>0</v>
      </c>
      <c r="E67" s="299">
        <f t="shared" si="33"/>
        <v>0</v>
      </c>
      <c r="F67" s="299">
        <f t="shared" si="33"/>
        <v>0</v>
      </c>
      <c r="G67" s="299">
        <f t="shared" si="33"/>
        <v>0</v>
      </c>
      <c r="H67" s="299">
        <f t="shared" si="33"/>
        <v>0</v>
      </c>
      <c r="I67" s="299">
        <f t="shared" si="33"/>
        <v>0</v>
      </c>
      <c r="J67" s="299">
        <f t="shared" si="33"/>
        <v>0</v>
      </c>
      <c r="K67" s="299">
        <f t="shared" si="33"/>
        <v>0</v>
      </c>
      <c r="L67" s="299">
        <f t="shared" si="33"/>
        <v>0</v>
      </c>
      <c r="M67" s="299">
        <f t="shared" si="33"/>
        <v>0</v>
      </c>
      <c r="N67" s="299">
        <f t="shared" si="33"/>
        <v>0</v>
      </c>
      <c r="O67" s="299">
        <f t="shared" si="33"/>
        <v>0</v>
      </c>
      <c r="P67" s="299">
        <f t="shared" si="33"/>
        <v>0</v>
      </c>
      <c r="Q67" s="299">
        <f t="shared" si="33"/>
        <v>0</v>
      </c>
      <c r="R67" s="299">
        <f t="shared" si="33"/>
        <v>0</v>
      </c>
      <c r="S67" s="299">
        <f t="shared" si="33"/>
        <v>0</v>
      </c>
      <c r="T67" s="299">
        <f t="shared" si="33"/>
        <v>0</v>
      </c>
      <c r="U67" s="299">
        <f t="shared" si="33"/>
        <v>0</v>
      </c>
      <c r="V67" s="299">
        <f t="shared" si="33"/>
        <v>0</v>
      </c>
      <c r="W67" s="299">
        <f t="shared" si="33"/>
        <v>0</v>
      </c>
      <c r="X67" s="299">
        <f t="shared" si="33"/>
        <v>0</v>
      </c>
      <c r="Y67" s="299">
        <f t="shared" si="33"/>
        <v>0</v>
      </c>
      <c r="Z67" s="299">
        <f t="shared" si="33"/>
        <v>0</v>
      </c>
      <c r="AA67" s="299">
        <f t="shared" si="33"/>
        <v>0</v>
      </c>
      <c r="AB67" s="299">
        <f t="shared" si="33"/>
        <v>0</v>
      </c>
      <c r="AC67" s="299">
        <f t="shared" si="33"/>
        <v>0</v>
      </c>
      <c r="AD67" s="299">
        <f t="shared" si="33"/>
        <v>0</v>
      </c>
      <c r="AE67" s="299">
        <f t="shared" si="33"/>
        <v>0</v>
      </c>
      <c r="AF67" s="299">
        <f t="shared" si="33"/>
        <v>0</v>
      </c>
      <c r="AG67" s="299">
        <f t="shared" si="33"/>
        <v>0</v>
      </c>
      <c r="AH67" s="299">
        <f t="shared" si="33"/>
        <v>0</v>
      </c>
      <c r="AI67" s="299">
        <f t="shared" si="33"/>
        <v>0</v>
      </c>
      <c r="AJ67" s="299">
        <f t="shared" si="33"/>
        <v>0</v>
      </c>
      <c r="AK67" s="299">
        <f t="shared" si="33"/>
        <v>0</v>
      </c>
      <c r="AL67" s="299">
        <f t="shared" si="33"/>
        <v>0</v>
      </c>
      <c r="AM67" s="299">
        <f t="shared" si="33"/>
        <v>0</v>
      </c>
      <c r="AN67" s="299">
        <f t="shared" si="33"/>
        <v>0</v>
      </c>
      <c r="AO67" s="299">
        <f t="shared" si="33"/>
        <v>0</v>
      </c>
      <c r="AP67" s="299">
        <f t="shared" si="33"/>
        <v>0</v>
      </c>
      <c r="AQ67" s="299">
        <f t="shared" si="33"/>
        <v>0</v>
      </c>
      <c r="AR67" s="299">
        <f t="shared" si="33"/>
        <v>0</v>
      </c>
      <c r="AS67" s="299">
        <f t="shared" si="33"/>
        <v>0</v>
      </c>
      <c r="AT67" s="299">
        <f t="shared" si="33"/>
        <v>0</v>
      </c>
      <c r="AU67" s="299">
        <f t="shared" si="33"/>
        <v>0</v>
      </c>
      <c r="AV67" s="299">
        <f t="shared" si="33"/>
        <v>0</v>
      </c>
      <c r="AW67" s="299">
        <f t="shared" si="33"/>
        <v>0</v>
      </c>
      <c r="AX67" s="299">
        <f t="shared" si="33"/>
        <v>0</v>
      </c>
      <c r="AY67" s="299">
        <f t="shared" si="33"/>
        <v>0</v>
      </c>
      <c r="AZ67" s="299">
        <f t="shared" si="33"/>
        <v>0</v>
      </c>
      <c r="BA67" s="299">
        <f t="shared" si="33"/>
        <v>0</v>
      </c>
      <c r="BB67" s="299">
        <f t="shared" si="33"/>
        <v>0</v>
      </c>
      <c r="BC67" s="299">
        <f t="shared" si="33"/>
        <v>0</v>
      </c>
    </row>
    <row r="68" spans="2:55" s="192" customFormat="1" ht="18" hidden="1" customHeight="1" outlineLevel="1" x14ac:dyDescent="0.25">
      <c r="B68" s="732" t="str">
        <f>'R&amp;C-Painel de Controle'!F55</f>
        <v>Triagem Mecanizada</v>
      </c>
      <c r="C68" s="291" t="str">
        <f>'R&amp;C-Painel de Controle'!G55</f>
        <v>Sim</v>
      </c>
      <c r="D68" s="302">
        <f>'R&amp;C-Painel de Controle'!K55</f>
        <v>77.857190201484556</v>
      </c>
      <c r="E68" s="1274"/>
      <c r="F68" s="1274"/>
      <c r="G68" s="1274"/>
      <c r="H68" s="1274"/>
      <c r="I68" s="1274"/>
      <c r="J68" s="1274"/>
      <c r="K68" s="1274"/>
      <c r="L68" s="1274"/>
      <c r="M68" s="1274"/>
      <c r="N68" s="1274"/>
      <c r="O68" s="1274"/>
      <c r="P68" s="1274"/>
      <c r="Q68" s="1274"/>
      <c r="R68" s="1274"/>
      <c r="S68" s="1274"/>
      <c r="T68" s="1274"/>
      <c r="U68" s="1274"/>
      <c r="V68" s="1274"/>
      <c r="W68" s="1274"/>
      <c r="X68" s="1274"/>
      <c r="Y68" s="1274"/>
      <c r="Z68" s="1274"/>
      <c r="AA68" s="1274"/>
      <c r="AB68" s="1274"/>
      <c r="AC68" s="1274"/>
      <c r="AD68" s="1274"/>
      <c r="AE68" s="1274"/>
      <c r="AF68" s="1274"/>
      <c r="AG68" s="1274"/>
      <c r="AH68" s="1274"/>
      <c r="AI68" s="1274"/>
      <c r="AJ68" s="1274"/>
      <c r="AK68" s="1274"/>
      <c r="AL68" s="1274"/>
      <c r="AM68" s="1274"/>
      <c r="AN68" s="1274"/>
      <c r="AO68" s="1274"/>
      <c r="AP68" s="1274"/>
      <c r="AQ68" s="1274"/>
      <c r="AR68" s="1274"/>
      <c r="AS68" s="1274"/>
      <c r="AT68" s="1274"/>
      <c r="AU68" s="1274"/>
      <c r="AV68" s="1274"/>
      <c r="AW68" s="1274"/>
      <c r="AX68" s="1274"/>
      <c r="AY68" s="1274"/>
      <c r="AZ68" s="1274"/>
      <c r="BA68" s="1274"/>
      <c r="BB68" s="1274"/>
      <c r="BC68" s="1274"/>
    </row>
    <row r="69" spans="2:55" s="192" customFormat="1" ht="18" hidden="1" customHeight="1" outlineLevel="1" x14ac:dyDescent="0.25">
      <c r="B69" s="252" t="s">
        <v>620</v>
      </c>
      <c r="C69" s="292">
        <v>0.3</v>
      </c>
      <c r="D69" s="292">
        <v>0.2</v>
      </c>
      <c r="E69" s="292">
        <v>0.5</v>
      </c>
      <c r="F69" s="292">
        <v>0</v>
      </c>
      <c r="G69" s="292">
        <v>0</v>
      </c>
      <c r="H69" s="292">
        <v>0</v>
      </c>
      <c r="I69" s="292">
        <v>0</v>
      </c>
      <c r="J69" s="292">
        <v>0</v>
      </c>
      <c r="K69" s="292">
        <v>0</v>
      </c>
      <c r="L69" s="292">
        <v>0</v>
      </c>
      <c r="M69" s="292">
        <v>0</v>
      </c>
      <c r="N69" s="292">
        <v>0</v>
      </c>
      <c r="O69" s="292">
        <v>0</v>
      </c>
      <c r="P69" s="292">
        <v>0</v>
      </c>
      <c r="Q69" s="292">
        <v>0</v>
      </c>
      <c r="R69" s="292">
        <v>0</v>
      </c>
      <c r="S69" s="292">
        <v>0</v>
      </c>
      <c r="T69" s="292">
        <v>0</v>
      </c>
      <c r="U69" s="292">
        <v>0</v>
      </c>
      <c r="V69" s="292">
        <v>0</v>
      </c>
      <c r="W69" s="292">
        <v>0</v>
      </c>
      <c r="X69" s="292">
        <v>0</v>
      </c>
      <c r="Y69" s="292">
        <v>0</v>
      </c>
      <c r="Z69" s="292">
        <v>0</v>
      </c>
      <c r="AA69" s="292">
        <v>0</v>
      </c>
      <c r="AB69" s="292">
        <v>0</v>
      </c>
      <c r="AC69" s="292">
        <v>0</v>
      </c>
      <c r="AD69" s="292">
        <v>0</v>
      </c>
      <c r="AE69" s="292">
        <v>0</v>
      </c>
      <c r="AF69" s="292">
        <v>0</v>
      </c>
      <c r="AG69" s="292">
        <v>0</v>
      </c>
      <c r="AH69" s="292">
        <v>0</v>
      </c>
      <c r="AI69" s="292">
        <v>0</v>
      </c>
      <c r="AJ69" s="292">
        <v>0</v>
      </c>
      <c r="AK69" s="292">
        <v>0</v>
      </c>
      <c r="AL69" s="292">
        <v>0</v>
      </c>
      <c r="AM69" s="292">
        <v>0</v>
      </c>
      <c r="AN69" s="292">
        <v>0</v>
      </c>
      <c r="AO69" s="292">
        <v>0</v>
      </c>
      <c r="AP69" s="292">
        <v>0</v>
      </c>
      <c r="AQ69" s="292">
        <v>0</v>
      </c>
      <c r="AR69" s="292">
        <v>0</v>
      </c>
      <c r="AS69" s="292">
        <v>0</v>
      </c>
      <c r="AT69" s="292">
        <v>0</v>
      </c>
      <c r="AU69" s="292">
        <v>0</v>
      </c>
      <c r="AV69" s="292">
        <v>0</v>
      </c>
      <c r="AW69" s="292">
        <v>0</v>
      </c>
      <c r="AX69" s="292">
        <v>0</v>
      </c>
      <c r="AY69" s="292">
        <v>0</v>
      </c>
      <c r="AZ69" s="292">
        <v>0</v>
      </c>
      <c r="BA69" s="292">
        <v>0</v>
      </c>
      <c r="BB69" s="292">
        <v>0</v>
      </c>
      <c r="BC69" s="292">
        <v>0</v>
      </c>
    </row>
    <row r="70" spans="2:55" s="192" customFormat="1" ht="18" hidden="1" customHeight="1" outlineLevel="1" x14ac:dyDescent="0.25">
      <c r="B70" s="252" t="s">
        <v>359</v>
      </c>
      <c r="C70" s="299">
        <f>C69*$D$68</f>
        <v>23.357157060445367</v>
      </c>
      <c r="D70" s="299">
        <f>D69*$D$68</f>
        <v>15.571438040296911</v>
      </c>
      <c r="E70" s="299">
        <f>E69*$D$68</f>
        <v>38.928595100742278</v>
      </c>
      <c r="F70" s="299">
        <f t="shared" ref="F70:BC70" si="34">F69*$D$65</f>
        <v>0</v>
      </c>
      <c r="G70" s="299">
        <f t="shared" si="34"/>
        <v>0</v>
      </c>
      <c r="H70" s="299">
        <f t="shared" si="34"/>
        <v>0</v>
      </c>
      <c r="I70" s="299">
        <f t="shared" si="34"/>
        <v>0</v>
      </c>
      <c r="J70" s="299">
        <f t="shared" si="34"/>
        <v>0</v>
      </c>
      <c r="K70" s="299">
        <f t="shared" si="34"/>
        <v>0</v>
      </c>
      <c r="L70" s="299">
        <f t="shared" si="34"/>
        <v>0</v>
      </c>
      <c r="M70" s="299">
        <f t="shared" si="34"/>
        <v>0</v>
      </c>
      <c r="N70" s="299">
        <f t="shared" si="34"/>
        <v>0</v>
      </c>
      <c r="O70" s="299">
        <f t="shared" si="34"/>
        <v>0</v>
      </c>
      <c r="P70" s="299">
        <f t="shared" si="34"/>
        <v>0</v>
      </c>
      <c r="Q70" s="299">
        <f t="shared" si="34"/>
        <v>0</v>
      </c>
      <c r="R70" s="299">
        <f t="shared" si="34"/>
        <v>0</v>
      </c>
      <c r="S70" s="299">
        <f t="shared" si="34"/>
        <v>0</v>
      </c>
      <c r="T70" s="299">
        <f t="shared" si="34"/>
        <v>0</v>
      </c>
      <c r="U70" s="299">
        <f t="shared" si="34"/>
        <v>0</v>
      </c>
      <c r="V70" s="299">
        <f t="shared" si="34"/>
        <v>0</v>
      </c>
      <c r="W70" s="299">
        <f t="shared" si="34"/>
        <v>0</v>
      </c>
      <c r="X70" s="299">
        <f t="shared" si="34"/>
        <v>0</v>
      </c>
      <c r="Y70" s="299">
        <f t="shared" si="34"/>
        <v>0</v>
      </c>
      <c r="Z70" s="299">
        <f t="shared" si="34"/>
        <v>0</v>
      </c>
      <c r="AA70" s="299">
        <f t="shared" si="34"/>
        <v>0</v>
      </c>
      <c r="AB70" s="299">
        <f t="shared" si="34"/>
        <v>0</v>
      </c>
      <c r="AC70" s="299">
        <f t="shared" si="34"/>
        <v>0</v>
      </c>
      <c r="AD70" s="299">
        <f t="shared" si="34"/>
        <v>0</v>
      </c>
      <c r="AE70" s="299">
        <f t="shared" si="34"/>
        <v>0</v>
      </c>
      <c r="AF70" s="299">
        <f t="shared" si="34"/>
        <v>0</v>
      </c>
      <c r="AG70" s="299">
        <f t="shared" si="34"/>
        <v>0</v>
      </c>
      <c r="AH70" s="299">
        <f t="shared" si="34"/>
        <v>0</v>
      </c>
      <c r="AI70" s="299">
        <f t="shared" si="34"/>
        <v>0</v>
      </c>
      <c r="AJ70" s="299">
        <f t="shared" si="34"/>
        <v>0</v>
      </c>
      <c r="AK70" s="299">
        <f t="shared" si="34"/>
        <v>0</v>
      </c>
      <c r="AL70" s="299">
        <f t="shared" si="34"/>
        <v>0</v>
      </c>
      <c r="AM70" s="299">
        <f t="shared" si="34"/>
        <v>0</v>
      </c>
      <c r="AN70" s="299">
        <f t="shared" si="34"/>
        <v>0</v>
      </c>
      <c r="AO70" s="299">
        <f t="shared" si="34"/>
        <v>0</v>
      </c>
      <c r="AP70" s="299">
        <f t="shared" si="34"/>
        <v>0</v>
      </c>
      <c r="AQ70" s="299">
        <f t="shared" si="34"/>
        <v>0</v>
      </c>
      <c r="AR70" s="299">
        <f t="shared" si="34"/>
        <v>0</v>
      </c>
      <c r="AS70" s="299">
        <f t="shared" si="34"/>
        <v>0</v>
      </c>
      <c r="AT70" s="299">
        <f t="shared" si="34"/>
        <v>0</v>
      </c>
      <c r="AU70" s="299">
        <f t="shared" si="34"/>
        <v>0</v>
      </c>
      <c r="AV70" s="299">
        <f t="shared" si="34"/>
        <v>0</v>
      </c>
      <c r="AW70" s="299">
        <f t="shared" si="34"/>
        <v>0</v>
      </c>
      <c r="AX70" s="299">
        <f t="shared" si="34"/>
        <v>0</v>
      </c>
      <c r="AY70" s="299">
        <f t="shared" si="34"/>
        <v>0</v>
      </c>
      <c r="AZ70" s="299">
        <f t="shared" si="34"/>
        <v>0</v>
      </c>
      <c r="BA70" s="299">
        <f t="shared" si="34"/>
        <v>0</v>
      </c>
      <c r="BB70" s="299">
        <f t="shared" si="34"/>
        <v>0</v>
      </c>
      <c r="BC70" s="299">
        <f t="shared" si="34"/>
        <v>0</v>
      </c>
    </row>
    <row r="71" spans="2:55" s="192" customFormat="1" ht="18" hidden="1" customHeight="1" outlineLevel="1" x14ac:dyDescent="0.25">
      <c r="B71" s="732" t="str">
        <f>'R&amp;C-Painel de Controle'!F58</f>
        <v>Produção de CDR TM — Trat. Mec.</v>
      </c>
      <c r="C71" s="291" t="str">
        <f>'R&amp;C-Painel de Controle'!G58</f>
        <v>Não</v>
      </c>
      <c r="D71" s="302">
        <f>'R&amp;C-Painel de Controle'!K58</f>
        <v>0</v>
      </c>
    </row>
    <row r="72" spans="2:55" s="192" customFormat="1" ht="18" hidden="1" customHeight="1" outlineLevel="1" x14ac:dyDescent="0.25">
      <c r="B72" s="252" t="s">
        <v>620</v>
      </c>
      <c r="C72" s="292">
        <v>0.2</v>
      </c>
      <c r="D72" s="289">
        <v>0.5</v>
      </c>
      <c r="E72" s="292">
        <v>0.3</v>
      </c>
      <c r="F72" s="292">
        <v>0</v>
      </c>
      <c r="G72" s="292">
        <v>0</v>
      </c>
      <c r="H72" s="292">
        <v>0</v>
      </c>
      <c r="I72" s="292">
        <v>0</v>
      </c>
      <c r="J72" s="292">
        <v>0</v>
      </c>
      <c r="K72" s="292">
        <v>0</v>
      </c>
      <c r="L72" s="292">
        <v>0</v>
      </c>
      <c r="M72" s="292">
        <v>0</v>
      </c>
      <c r="N72" s="292">
        <v>0</v>
      </c>
      <c r="O72" s="292">
        <v>0</v>
      </c>
      <c r="P72" s="292">
        <v>0</v>
      </c>
      <c r="Q72" s="292">
        <v>0</v>
      </c>
      <c r="R72" s="292">
        <v>0</v>
      </c>
      <c r="S72" s="292">
        <v>0</v>
      </c>
      <c r="T72" s="292">
        <v>0</v>
      </c>
      <c r="U72" s="292">
        <v>0</v>
      </c>
      <c r="V72" s="292">
        <v>0</v>
      </c>
      <c r="W72" s="292">
        <v>0</v>
      </c>
      <c r="X72" s="292">
        <v>0</v>
      </c>
      <c r="Y72" s="292">
        <v>0</v>
      </c>
      <c r="Z72" s="292">
        <v>0</v>
      </c>
      <c r="AA72" s="292">
        <v>0</v>
      </c>
      <c r="AB72" s="292">
        <v>0</v>
      </c>
      <c r="AC72" s="292">
        <v>0</v>
      </c>
      <c r="AD72" s="292">
        <v>0</v>
      </c>
      <c r="AE72" s="292">
        <v>0</v>
      </c>
      <c r="AF72" s="292">
        <v>0</v>
      </c>
      <c r="AG72" s="292">
        <v>0</v>
      </c>
      <c r="AH72" s="292">
        <v>0</v>
      </c>
      <c r="AI72" s="292">
        <v>0</v>
      </c>
      <c r="AJ72" s="292">
        <v>0</v>
      </c>
      <c r="AK72" s="292">
        <v>0</v>
      </c>
      <c r="AL72" s="292">
        <v>0</v>
      </c>
      <c r="AM72" s="292">
        <v>0</v>
      </c>
      <c r="AN72" s="292">
        <v>0</v>
      </c>
      <c r="AO72" s="292">
        <v>0</v>
      </c>
      <c r="AP72" s="292">
        <v>0</v>
      </c>
      <c r="AQ72" s="292">
        <v>0</v>
      </c>
      <c r="AR72" s="292">
        <v>0</v>
      </c>
      <c r="AS72" s="292">
        <v>0</v>
      </c>
      <c r="AT72" s="292">
        <v>0</v>
      </c>
      <c r="AU72" s="292">
        <v>0</v>
      </c>
      <c r="AV72" s="292">
        <v>0</v>
      </c>
      <c r="AW72" s="292">
        <v>0</v>
      </c>
      <c r="AX72" s="292">
        <v>0</v>
      </c>
      <c r="AY72" s="292">
        <v>0</v>
      </c>
      <c r="AZ72" s="292">
        <v>0</v>
      </c>
      <c r="BA72" s="292">
        <v>0</v>
      </c>
      <c r="BB72" s="292">
        <v>0</v>
      </c>
      <c r="BC72" s="292">
        <v>0</v>
      </c>
    </row>
    <row r="73" spans="2:55" s="192" customFormat="1" ht="18" hidden="1" customHeight="1" outlineLevel="1" x14ac:dyDescent="0.25">
      <c r="B73" s="252" t="s">
        <v>359</v>
      </c>
      <c r="C73" s="299">
        <f t="shared" ref="C73:BC73" si="35">C72*$D$71</f>
        <v>0</v>
      </c>
      <c r="D73" s="300">
        <f t="shared" si="35"/>
        <v>0</v>
      </c>
      <c r="E73" s="299">
        <f t="shared" si="35"/>
        <v>0</v>
      </c>
      <c r="F73" s="299">
        <f t="shared" si="35"/>
        <v>0</v>
      </c>
      <c r="G73" s="299">
        <f t="shared" si="35"/>
        <v>0</v>
      </c>
      <c r="H73" s="299">
        <f t="shared" si="35"/>
        <v>0</v>
      </c>
      <c r="I73" s="299">
        <f t="shared" si="35"/>
        <v>0</v>
      </c>
      <c r="J73" s="299">
        <f t="shared" si="35"/>
        <v>0</v>
      </c>
      <c r="K73" s="299">
        <f t="shared" si="35"/>
        <v>0</v>
      </c>
      <c r="L73" s="299">
        <f t="shared" si="35"/>
        <v>0</v>
      </c>
      <c r="M73" s="299">
        <f t="shared" si="35"/>
        <v>0</v>
      </c>
      <c r="N73" s="299">
        <f t="shared" si="35"/>
        <v>0</v>
      </c>
      <c r="O73" s="299">
        <f t="shared" si="35"/>
        <v>0</v>
      </c>
      <c r="P73" s="299">
        <f t="shared" si="35"/>
        <v>0</v>
      </c>
      <c r="Q73" s="299">
        <f t="shared" si="35"/>
        <v>0</v>
      </c>
      <c r="R73" s="299">
        <f t="shared" si="35"/>
        <v>0</v>
      </c>
      <c r="S73" s="299">
        <f t="shared" si="35"/>
        <v>0</v>
      </c>
      <c r="T73" s="299">
        <f t="shared" si="35"/>
        <v>0</v>
      </c>
      <c r="U73" s="299">
        <f t="shared" si="35"/>
        <v>0</v>
      </c>
      <c r="V73" s="299">
        <f t="shared" si="35"/>
        <v>0</v>
      </c>
      <c r="W73" s="299">
        <f t="shared" si="35"/>
        <v>0</v>
      </c>
      <c r="X73" s="299">
        <f t="shared" si="35"/>
        <v>0</v>
      </c>
      <c r="Y73" s="299">
        <f t="shared" si="35"/>
        <v>0</v>
      </c>
      <c r="Z73" s="299">
        <f t="shared" si="35"/>
        <v>0</v>
      </c>
      <c r="AA73" s="299">
        <f t="shared" si="35"/>
        <v>0</v>
      </c>
      <c r="AB73" s="299">
        <f t="shared" si="35"/>
        <v>0</v>
      </c>
      <c r="AC73" s="299">
        <f t="shared" si="35"/>
        <v>0</v>
      </c>
      <c r="AD73" s="299">
        <f t="shared" si="35"/>
        <v>0</v>
      </c>
      <c r="AE73" s="299">
        <f t="shared" si="35"/>
        <v>0</v>
      </c>
      <c r="AF73" s="299">
        <f t="shared" si="35"/>
        <v>0</v>
      </c>
      <c r="AG73" s="299">
        <f t="shared" si="35"/>
        <v>0</v>
      </c>
      <c r="AH73" s="299">
        <f t="shared" si="35"/>
        <v>0</v>
      </c>
      <c r="AI73" s="299">
        <f t="shared" si="35"/>
        <v>0</v>
      </c>
      <c r="AJ73" s="299">
        <f t="shared" si="35"/>
        <v>0</v>
      </c>
      <c r="AK73" s="299">
        <f t="shared" si="35"/>
        <v>0</v>
      </c>
      <c r="AL73" s="299">
        <f t="shared" si="35"/>
        <v>0</v>
      </c>
      <c r="AM73" s="299">
        <f t="shared" si="35"/>
        <v>0</v>
      </c>
      <c r="AN73" s="299">
        <f t="shared" si="35"/>
        <v>0</v>
      </c>
      <c r="AO73" s="299">
        <f t="shared" si="35"/>
        <v>0</v>
      </c>
      <c r="AP73" s="299">
        <f t="shared" si="35"/>
        <v>0</v>
      </c>
      <c r="AQ73" s="299">
        <f t="shared" si="35"/>
        <v>0</v>
      </c>
      <c r="AR73" s="299">
        <f t="shared" si="35"/>
        <v>0</v>
      </c>
      <c r="AS73" s="299">
        <f t="shared" si="35"/>
        <v>0</v>
      </c>
      <c r="AT73" s="299">
        <f t="shared" si="35"/>
        <v>0</v>
      </c>
      <c r="AU73" s="299">
        <f t="shared" si="35"/>
        <v>0</v>
      </c>
      <c r="AV73" s="299">
        <f t="shared" si="35"/>
        <v>0</v>
      </c>
      <c r="AW73" s="299">
        <f t="shared" si="35"/>
        <v>0</v>
      </c>
      <c r="AX73" s="299">
        <f t="shared" si="35"/>
        <v>0</v>
      </c>
      <c r="AY73" s="299">
        <f t="shared" si="35"/>
        <v>0</v>
      </c>
      <c r="AZ73" s="299">
        <f t="shared" si="35"/>
        <v>0</v>
      </c>
      <c r="BA73" s="299">
        <f t="shared" si="35"/>
        <v>0</v>
      </c>
      <c r="BB73" s="299">
        <f t="shared" si="35"/>
        <v>0</v>
      </c>
      <c r="BC73" s="299">
        <f t="shared" si="35"/>
        <v>0</v>
      </c>
    </row>
    <row r="74" spans="2:55" s="192" customFormat="1" ht="18" hidden="1" customHeight="1" outlineLevel="1" x14ac:dyDescent="0.25">
      <c r="B74" s="732" t="str">
        <f>'R&amp;C-Painel de Controle'!F61</f>
        <v>Prod. CDR TMB — Trat. Mec./Biológ.</v>
      </c>
      <c r="C74" s="291" t="str">
        <f>'R&amp;C-Painel de Controle'!G61</f>
        <v>Sim</v>
      </c>
      <c r="D74" s="302">
        <f>'R&amp;C-Painel de Controle'!K61</f>
        <v>146.80110727163037</v>
      </c>
      <c r="E74" s="1274"/>
      <c r="F74" s="1274"/>
      <c r="G74" s="1274"/>
      <c r="H74" s="1274"/>
      <c r="I74" s="1274"/>
      <c r="J74" s="1274"/>
      <c r="K74" s="1274"/>
      <c r="L74" s="1274"/>
      <c r="M74" s="1274"/>
      <c r="N74" s="1274"/>
      <c r="O74" s="1274"/>
      <c r="P74" s="1274"/>
      <c r="Q74" s="1274"/>
      <c r="R74" s="1274"/>
      <c r="S74" s="1274"/>
      <c r="T74" s="1274"/>
      <c r="U74" s="1274"/>
      <c r="V74" s="1274"/>
      <c r="W74" s="1274"/>
      <c r="X74" s="1274"/>
      <c r="Y74" s="1274"/>
      <c r="Z74" s="1274"/>
      <c r="AA74" s="1274"/>
      <c r="AB74" s="1274"/>
      <c r="AC74" s="1274"/>
      <c r="AD74" s="1274"/>
      <c r="AE74" s="1274"/>
      <c r="AF74" s="1274"/>
      <c r="AG74" s="1274"/>
      <c r="AH74" s="1274"/>
      <c r="AI74" s="1274"/>
      <c r="AJ74" s="1274"/>
      <c r="AK74" s="1274"/>
      <c r="AL74" s="1274"/>
      <c r="AM74" s="1274"/>
      <c r="AN74" s="1274"/>
      <c r="AO74" s="1274"/>
      <c r="AP74" s="1274"/>
      <c r="AQ74" s="1274"/>
      <c r="AR74" s="1274"/>
      <c r="AS74" s="1274"/>
      <c r="AT74" s="1274"/>
      <c r="AU74" s="1274"/>
      <c r="AV74" s="1274"/>
      <c r="AW74" s="1274"/>
      <c r="AX74" s="1274"/>
      <c r="AY74" s="1274"/>
      <c r="AZ74" s="1274"/>
      <c r="BA74" s="1274"/>
      <c r="BB74" s="1274"/>
      <c r="BC74" s="1274"/>
    </row>
    <row r="75" spans="2:55" s="192" customFormat="1" ht="18" hidden="1" customHeight="1" outlineLevel="1" x14ac:dyDescent="0.25">
      <c r="B75" s="252" t="s">
        <v>620</v>
      </c>
      <c r="C75" s="292">
        <v>0.2</v>
      </c>
      <c r="D75" s="289">
        <v>0.5</v>
      </c>
      <c r="E75" s="292">
        <v>0.3</v>
      </c>
      <c r="F75" s="292">
        <v>0</v>
      </c>
      <c r="G75" s="292">
        <v>0</v>
      </c>
      <c r="H75" s="292">
        <v>0</v>
      </c>
      <c r="I75" s="292">
        <v>0</v>
      </c>
      <c r="J75" s="292">
        <v>0</v>
      </c>
      <c r="K75" s="292">
        <v>0</v>
      </c>
      <c r="L75" s="292">
        <v>0</v>
      </c>
      <c r="M75" s="292">
        <v>0</v>
      </c>
      <c r="N75" s="292">
        <v>0</v>
      </c>
      <c r="O75" s="292">
        <v>0</v>
      </c>
      <c r="P75" s="292">
        <v>0</v>
      </c>
      <c r="Q75" s="292">
        <v>0</v>
      </c>
      <c r="R75" s="292">
        <v>0</v>
      </c>
      <c r="S75" s="292">
        <v>0</v>
      </c>
      <c r="T75" s="292">
        <v>0</v>
      </c>
      <c r="U75" s="292">
        <v>0</v>
      </c>
      <c r="V75" s="292">
        <v>0</v>
      </c>
      <c r="W75" s="292">
        <v>0</v>
      </c>
      <c r="X75" s="292">
        <v>0</v>
      </c>
      <c r="Y75" s="292">
        <v>0</v>
      </c>
      <c r="Z75" s="292">
        <v>0</v>
      </c>
      <c r="AA75" s="292">
        <v>0</v>
      </c>
      <c r="AB75" s="292">
        <v>0</v>
      </c>
      <c r="AC75" s="292">
        <v>0</v>
      </c>
      <c r="AD75" s="292">
        <v>0</v>
      </c>
      <c r="AE75" s="292">
        <v>0</v>
      </c>
      <c r="AF75" s="292">
        <v>0</v>
      </c>
      <c r="AG75" s="292">
        <v>0</v>
      </c>
      <c r="AH75" s="292">
        <v>0</v>
      </c>
      <c r="AI75" s="292">
        <v>0</v>
      </c>
      <c r="AJ75" s="292">
        <v>0</v>
      </c>
      <c r="AK75" s="292">
        <v>0</v>
      </c>
      <c r="AL75" s="292">
        <v>0</v>
      </c>
      <c r="AM75" s="292">
        <v>0</v>
      </c>
      <c r="AN75" s="292">
        <v>0</v>
      </c>
      <c r="AO75" s="292">
        <v>0</v>
      </c>
      <c r="AP75" s="292">
        <v>0</v>
      </c>
      <c r="AQ75" s="292">
        <v>0</v>
      </c>
      <c r="AR75" s="292">
        <v>0</v>
      </c>
      <c r="AS75" s="292">
        <v>0</v>
      </c>
      <c r="AT75" s="292">
        <v>0</v>
      </c>
      <c r="AU75" s="292">
        <v>0</v>
      </c>
      <c r="AV75" s="292">
        <v>0</v>
      </c>
      <c r="AW75" s="292">
        <v>0</v>
      </c>
      <c r="AX75" s="292">
        <v>0</v>
      </c>
      <c r="AY75" s="292">
        <v>0</v>
      </c>
      <c r="AZ75" s="292">
        <v>0</v>
      </c>
      <c r="BA75" s="292">
        <v>0</v>
      </c>
      <c r="BB75" s="292">
        <v>0</v>
      </c>
      <c r="BC75" s="292">
        <v>0</v>
      </c>
    </row>
    <row r="76" spans="2:55" s="192" customFormat="1" ht="18" hidden="1" customHeight="1" outlineLevel="1" x14ac:dyDescent="0.25">
      <c r="B76" s="252" t="s">
        <v>359</v>
      </c>
      <c r="C76" s="299">
        <f t="shared" ref="C76:BC76" si="36">C75*$D$74</f>
        <v>29.360221454326076</v>
      </c>
      <c r="D76" s="300">
        <f t="shared" si="36"/>
        <v>73.400553635815186</v>
      </c>
      <c r="E76" s="299">
        <f t="shared" si="36"/>
        <v>44.040332181489113</v>
      </c>
      <c r="F76" s="299">
        <f t="shared" si="36"/>
        <v>0</v>
      </c>
      <c r="G76" s="299">
        <f t="shared" si="36"/>
        <v>0</v>
      </c>
      <c r="H76" s="299">
        <f t="shared" si="36"/>
        <v>0</v>
      </c>
      <c r="I76" s="299">
        <f t="shared" si="36"/>
        <v>0</v>
      </c>
      <c r="J76" s="299">
        <f t="shared" si="36"/>
        <v>0</v>
      </c>
      <c r="K76" s="299">
        <f t="shared" si="36"/>
        <v>0</v>
      </c>
      <c r="L76" s="299">
        <f t="shared" si="36"/>
        <v>0</v>
      </c>
      <c r="M76" s="299">
        <f t="shared" si="36"/>
        <v>0</v>
      </c>
      <c r="N76" s="299">
        <f t="shared" si="36"/>
        <v>0</v>
      </c>
      <c r="O76" s="299">
        <f t="shared" si="36"/>
        <v>0</v>
      </c>
      <c r="P76" s="299">
        <f t="shared" si="36"/>
        <v>0</v>
      </c>
      <c r="Q76" s="299">
        <f t="shared" si="36"/>
        <v>0</v>
      </c>
      <c r="R76" s="299">
        <f t="shared" si="36"/>
        <v>0</v>
      </c>
      <c r="S76" s="299">
        <f t="shared" si="36"/>
        <v>0</v>
      </c>
      <c r="T76" s="299">
        <f t="shared" si="36"/>
        <v>0</v>
      </c>
      <c r="U76" s="299">
        <f t="shared" si="36"/>
        <v>0</v>
      </c>
      <c r="V76" s="299">
        <f t="shared" si="36"/>
        <v>0</v>
      </c>
      <c r="W76" s="299">
        <f t="shared" si="36"/>
        <v>0</v>
      </c>
      <c r="X76" s="299">
        <f t="shared" si="36"/>
        <v>0</v>
      </c>
      <c r="Y76" s="299">
        <f t="shared" si="36"/>
        <v>0</v>
      </c>
      <c r="Z76" s="299">
        <f t="shared" si="36"/>
        <v>0</v>
      </c>
      <c r="AA76" s="299">
        <f t="shared" si="36"/>
        <v>0</v>
      </c>
      <c r="AB76" s="299">
        <f t="shared" si="36"/>
        <v>0</v>
      </c>
      <c r="AC76" s="299">
        <f t="shared" si="36"/>
        <v>0</v>
      </c>
      <c r="AD76" s="299">
        <f t="shared" si="36"/>
        <v>0</v>
      </c>
      <c r="AE76" s="299">
        <f t="shared" si="36"/>
        <v>0</v>
      </c>
      <c r="AF76" s="299">
        <f t="shared" si="36"/>
        <v>0</v>
      </c>
      <c r="AG76" s="299">
        <f t="shared" si="36"/>
        <v>0</v>
      </c>
      <c r="AH76" s="299">
        <f t="shared" si="36"/>
        <v>0</v>
      </c>
      <c r="AI76" s="299">
        <f t="shared" si="36"/>
        <v>0</v>
      </c>
      <c r="AJ76" s="299">
        <f t="shared" si="36"/>
        <v>0</v>
      </c>
      <c r="AK76" s="299">
        <f t="shared" si="36"/>
        <v>0</v>
      </c>
      <c r="AL76" s="299">
        <f t="shared" si="36"/>
        <v>0</v>
      </c>
      <c r="AM76" s="299">
        <f t="shared" si="36"/>
        <v>0</v>
      </c>
      <c r="AN76" s="299">
        <f t="shared" si="36"/>
        <v>0</v>
      </c>
      <c r="AO76" s="299">
        <f t="shared" si="36"/>
        <v>0</v>
      </c>
      <c r="AP76" s="299">
        <f t="shared" si="36"/>
        <v>0</v>
      </c>
      <c r="AQ76" s="299">
        <f t="shared" si="36"/>
        <v>0</v>
      </c>
      <c r="AR76" s="299">
        <f t="shared" si="36"/>
        <v>0</v>
      </c>
      <c r="AS76" s="299">
        <f t="shared" si="36"/>
        <v>0</v>
      </c>
      <c r="AT76" s="299">
        <f t="shared" si="36"/>
        <v>0</v>
      </c>
      <c r="AU76" s="299">
        <f t="shared" si="36"/>
        <v>0</v>
      </c>
      <c r="AV76" s="299">
        <f t="shared" si="36"/>
        <v>0</v>
      </c>
      <c r="AW76" s="299">
        <f t="shared" si="36"/>
        <v>0</v>
      </c>
      <c r="AX76" s="299">
        <f t="shared" si="36"/>
        <v>0</v>
      </c>
      <c r="AY76" s="299">
        <f t="shared" si="36"/>
        <v>0</v>
      </c>
      <c r="AZ76" s="299">
        <f t="shared" si="36"/>
        <v>0</v>
      </c>
      <c r="BA76" s="299">
        <f t="shared" si="36"/>
        <v>0</v>
      </c>
      <c r="BB76" s="299">
        <f t="shared" si="36"/>
        <v>0</v>
      </c>
      <c r="BC76" s="299">
        <f t="shared" si="36"/>
        <v>0</v>
      </c>
    </row>
    <row r="77" spans="2:55" s="192" customFormat="1" ht="18" hidden="1" customHeight="1" outlineLevel="1" x14ac:dyDescent="0.25">
      <c r="B77" s="732" t="str">
        <f>'R&amp;C-Painel de Controle'!F64</f>
        <v>Biodigestão Anaeróbia</v>
      </c>
      <c r="C77" s="291" t="str">
        <f>'R&amp;C-Painel de Controle'!G64</f>
        <v>Não'</v>
      </c>
      <c r="D77" s="302">
        <f>'R&amp;C-Painel de Controle'!K64</f>
        <v>0</v>
      </c>
    </row>
    <row r="78" spans="2:55" s="192" customFormat="1" ht="18" hidden="1" customHeight="1" outlineLevel="1" x14ac:dyDescent="0.25">
      <c r="B78" s="252" t="s">
        <v>620</v>
      </c>
      <c r="C78" s="292">
        <v>0.2</v>
      </c>
      <c r="D78" s="289">
        <v>0.5</v>
      </c>
      <c r="E78" s="292">
        <v>0.3</v>
      </c>
      <c r="F78" s="292">
        <v>0</v>
      </c>
      <c r="G78" s="292">
        <v>0</v>
      </c>
      <c r="H78" s="292">
        <v>0</v>
      </c>
      <c r="I78" s="292">
        <v>0</v>
      </c>
      <c r="J78" s="292">
        <v>0</v>
      </c>
      <c r="K78" s="292">
        <v>0</v>
      </c>
      <c r="L78" s="292">
        <v>0</v>
      </c>
      <c r="M78" s="292">
        <v>0</v>
      </c>
      <c r="N78" s="292">
        <v>0</v>
      </c>
      <c r="O78" s="292">
        <v>0</v>
      </c>
      <c r="P78" s="292">
        <v>0</v>
      </c>
      <c r="Q78" s="292">
        <v>0</v>
      </c>
      <c r="R78" s="292">
        <v>0</v>
      </c>
      <c r="S78" s="292">
        <v>0</v>
      </c>
      <c r="T78" s="292">
        <v>0</v>
      </c>
      <c r="U78" s="292">
        <v>0</v>
      </c>
      <c r="V78" s="292">
        <v>0</v>
      </c>
      <c r="W78" s="292">
        <v>0</v>
      </c>
      <c r="X78" s="292">
        <v>0</v>
      </c>
      <c r="Y78" s="292">
        <v>0</v>
      </c>
      <c r="Z78" s="292">
        <v>0</v>
      </c>
      <c r="AA78" s="292">
        <v>0</v>
      </c>
      <c r="AB78" s="292">
        <v>0</v>
      </c>
      <c r="AC78" s="292">
        <v>0</v>
      </c>
      <c r="AD78" s="292">
        <v>0</v>
      </c>
      <c r="AE78" s="292">
        <v>0</v>
      </c>
      <c r="AF78" s="292">
        <v>0</v>
      </c>
      <c r="AG78" s="292">
        <v>0</v>
      </c>
      <c r="AH78" s="292">
        <v>0</v>
      </c>
      <c r="AI78" s="292">
        <v>0</v>
      </c>
      <c r="AJ78" s="292">
        <v>0</v>
      </c>
      <c r="AK78" s="292">
        <v>0</v>
      </c>
      <c r="AL78" s="292">
        <v>0</v>
      </c>
      <c r="AM78" s="292">
        <v>0</v>
      </c>
      <c r="AN78" s="292">
        <v>0</v>
      </c>
      <c r="AO78" s="292">
        <v>0</v>
      </c>
      <c r="AP78" s="292">
        <v>0</v>
      </c>
      <c r="AQ78" s="292">
        <v>0</v>
      </c>
      <c r="AR78" s="292">
        <v>0</v>
      </c>
      <c r="AS78" s="292">
        <v>0</v>
      </c>
      <c r="AT78" s="292">
        <v>0</v>
      </c>
      <c r="AU78" s="292">
        <v>0</v>
      </c>
      <c r="AV78" s="292">
        <v>0</v>
      </c>
      <c r="AW78" s="292">
        <v>0</v>
      </c>
      <c r="AX78" s="292">
        <v>0</v>
      </c>
      <c r="AY78" s="292">
        <v>0</v>
      </c>
      <c r="AZ78" s="292">
        <v>0</v>
      </c>
      <c r="BA78" s="292">
        <v>0</v>
      </c>
      <c r="BB78" s="292">
        <v>0</v>
      </c>
      <c r="BC78" s="292">
        <v>0</v>
      </c>
    </row>
    <row r="79" spans="2:55" s="192" customFormat="1" ht="18" hidden="1" customHeight="1" outlineLevel="1" x14ac:dyDescent="0.25">
      <c r="B79" s="252" t="s">
        <v>359</v>
      </c>
      <c r="C79" s="299">
        <f t="shared" ref="C79:BC79" si="37">C78*$D$77</f>
        <v>0</v>
      </c>
      <c r="D79" s="300">
        <f t="shared" si="37"/>
        <v>0</v>
      </c>
      <c r="E79" s="299">
        <f t="shared" si="37"/>
        <v>0</v>
      </c>
      <c r="F79" s="299">
        <f t="shared" si="37"/>
        <v>0</v>
      </c>
      <c r="G79" s="299">
        <f t="shared" si="37"/>
        <v>0</v>
      </c>
      <c r="H79" s="299">
        <f t="shared" si="37"/>
        <v>0</v>
      </c>
      <c r="I79" s="299">
        <f t="shared" si="37"/>
        <v>0</v>
      </c>
      <c r="J79" s="299">
        <f t="shared" si="37"/>
        <v>0</v>
      </c>
      <c r="K79" s="299">
        <f t="shared" si="37"/>
        <v>0</v>
      </c>
      <c r="L79" s="299">
        <f t="shared" si="37"/>
        <v>0</v>
      </c>
      <c r="M79" s="299">
        <f t="shared" si="37"/>
        <v>0</v>
      </c>
      <c r="N79" s="299">
        <f t="shared" si="37"/>
        <v>0</v>
      </c>
      <c r="O79" s="299">
        <f t="shared" si="37"/>
        <v>0</v>
      </c>
      <c r="P79" s="299">
        <f t="shared" si="37"/>
        <v>0</v>
      </c>
      <c r="Q79" s="299">
        <f t="shared" si="37"/>
        <v>0</v>
      </c>
      <c r="R79" s="299">
        <f t="shared" si="37"/>
        <v>0</v>
      </c>
      <c r="S79" s="299">
        <f t="shared" si="37"/>
        <v>0</v>
      </c>
      <c r="T79" s="299">
        <f t="shared" si="37"/>
        <v>0</v>
      </c>
      <c r="U79" s="299">
        <f t="shared" si="37"/>
        <v>0</v>
      </c>
      <c r="V79" s="299">
        <f t="shared" si="37"/>
        <v>0</v>
      </c>
      <c r="W79" s="299">
        <f t="shared" si="37"/>
        <v>0</v>
      </c>
      <c r="X79" s="299">
        <f t="shared" si="37"/>
        <v>0</v>
      </c>
      <c r="Y79" s="299">
        <f t="shared" si="37"/>
        <v>0</v>
      </c>
      <c r="Z79" s="299">
        <f t="shared" si="37"/>
        <v>0</v>
      </c>
      <c r="AA79" s="299">
        <f t="shared" si="37"/>
        <v>0</v>
      </c>
      <c r="AB79" s="299">
        <f t="shared" si="37"/>
        <v>0</v>
      </c>
      <c r="AC79" s="299">
        <f t="shared" si="37"/>
        <v>0</v>
      </c>
      <c r="AD79" s="299">
        <f t="shared" si="37"/>
        <v>0</v>
      </c>
      <c r="AE79" s="299">
        <f t="shared" si="37"/>
        <v>0</v>
      </c>
      <c r="AF79" s="299">
        <f t="shared" si="37"/>
        <v>0</v>
      </c>
      <c r="AG79" s="299">
        <f t="shared" si="37"/>
        <v>0</v>
      </c>
      <c r="AH79" s="299">
        <f t="shared" si="37"/>
        <v>0</v>
      </c>
      <c r="AI79" s="299">
        <f t="shared" si="37"/>
        <v>0</v>
      </c>
      <c r="AJ79" s="299">
        <f t="shared" si="37"/>
        <v>0</v>
      </c>
      <c r="AK79" s="299">
        <f t="shared" si="37"/>
        <v>0</v>
      </c>
      <c r="AL79" s="299">
        <f t="shared" si="37"/>
        <v>0</v>
      </c>
      <c r="AM79" s="299">
        <f t="shared" si="37"/>
        <v>0</v>
      </c>
      <c r="AN79" s="299">
        <f t="shared" si="37"/>
        <v>0</v>
      </c>
      <c r="AO79" s="299">
        <f t="shared" si="37"/>
        <v>0</v>
      </c>
      <c r="AP79" s="299">
        <f t="shared" si="37"/>
        <v>0</v>
      </c>
      <c r="AQ79" s="299">
        <f t="shared" si="37"/>
        <v>0</v>
      </c>
      <c r="AR79" s="299">
        <f t="shared" si="37"/>
        <v>0</v>
      </c>
      <c r="AS79" s="299">
        <f t="shared" si="37"/>
        <v>0</v>
      </c>
      <c r="AT79" s="299">
        <f t="shared" si="37"/>
        <v>0</v>
      </c>
      <c r="AU79" s="299">
        <f t="shared" si="37"/>
        <v>0</v>
      </c>
      <c r="AV79" s="299">
        <f t="shared" si="37"/>
        <v>0</v>
      </c>
      <c r="AW79" s="299">
        <f t="shared" si="37"/>
        <v>0</v>
      </c>
      <c r="AX79" s="299">
        <f t="shared" si="37"/>
        <v>0</v>
      </c>
      <c r="AY79" s="299">
        <f t="shared" si="37"/>
        <v>0</v>
      </c>
      <c r="AZ79" s="299">
        <f t="shared" si="37"/>
        <v>0</v>
      </c>
      <c r="BA79" s="299">
        <f t="shared" si="37"/>
        <v>0</v>
      </c>
      <c r="BB79" s="299">
        <f t="shared" si="37"/>
        <v>0</v>
      </c>
      <c r="BC79" s="299">
        <f t="shared" si="37"/>
        <v>0</v>
      </c>
    </row>
    <row r="80" spans="2:55" s="192" customFormat="1" ht="18" hidden="1" customHeight="1" outlineLevel="1" x14ac:dyDescent="0.25">
      <c r="B80" s="732" t="str">
        <f>'R&amp;C-Painel de Controle'!F67</f>
        <v>Compostagem</v>
      </c>
      <c r="C80" s="291" t="str">
        <f>'R&amp;C-Painel de Controle'!G67</f>
        <v>Não</v>
      </c>
      <c r="D80" s="302">
        <f>'R&amp;C-Painel de Controle'!K67</f>
        <v>0</v>
      </c>
      <c r="E80" s="1274"/>
      <c r="F80" s="1274"/>
      <c r="G80" s="1274"/>
      <c r="H80" s="1274"/>
      <c r="I80" s="1274"/>
      <c r="J80" s="1274"/>
      <c r="K80" s="1274"/>
      <c r="L80" s="1274"/>
      <c r="M80" s="1274"/>
      <c r="N80" s="1274"/>
      <c r="O80" s="1274"/>
      <c r="P80" s="1274"/>
      <c r="Q80" s="1274"/>
      <c r="R80" s="1274"/>
      <c r="S80" s="1274"/>
      <c r="T80" s="1274"/>
      <c r="U80" s="1274"/>
      <c r="V80" s="1274"/>
      <c r="W80" s="1274"/>
      <c r="X80" s="1274"/>
      <c r="Y80" s="1274"/>
      <c r="Z80" s="1274"/>
      <c r="AA80" s="1274"/>
      <c r="AB80" s="1274"/>
      <c r="AC80" s="1274"/>
      <c r="AD80" s="1274"/>
      <c r="AE80" s="1274"/>
      <c r="AF80" s="1274"/>
      <c r="AG80" s="1274"/>
      <c r="AH80" s="1274"/>
      <c r="AI80" s="1274"/>
      <c r="AJ80" s="1274"/>
      <c r="AK80" s="1274"/>
      <c r="AL80" s="1274"/>
      <c r="AM80" s="1274"/>
      <c r="AN80" s="1274"/>
      <c r="AO80" s="1274"/>
      <c r="AP80" s="1274"/>
      <c r="AQ80" s="1274"/>
      <c r="AR80" s="1274"/>
      <c r="AS80" s="1274"/>
      <c r="AT80" s="1274"/>
      <c r="AU80" s="1274"/>
      <c r="AV80" s="1274"/>
      <c r="AW80" s="1274"/>
      <c r="AX80" s="1274"/>
      <c r="AY80" s="1274"/>
      <c r="AZ80" s="1274"/>
      <c r="BA80" s="1274"/>
      <c r="BB80" s="1274"/>
      <c r="BC80" s="1274"/>
    </row>
    <row r="81" spans="1:58" s="192" customFormat="1" ht="18" hidden="1" customHeight="1" outlineLevel="1" x14ac:dyDescent="0.25">
      <c r="B81" s="252" t="s">
        <v>620</v>
      </c>
      <c r="C81" s="292">
        <v>0.2</v>
      </c>
      <c r="D81" s="289">
        <v>0.5</v>
      </c>
      <c r="E81" s="297">
        <v>0.3</v>
      </c>
      <c r="F81" s="292">
        <v>0</v>
      </c>
      <c r="G81" s="292">
        <v>0</v>
      </c>
      <c r="H81" s="292">
        <v>0</v>
      </c>
      <c r="I81" s="292">
        <v>0</v>
      </c>
      <c r="J81" s="292">
        <v>0</v>
      </c>
      <c r="K81" s="292">
        <v>0</v>
      </c>
      <c r="L81" s="292">
        <v>0</v>
      </c>
      <c r="M81" s="292">
        <v>0</v>
      </c>
      <c r="N81" s="292">
        <v>0</v>
      </c>
      <c r="O81" s="292">
        <v>0</v>
      </c>
      <c r="P81" s="292">
        <v>0</v>
      </c>
      <c r="Q81" s="292">
        <v>0</v>
      </c>
      <c r="R81" s="292">
        <v>0</v>
      </c>
      <c r="S81" s="292">
        <v>0</v>
      </c>
      <c r="T81" s="292">
        <v>0</v>
      </c>
      <c r="U81" s="292">
        <v>0</v>
      </c>
      <c r="V81" s="292">
        <v>0</v>
      </c>
      <c r="W81" s="292">
        <v>0</v>
      </c>
      <c r="X81" s="292">
        <v>0</v>
      </c>
      <c r="Y81" s="292">
        <v>0</v>
      </c>
      <c r="Z81" s="292">
        <v>0</v>
      </c>
      <c r="AA81" s="292">
        <v>0</v>
      </c>
      <c r="AB81" s="292">
        <v>0</v>
      </c>
      <c r="AC81" s="292">
        <v>0</v>
      </c>
      <c r="AD81" s="292">
        <v>0</v>
      </c>
      <c r="AE81" s="292">
        <v>0</v>
      </c>
      <c r="AF81" s="292">
        <v>0</v>
      </c>
      <c r="AG81" s="292">
        <v>0</v>
      </c>
      <c r="AH81" s="292">
        <v>0</v>
      </c>
      <c r="AI81" s="292">
        <v>0</v>
      </c>
      <c r="AJ81" s="292">
        <v>0</v>
      </c>
      <c r="AK81" s="292">
        <v>0</v>
      </c>
      <c r="AL81" s="292">
        <v>0</v>
      </c>
      <c r="AM81" s="292">
        <v>0</v>
      </c>
      <c r="AN81" s="292">
        <v>0</v>
      </c>
      <c r="AO81" s="292">
        <v>0</v>
      </c>
      <c r="AP81" s="292">
        <v>0</v>
      </c>
      <c r="AQ81" s="292">
        <v>0</v>
      </c>
      <c r="AR81" s="292">
        <v>0</v>
      </c>
      <c r="AS81" s="292">
        <v>0</v>
      </c>
      <c r="AT81" s="292">
        <v>0</v>
      </c>
      <c r="AU81" s="292">
        <v>0</v>
      </c>
      <c r="AV81" s="292">
        <v>0</v>
      </c>
      <c r="AW81" s="292">
        <v>0</v>
      </c>
      <c r="AX81" s="292">
        <v>0</v>
      </c>
      <c r="AY81" s="292">
        <v>0</v>
      </c>
      <c r="AZ81" s="292">
        <v>0</v>
      </c>
      <c r="BA81" s="292">
        <v>0</v>
      </c>
      <c r="BB81" s="292">
        <v>0</v>
      </c>
      <c r="BC81" s="292">
        <v>0</v>
      </c>
    </row>
    <row r="82" spans="1:58" s="192" customFormat="1" ht="18" hidden="1" customHeight="1" outlineLevel="1" x14ac:dyDescent="0.25">
      <c r="B82" s="252" t="s">
        <v>359</v>
      </c>
      <c r="C82" s="299">
        <f t="shared" ref="C82:BC82" si="38">C81*$D$80</f>
        <v>0</v>
      </c>
      <c r="D82" s="300">
        <f t="shared" si="38"/>
        <v>0</v>
      </c>
      <c r="E82" s="298">
        <f t="shared" si="38"/>
        <v>0</v>
      </c>
      <c r="F82" s="299">
        <f t="shared" si="38"/>
        <v>0</v>
      </c>
      <c r="G82" s="299">
        <f t="shared" si="38"/>
        <v>0</v>
      </c>
      <c r="H82" s="299">
        <f t="shared" si="38"/>
        <v>0</v>
      </c>
      <c r="I82" s="299">
        <f t="shared" si="38"/>
        <v>0</v>
      </c>
      <c r="J82" s="299">
        <f t="shared" si="38"/>
        <v>0</v>
      </c>
      <c r="K82" s="299">
        <f t="shared" si="38"/>
        <v>0</v>
      </c>
      <c r="L82" s="299">
        <f t="shared" si="38"/>
        <v>0</v>
      </c>
      <c r="M82" s="299">
        <f t="shared" si="38"/>
        <v>0</v>
      </c>
      <c r="N82" s="299">
        <f t="shared" si="38"/>
        <v>0</v>
      </c>
      <c r="O82" s="299">
        <f t="shared" si="38"/>
        <v>0</v>
      </c>
      <c r="P82" s="299">
        <f t="shared" si="38"/>
        <v>0</v>
      </c>
      <c r="Q82" s="299">
        <f t="shared" si="38"/>
        <v>0</v>
      </c>
      <c r="R82" s="299">
        <f t="shared" si="38"/>
        <v>0</v>
      </c>
      <c r="S82" s="299">
        <f t="shared" si="38"/>
        <v>0</v>
      </c>
      <c r="T82" s="299">
        <f t="shared" si="38"/>
        <v>0</v>
      </c>
      <c r="U82" s="299">
        <f t="shared" si="38"/>
        <v>0</v>
      </c>
      <c r="V82" s="299">
        <f t="shared" si="38"/>
        <v>0</v>
      </c>
      <c r="W82" s="299">
        <f t="shared" si="38"/>
        <v>0</v>
      </c>
      <c r="X82" s="299">
        <f t="shared" si="38"/>
        <v>0</v>
      </c>
      <c r="Y82" s="299">
        <f t="shared" si="38"/>
        <v>0</v>
      </c>
      <c r="Z82" s="299">
        <f t="shared" si="38"/>
        <v>0</v>
      </c>
      <c r="AA82" s="299">
        <f t="shared" si="38"/>
        <v>0</v>
      </c>
      <c r="AB82" s="299">
        <f t="shared" si="38"/>
        <v>0</v>
      </c>
      <c r="AC82" s="299">
        <f t="shared" si="38"/>
        <v>0</v>
      </c>
      <c r="AD82" s="299">
        <f t="shared" si="38"/>
        <v>0</v>
      </c>
      <c r="AE82" s="299">
        <f t="shared" si="38"/>
        <v>0</v>
      </c>
      <c r="AF82" s="299">
        <f t="shared" si="38"/>
        <v>0</v>
      </c>
      <c r="AG82" s="299">
        <f t="shared" si="38"/>
        <v>0</v>
      </c>
      <c r="AH82" s="299">
        <f t="shared" si="38"/>
        <v>0</v>
      </c>
      <c r="AI82" s="299">
        <f t="shared" si="38"/>
        <v>0</v>
      </c>
      <c r="AJ82" s="299">
        <f t="shared" si="38"/>
        <v>0</v>
      </c>
      <c r="AK82" s="299">
        <f t="shared" si="38"/>
        <v>0</v>
      </c>
      <c r="AL82" s="299">
        <f t="shared" si="38"/>
        <v>0</v>
      </c>
      <c r="AM82" s="299">
        <f t="shared" si="38"/>
        <v>0</v>
      </c>
      <c r="AN82" s="299">
        <f t="shared" si="38"/>
        <v>0</v>
      </c>
      <c r="AO82" s="299">
        <f t="shared" si="38"/>
        <v>0</v>
      </c>
      <c r="AP82" s="299">
        <f t="shared" si="38"/>
        <v>0</v>
      </c>
      <c r="AQ82" s="299">
        <f t="shared" si="38"/>
        <v>0</v>
      </c>
      <c r="AR82" s="299">
        <f t="shared" si="38"/>
        <v>0</v>
      </c>
      <c r="AS82" s="299">
        <f t="shared" si="38"/>
        <v>0</v>
      </c>
      <c r="AT82" s="299">
        <f t="shared" si="38"/>
        <v>0</v>
      </c>
      <c r="AU82" s="299">
        <f t="shared" si="38"/>
        <v>0</v>
      </c>
      <c r="AV82" s="299">
        <f t="shared" si="38"/>
        <v>0</v>
      </c>
      <c r="AW82" s="299">
        <f t="shared" si="38"/>
        <v>0</v>
      </c>
      <c r="AX82" s="299">
        <f t="shared" si="38"/>
        <v>0</v>
      </c>
      <c r="AY82" s="299">
        <f t="shared" si="38"/>
        <v>0</v>
      </c>
      <c r="AZ82" s="299">
        <f t="shared" si="38"/>
        <v>0</v>
      </c>
      <c r="BA82" s="299">
        <f t="shared" si="38"/>
        <v>0</v>
      </c>
      <c r="BB82" s="299">
        <f t="shared" si="38"/>
        <v>0</v>
      </c>
      <c r="BC82" s="299">
        <f t="shared" si="38"/>
        <v>0</v>
      </c>
    </row>
    <row r="83" spans="1:58" s="192" customFormat="1" ht="18" hidden="1" customHeight="1" outlineLevel="1" x14ac:dyDescent="0.25">
      <c r="B83" s="732" t="str">
        <f>'R&amp;C-Painel de Controle'!F70</f>
        <v>Incineração</v>
      </c>
      <c r="C83" s="291" t="str">
        <f>'R&amp;C-Painel de Controle'!G70</f>
        <v>Não</v>
      </c>
      <c r="D83" s="302">
        <f>'R&amp;C-Painel de Controle'!K70</f>
        <v>0</v>
      </c>
    </row>
    <row r="84" spans="1:58" s="192" customFormat="1" ht="18" hidden="1" customHeight="1" outlineLevel="1" x14ac:dyDescent="0.25">
      <c r="B84" s="252" t="s">
        <v>620</v>
      </c>
      <c r="C84" s="292">
        <v>0.2</v>
      </c>
      <c r="D84" s="289">
        <v>0.5</v>
      </c>
      <c r="E84" s="297">
        <v>0.3</v>
      </c>
      <c r="F84" s="292">
        <v>0</v>
      </c>
      <c r="G84" s="292">
        <v>0</v>
      </c>
      <c r="H84" s="292">
        <v>0</v>
      </c>
      <c r="I84" s="292">
        <v>0</v>
      </c>
      <c r="J84" s="292">
        <v>0</v>
      </c>
      <c r="K84" s="292">
        <v>0</v>
      </c>
      <c r="L84" s="292">
        <v>0</v>
      </c>
      <c r="M84" s="292">
        <v>0</v>
      </c>
      <c r="N84" s="292">
        <v>0</v>
      </c>
      <c r="O84" s="292">
        <v>0</v>
      </c>
      <c r="P84" s="292">
        <v>0</v>
      </c>
      <c r="Q84" s="292">
        <v>0</v>
      </c>
      <c r="R84" s="292">
        <v>0</v>
      </c>
      <c r="S84" s="292">
        <v>0</v>
      </c>
      <c r="T84" s="292">
        <v>0</v>
      </c>
      <c r="U84" s="292">
        <v>0</v>
      </c>
      <c r="V84" s="292">
        <v>0</v>
      </c>
      <c r="W84" s="292">
        <v>0</v>
      </c>
      <c r="X84" s="292">
        <v>0</v>
      </c>
      <c r="Y84" s="292">
        <v>0</v>
      </c>
      <c r="Z84" s="292">
        <v>0</v>
      </c>
      <c r="AA84" s="292">
        <v>0</v>
      </c>
      <c r="AB84" s="292">
        <v>0</v>
      </c>
      <c r="AC84" s="292">
        <v>0</v>
      </c>
      <c r="AD84" s="292">
        <v>0</v>
      </c>
      <c r="AE84" s="292">
        <v>0</v>
      </c>
      <c r="AF84" s="292">
        <v>0</v>
      </c>
      <c r="AG84" s="292">
        <v>0</v>
      </c>
      <c r="AH84" s="292">
        <v>0</v>
      </c>
      <c r="AI84" s="292">
        <v>0</v>
      </c>
      <c r="AJ84" s="292">
        <v>0</v>
      </c>
      <c r="AK84" s="292">
        <v>0</v>
      </c>
      <c r="AL84" s="292">
        <v>0</v>
      </c>
      <c r="AM84" s="292">
        <v>0</v>
      </c>
      <c r="AN84" s="292">
        <v>0</v>
      </c>
      <c r="AO84" s="292">
        <v>0</v>
      </c>
      <c r="AP84" s="292">
        <v>0</v>
      </c>
      <c r="AQ84" s="292">
        <v>0</v>
      </c>
      <c r="AR84" s="292">
        <v>0</v>
      </c>
      <c r="AS84" s="292">
        <v>0</v>
      </c>
      <c r="AT84" s="292">
        <v>0</v>
      </c>
      <c r="AU84" s="292">
        <v>0</v>
      </c>
      <c r="AV84" s="292">
        <v>0</v>
      </c>
      <c r="AW84" s="292">
        <v>0</v>
      </c>
      <c r="AX84" s="292">
        <v>0</v>
      </c>
      <c r="AY84" s="292">
        <v>0</v>
      </c>
      <c r="AZ84" s="292">
        <v>0</v>
      </c>
      <c r="BA84" s="292">
        <v>0</v>
      </c>
      <c r="BB84" s="292">
        <v>0</v>
      </c>
      <c r="BC84" s="292">
        <v>0</v>
      </c>
    </row>
    <row r="85" spans="1:58" s="192" customFormat="1" ht="18" hidden="1" customHeight="1" outlineLevel="1" x14ac:dyDescent="0.25">
      <c r="B85" s="252" t="s">
        <v>359</v>
      </c>
      <c r="C85" s="299">
        <f t="shared" ref="C85:BC85" si="39">C84*$D$83</f>
        <v>0</v>
      </c>
      <c r="D85" s="300">
        <f t="shared" si="39"/>
        <v>0</v>
      </c>
      <c r="E85" s="298">
        <f t="shared" si="39"/>
        <v>0</v>
      </c>
      <c r="F85" s="299">
        <f t="shared" si="39"/>
        <v>0</v>
      </c>
      <c r="G85" s="299">
        <f t="shared" si="39"/>
        <v>0</v>
      </c>
      <c r="H85" s="299">
        <f t="shared" si="39"/>
        <v>0</v>
      </c>
      <c r="I85" s="299">
        <f t="shared" si="39"/>
        <v>0</v>
      </c>
      <c r="J85" s="299">
        <f t="shared" si="39"/>
        <v>0</v>
      </c>
      <c r="K85" s="299">
        <f t="shared" si="39"/>
        <v>0</v>
      </c>
      <c r="L85" s="299">
        <f t="shared" si="39"/>
        <v>0</v>
      </c>
      <c r="M85" s="299">
        <f t="shared" si="39"/>
        <v>0</v>
      </c>
      <c r="N85" s="299">
        <f t="shared" si="39"/>
        <v>0</v>
      </c>
      <c r="O85" s="299">
        <f t="shared" si="39"/>
        <v>0</v>
      </c>
      <c r="P85" s="299">
        <f t="shared" si="39"/>
        <v>0</v>
      </c>
      <c r="Q85" s="299">
        <f t="shared" si="39"/>
        <v>0</v>
      </c>
      <c r="R85" s="299">
        <f t="shared" si="39"/>
        <v>0</v>
      </c>
      <c r="S85" s="299">
        <f t="shared" si="39"/>
        <v>0</v>
      </c>
      <c r="T85" s="299">
        <f t="shared" si="39"/>
        <v>0</v>
      </c>
      <c r="U85" s="299">
        <f t="shared" si="39"/>
        <v>0</v>
      </c>
      <c r="V85" s="299">
        <f t="shared" si="39"/>
        <v>0</v>
      </c>
      <c r="W85" s="299">
        <f t="shared" si="39"/>
        <v>0</v>
      </c>
      <c r="X85" s="299">
        <f t="shared" si="39"/>
        <v>0</v>
      </c>
      <c r="Y85" s="299">
        <f t="shared" si="39"/>
        <v>0</v>
      </c>
      <c r="Z85" s="299">
        <f t="shared" si="39"/>
        <v>0</v>
      </c>
      <c r="AA85" s="299">
        <f t="shared" si="39"/>
        <v>0</v>
      </c>
      <c r="AB85" s="299">
        <f t="shared" si="39"/>
        <v>0</v>
      </c>
      <c r="AC85" s="299">
        <f t="shared" si="39"/>
        <v>0</v>
      </c>
      <c r="AD85" s="299">
        <f t="shared" si="39"/>
        <v>0</v>
      </c>
      <c r="AE85" s="299">
        <f t="shared" si="39"/>
        <v>0</v>
      </c>
      <c r="AF85" s="299">
        <f t="shared" si="39"/>
        <v>0</v>
      </c>
      <c r="AG85" s="299">
        <f t="shared" si="39"/>
        <v>0</v>
      </c>
      <c r="AH85" s="299">
        <f t="shared" si="39"/>
        <v>0</v>
      </c>
      <c r="AI85" s="299">
        <f t="shared" si="39"/>
        <v>0</v>
      </c>
      <c r="AJ85" s="299">
        <f t="shared" si="39"/>
        <v>0</v>
      </c>
      <c r="AK85" s="299">
        <f t="shared" si="39"/>
        <v>0</v>
      </c>
      <c r="AL85" s="299">
        <f t="shared" si="39"/>
        <v>0</v>
      </c>
      <c r="AM85" s="299">
        <f t="shared" si="39"/>
        <v>0</v>
      </c>
      <c r="AN85" s="299">
        <f t="shared" si="39"/>
        <v>0</v>
      </c>
      <c r="AO85" s="299">
        <f t="shared" si="39"/>
        <v>0</v>
      </c>
      <c r="AP85" s="299">
        <f t="shared" si="39"/>
        <v>0</v>
      </c>
      <c r="AQ85" s="299">
        <f t="shared" si="39"/>
        <v>0</v>
      </c>
      <c r="AR85" s="299">
        <f t="shared" si="39"/>
        <v>0</v>
      </c>
      <c r="AS85" s="299">
        <f t="shared" si="39"/>
        <v>0</v>
      </c>
      <c r="AT85" s="299">
        <f t="shared" si="39"/>
        <v>0</v>
      </c>
      <c r="AU85" s="299">
        <f t="shared" si="39"/>
        <v>0</v>
      </c>
      <c r="AV85" s="299">
        <f t="shared" si="39"/>
        <v>0</v>
      </c>
      <c r="AW85" s="299">
        <f t="shared" si="39"/>
        <v>0</v>
      </c>
      <c r="AX85" s="299">
        <f t="shared" si="39"/>
        <v>0</v>
      </c>
      <c r="AY85" s="299">
        <f t="shared" si="39"/>
        <v>0</v>
      </c>
      <c r="AZ85" s="299">
        <f t="shared" si="39"/>
        <v>0</v>
      </c>
      <c r="BA85" s="299">
        <f t="shared" si="39"/>
        <v>0</v>
      </c>
      <c r="BB85" s="299">
        <f t="shared" si="39"/>
        <v>0</v>
      </c>
      <c r="BC85" s="299">
        <f t="shared" si="39"/>
        <v>0</v>
      </c>
    </row>
    <row r="86" spans="1:58" s="192" customFormat="1" ht="18" hidden="1" customHeight="1" outlineLevel="1" x14ac:dyDescent="0.25">
      <c r="B86" s="732" t="str">
        <f>'R&amp;C-Painel de Controle'!F73</f>
        <v>Aterro Sanitário</v>
      </c>
      <c r="C86" s="291" t="str">
        <f>'R&amp;C-Painel de Controle'!G73</f>
        <v>Sim</v>
      </c>
      <c r="D86" s="302">
        <f>'R&amp;C-Painel de Controle'!K73</f>
        <v>18.332373914768596</v>
      </c>
      <c r="E86" s="1274"/>
      <c r="F86" s="1274"/>
      <c r="G86" s="1274"/>
      <c r="H86" s="1274"/>
      <c r="I86" s="1274"/>
      <c r="J86" s="1274"/>
      <c r="K86" s="1274"/>
      <c r="L86" s="1274"/>
      <c r="M86" s="1274"/>
      <c r="N86" s="1274"/>
      <c r="O86" s="1274"/>
      <c r="P86" s="1274"/>
      <c r="Q86" s="1274"/>
      <c r="R86" s="1274"/>
      <c r="S86" s="1274"/>
      <c r="T86" s="1274"/>
      <c r="U86" s="1274"/>
      <c r="V86" s="1274"/>
      <c r="W86" s="1274"/>
      <c r="X86" s="1274"/>
      <c r="Y86" s="1274"/>
      <c r="Z86" s="1274"/>
      <c r="AA86" s="1274"/>
      <c r="AB86" s="1274"/>
      <c r="AC86" s="1274"/>
      <c r="AD86" s="1274"/>
      <c r="AE86" s="1274"/>
      <c r="AF86" s="1274"/>
      <c r="AG86" s="1274"/>
      <c r="AH86" s="1274"/>
      <c r="AI86" s="1274"/>
      <c r="AJ86" s="1274"/>
      <c r="AK86" s="1274"/>
      <c r="AL86" s="1274"/>
      <c r="AM86" s="1274"/>
      <c r="AN86" s="1274"/>
      <c r="AO86" s="1274"/>
      <c r="AP86" s="1274"/>
      <c r="AQ86" s="1274"/>
      <c r="AR86" s="1274"/>
      <c r="AS86" s="1274"/>
      <c r="AT86" s="1274"/>
      <c r="AU86" s="1274"/>
      <c r="AV86" s="1274"/>
      <c r="AW86" s="1274"/>
      <c r="AX86" s="1274"/>
      <c r="AY86" s="1274"/>
      <c r="AZ86" s="1274"/>
      <c r="BA86" s="1274"/>
      <c r="BB86" s="1274"/>
      <c r="BC86" s="1274"/>
    </row>
    <row r="87" spans="1:58" s="192" customFormat="1" ht="18" hidden="1" customHeight="1" outlineLevel="1" x14ac:dyDescent="0.25">
      <c r="B87" s="252" t="s">
        <v>620</v>
      </c>
      <c r="C87" s="292">
        <v>0.2</v>
      </c>
      <c r="D87" s="289">
        <v>0.5</v>
      </c>
      <c r="E87" s="297">
        <v>0.3</v>
      </c>
      <c r="F87" s="292">
        <v>0</v>
      </c>
      <c r="G87" s="292">
        <v>0</v>
      </c>
      <c r="H87" s="292">
        <v>0</v>
      </c>
      <c r="I87" s="292">
        <v>0</v>
      </c>
      <c r="J87" s="292">
        <v>0</v>
      </c>
      <c r="K87" s="292">
        <v>0</v>
      </c>
      <c r="L87" s="292">
        <v>0</v>
      </c>
      <c r="M87" s="292">
        <v>0</v>
      </c>
      <c r="N87" s="292">
        <v>0</v>
      </c>
      <c r="O87" s="292">
        <v>0</v>
      </c>
      <c r="P87" s="292">
        <v>0</v>
      </c>
      <c r="Q87" s="292">
        <v>0</v>
      </c>
      <c r="R87" s="292">
        <v>0</v>
      </c>
      <c r="S87" s="292">
        <v>0</v>
      </c>
      <c r="T87" s="292">
        <v>0</v>
      </c>
      <c r="U87" s="292">
        <v>0</v>
      </c>
      <c r="V87" s="292">
        <v>0</v>
      </c>
      <c r="W87" s="292">
        <v>0</v>
      </c>
      <c r="X87" s="292">
        <v>0</v>
      </c>
      <c r="Y87" s="292">
        <v>0</v>
      </c>
      <c r="Z87" s="292">
        <v>0</v>
      </c>
      <c r="AA87" s="292">
        <v>0</v>
      </c>
      <c r="AB87" s="292">
        <v>0</v>
      </c>
      <c r="AC87" s="292">
        <v>0</v>
      </c>
      <c r="AD87" s="292">
        <v>0</v>
      </c>
      <c r="AE87" s="292">
        <v>0</v>
      </c>
      <c r="AF87" s="292">
        <v>0</v>
      </c>
      <c r="AG87" s="292">
        <v>0</v>
      </c>
      <c r="AH87" s="292">
        <v>0</v>
      </c>
      <c r="AI87" s="292">
        <v>0</v>
      </c>
      <c r="AJ87" s="292">
        <v>0</v>
      </c>
      <c r="AK87" s="292">
        <v>0</v>
      </c>
      <c r="AL87" s="292">
        <v>0</v>
      </c>
      <c r="AM87" s="292">
        <v>0</v>
      </c>
      <c r="AN87" s="292">
        <v>0</v>
      </c>
      <c r="AO87" s="292">
        <v>0</v>
      </c>
      <c r="AP87" s="292">
        <v>0</v>
      </c>
      <c r="AQ87" s="292">
        <v>0</v>
      </c>
      <c r="AR87" s="292">
        <v>0</v>
      </c>
      <c r="AS87" s="292">
        <v>0</v>
      </c>
      <c r="AT87" s="292">
        <v>0</v>
      </c>
      <c r="AU87" s="292">
        <v>0</v>
      </c>
      <c r="AV87" s="292">
        <v>0</v>
      </c>
      <c r="AW87" s="292">
        <v>0</v>
      </c>
      <c r="AX87" s="292">
        <v>0</v>
      </c>
      <c r="AY87" s="292">
        <v>0</v>
      </c>
      <c r="AZ87" s="292">
        <v>0</v>
      </c>
      <c r="BA87" s="292">
        <v>0</v>
      </c>
      <c r="BB87" s="292">
        <v>0</v>
      </c>
      <c r="BC87" s="292">
        <v>0</v>
      </c>
    </row>
    <row r="88" spans="1:58" s="192" customFormat="1" ht="18" hidden="1" customHeight="1" outlineLevel="1" x14ac:dyDescent="0.25">
      <c r="B88" s="252" t="s">
        <v>359</v>
      </c>
      <c r="C88" s="299">
        <f t="shared" ref="C88:BC88" si="40">C87*$D$86</f>
        <v>3.6664747829537192</v>
      </c>
      <c r="D88" s="300">
        <f t="shared" si="40"/>
        <v>9.1661869573842978</v>
      </c>
      <c r="E88" s="298">
        <f t="shared" si="40"/>
        <v>5.4997121744305781</v>
      </c>
      <c r="F88" s="299">
        <f t="shared" si="40"/>
        <v>0</v>
      </c>
      <c r="G88" s="299">
        <f t="shared" si="40"/>
        <v>0</v>
      </c>
      <c r="H88" s="299">
        <f t="shared" si="40"/>
        <v>0</v>
      </c>
      <c r="I88" s="299">
        <f t="shared" si="40"/>
        <v>0</v>
      </c>
      <c r="J88" s="299">
        <f t="shared" si="40"/>
        <v>0</v>
      </c>
      <c r="K88" s="299">
        <f t="shared" si="40"/>
        <v>0</v>
      </c>
      <c r="L88" s="299">
        <f t="shared" si="40"/>
        <v>0</v>
      </c>
      <c r="M88" s="299">
        <f t="shared" si="40"/>
        <v>0</v>
      </c>
      <c r="N88" s="299">
        <f t="shared" si="40"/>
        <v>0</v>
      </c>
      <c r="O88" s="299">
        <f t="shared" si="40"/>
        <v>0</v>
      </c>
      <c r="P88" s="299">
        <f t="shared" si="40"/>
        <v>0</v>
      </c>
      <c r="Q88" s="299">
        <f t="shared" si="40"/>
        <v>0</v>
      </c>
      <c r="R88" s="299">
        <f t="shared" si="40"/>
        <v>0</v>
      </c>
      <c r="S88" s="299">
        <f t="shared" si="40"/>
        <v>0</v>
      </c>
      <c r="T88" s="299">
        <f t="shared" si="40"/>
        <v>0</v>
      </c>
      <c r="U88" s="299">
        <f t="shared" si="40"/>
        <v>0</v>
      </c>
      <c r="V88" s="299">
        <f t="shared" si="40"/>
        <v>0</v>
      </c>
      <c r="W88" s="299">
        <f t="shared" si="40"/>
        <v>0</v>
      </c>
      <c r="X88" s="299">
        <f t="shared" si="40"/>
        <v>0</v>
      </c>
      <c r="Y88" s="299">
        <f t="shared" si="40"/>
        <v>0</v>
      </c>
      <c r="Z88" s="299">
        <f t="shared" si="40"/>
        <v>0</v>
      </c>
      <c r="AA88" s="299">
        <f t="shared" si="40"/>
        <v>0</v>
      </c>
      <c r="AB88" s="299">
        <f t="shared" si="40"/>
        <v>0</v>
      </c>
      <c r="AC88" s="299">
        <f t="shared" si="40"/>
        <v>0</v>
      </c>
      <c r="AD88" s="299">
        <f t="shared" si="40"/>
        <v>0</v>
      </c>
      <c r="AE88" s="299">
        <f t="shared" si="40"/>
        <v>0</v>
      </c>
      <c r="AF88" s="299">
        <f t="shared" si="40"/>
        <v>0</v>
      </c>
      <c r="AG88" s="299">
        <f t="shared" si="40"/>
        <v>0</v>
      </c>
      <c r="AH88" s="299">
        <f t="shared" si="40"/>
        <v>0</v>
      </c>
      <c r="AI88" s="299">
        <f t="shared" si="40"/>
        <v>0</v>
      </c>
      <c r="AJ88" s="299">
        <f t="shared" si="40"/>
        <v>0</v>
      </c>
      <c r="AK88" s="299">
        <f t="shared" si="40"/>
        <v>0</v>
      </c>
      <c r="AL88" s="299">
        <f t="shared" si="40"/>
        <v>0</v>
      </c>
      <c r="AM88" s="299">
        <f t="shared" si="40"/>
        <v>0</v>
      </c>
      <c r="AN88" s="299">
        <f t="shared" si="40"/>
        <v>0</v>
      </c>
      <c r="AO88" s="299">
        <f t="shared" si="40"/>
        <v>0</v>
      </c>
      <c r="AP88" s="299">
        <f t="shared" si="40"/>
        <v>0</v>
      </c>
      <c r="AQ88" s="299">
        <f t="shared" si="40"/>
        <v>0</v>
      </c>
      <c r="AR88" s="299">
        <f t="shared" si="40"/>
        <v>0</v>
      </c>
      <c r="AS88" s="299">
        <f t="shared" si="40"/>
        <v>0</v>
      </c>
      <c r="AT88" s="299">
        <f t="shared" si="40"/>
        <v>0</v>
      </c>
      <c r="AU88" s="299">
        <f t="shared" si="40"/>
        <v>0</v>
      </c>
      <c r="AV88" s="299">
        <f t="shared" si="40"/>
        <v>0</v>
      </c>
      <c r="AW88" s="299">
        <f t="shared" si="40"/>
        <v>0</v>
      </c>
      <c r="AX88" s="299">
        <f t="shared" si="40"/>
        <v>0</v>
      </c>
      <c r="AY88" s="299">
        <f t="shared" si="40"/>
        <v>0</v>
      </c>
      <c r="AZ88" s="299">
        <f t="shared" si="40"/>
        <v>0</v>
      </c>
      <c r="BA88" s="299">
        <f t="shared" si="40"/>
        <v>0</v>
      </c>
      <c r="BB88" s="299">
        <f t="shared" si="40"/>
        <v>0</v>
      </c>
      <c r="BC88" s="299">
        <f t="shared" si="40"/>
        <v>0</v>
      </c>
    </row>
    <row r="89" spans="1:58" s="192" customFormat="1" ht="18" customHeight="1" x14ac:dyDescent="0.25">
      <c r="B89" s="290"/>
      <c r="R89" s="274"/>
    </row>
    <row r="90" spans="1:58" s="192" customFormat="1" ht="25.9" customHeight="1" collapsed="1" x14ac:dyDescent="0.25">
      <c r="B90" s="738" t="s">
        <v>863</v>
      </c>
      <c r="C90" s="281">
        <f>IF('R&amp;C-Painel de Controle'!$D$24="Não",C94+C97+C100+C103+C106+C109+C112+C115,C94+C97+C100+C103+C106+C109+C112+C115+'R&amp;C-Painel de Controle'!$L$91)</f>
        <v>0</v>
      </c>
      <c r="D90" s="281">
        <f>IF('R&amp;C-Painel de Controle'!$D$24="Não",D94+D97+D100+D103+D106+D109+D112+D115,D94+D97+D100+D103+D106+D109+D112+D115+'R&amp;C-Painel de Controle'!$L$91)</f>
        <v>0</v>
      </c>
      <c r="E90" s="281">
        <f>IF('R&amp;C-Painel de Controle'!$D$24="Não",E94+E97+E100+E103+E106+E109+E112+E115,E94+E97+E100+E103+E106+E109+E112+E115+'R&amp;C-Painel de Controle'!$L$91)</f>
        <v>0</v>
      </c>
      <c r="F90" s="281">
        <f>IF('R&amp;C-Painel de Controle'!$D$24="Não",F94+F97+F100+F103+F106+F109+F112+F115,F94+F97+F100+F103+F106+F109+F112+F115+'R&amp;C-Painel de Controle'!$L$91)</f>
        <v>28.470408762992275</v>
      </c>
      <c r="G90" s="281">
        <f>IF('R&amp;C-Painel de Controle'!$D$24="Não",G94+G97+G100+G103+G106+G109+G112+G115,G94+G97+G100+G103+G106+G109+G112+G115+'R&amp;C-Painel de Controle'!$L$91)</f>
        <v>28.470408762992275</v>
      </c>
      <c r="H90" s="281">
        <f>IF('R&amp;C-Painel de Controle'!$D$24="Não",H94+H97+H100+H103+H106+H109+H112+H115,H94+H97+H100+H103+H106+H109+H112+H115+'R&amp;C-Painel de Controle'!$L$91)</f>
        <v>28.470408762992275</v>
      </c>
      <c r="I90" s="281">
        <f>IF('R&amp;C-Painel de Controle'!$D$24="Não",I94+I97+I100+I103+I106+I109+I112+I115,I94+I97+I100+I103+I106+I109+I112+I115+'R&amp;C-Painel de Controle'!$L$91)</f>
        <v>28.470408762992275</v>
      </c>
      <c r="J90" s="281">
        <f>IF('R&amp;C-Painel de Controle'!$D$24="Não",J94+J97+J100+J103+J106+J109+J112+J115,J94+J97+J100+J103+J106+J109+J112+J115+'R&amp;C-Painel de Controle'!$L$91)</f>
        <v>28.470408762992275</v>
      </c>
      <c r="K90" s="281">
        <f>IF('R&amp;C-Painel de Controle'!$D$24="Não",K94+K97+K100+K103+K106+K109+K112+K115,K94+K97+K100+K103+K106+K109+K112+K115+'R&amp;C-Painel de Controle'!$L$91)</f>
        <v>28.470408762992275</v>
      </c>
      <c r="L90" s="281">
        <f>IF('R&amp;C-Painel de Controle'!$D$24="Não",L94+L97+L100+L103+L106+L109+L112+L115,L94+L97+L100+L103+L106+L109+L112+L115+'R&amp;C-Painel de Controle'!$L$91)</f>
        <v>28.470408762992275</v>
      </c>
      <c r="M90" s="281">
        <f>IF('R&amp;C-Painel de Controle'!$D$24="Não",M94+M97+M100+M103+M106+M109+M112+M115,M94+M97+M100+M103+M106+M109+M112+M115+'R&amp;C-Painel de Controle'!$L$91)</f>
        <v>28.470408762992275</v>
      </c>
      <c r="N90" s="281">
        <f>IF('R&amp;C-Painel de Controle'!$D$24="Não",N94+N97+N100+N103+N106+N109+N112+N115,N94+N97+N100+N103+N106+N109+N112+N115+'R&amp;C-Painel de Controle'!$L$91)</f>
        <v>28.470408762992275</v>
      </c>
      <c r="O90" s="281">
        <f>IF('R&amp;C-Painel de Controle'!$D$24="Não",O94+O97+O100+O103+O106+O109+O112+O115,O94+O97+O100+O103+O106+O109+O112+O115+'R&amp;C-Painel de Controle'!$L$91)</f>
        <v>28.470408762992275</v>
      </c>
      <c r="P90" s="281">
        <f>IF('R&amp;C-Painel de Controle'!$D$24="Não",P94+P97+P100+P103+P106+P109+P112+P115,P94+P97+P100+P103+P106+P109+P112+P115+'R&amp;C-Painel de Controle'!$L$91)</f>
        <v>28.470408762992275</v>
      </c>
      <c r="Q90" s="281">
        <f>IF('R&amp;C-Painel de Controle'!$D$24="Não",Q94+Q97+Q100+Q103+Q106+Q109+Q112+Q115,Q94+Q97+Q100+Q103+Q106+Q109+Q112+Q115+'R&amp;C-Painel de Controle'!$L$91)</f>
        <v>28.470408762992275</v>
      </c>
      <c r="R90" s="281">
        <f>IF('R&amp;C-Painel de Controle'!$D$24="Não",R94+R97+R100+R103+R106+R109+R112+R115,R94+R97+R100+R103+R106+R109+R112+R115+'R&amp;C-Painel de Controle'!$L$91)</f>
        <v>28.470408762992275</v>
      </c>
      <c r="S90" s="281">
        <f>IF('R&amp;C-Painel de Controle'!$D$24="Não",S94+S97+S100+S103+S106+S109+S112+S115,S94+S97+S100+S103+S106+S109+S112+S115+'R&amp;C-Painel de Controle'!$L$91)</f>
        <v>28.470408762992275</v>
      </c>
      <c r="T90" s="281">
        <f>IF('R&amp;C-Painel de Controle'!$D$24="Não",T94+T97+T100+T103+T106+T109+T112+T115,T94+T97+T100+T103+T106+T109+T112+T115+'R&amp;C-Painel de Controle'!$L$91)</f>
        <v>28.470408762992275</v>
      </c>
      <c r="U90" s="281">
        <f>IF('R&amp;C-Painel de Controle'!$D$24="Não",U94+U97+U100+U103+U106+U109+U112+U115,U94+U97+U100+U103+U106+U109+U112+U115+'R&amp;C-Painel de Controle'!$L$91)</f>
        <v>28.470408762992275</v>
      </c>
      <c r="V90" s="281">
        <f>IF('R&amp;C-Painel de Controle'!$D$24="Não",V94+V97+V100+V103+V106+V109+V112+V115,V94+V97+V100+V103+V106+V109+V112+V115+'R&amp;C-Painel de Controle'!$L$91)</f>
        <v>28.470408762992275</v>
      </c>
      <c r="W90" s="281">
        <f>IF('R&amp;C-Painel de Controle'!$D$24="Não",W94+W97+W100+W103+W106+W109+W112+W115,W94+W97+W100+W103+W106+W109+W112+W115+'R&amp;C-Painel de Controle'!$L$91)</f>
        <v>28.470408762992275</v>
      </c>
      <c r="X90" s="281">
        <f>IF('R&amp;C-Painel de Controle'!$D$24="Não",X94+X97+X100+X103+X106+X109+X112+X115,X94+X97+X100+X103+X106+X109+X112+X115+'R&amp;C-Painel de Controle'!$L$91)</f>
        <v>28.470408762992275</v>
      </c>
      <c r="Y90" s="281">
        <f>IF('R&amp;C-Painel de Controle'!$D$24="Não",Y94+Y97+Y100+Y103+Y106+Y109+Y112+Y115,Y94+Y97+Y100+Y103+Y106+Y109+Y112+Y115+'R&amp;C-Painel de Controle'!$L$91)</f>
        <v>28.470408762992275</v>
      </c>
      <c r="Z90" s="281">
        <f>IF('R&amp;C-Painel de Controle'!$D$24="Não",Z94+Z97+Z100+Z103+Z106+Z109+Z112+Z115,Z94+Z97+Z100+Z103+Z106+Z109+Z112+Z115+'R&amp;C-Painel de Controle'!$L$91)</f>
        <v>28.470408762992275</v>
      </c>
      <c r="AA90" s="281">
        <f>IF('R&amp;C-Painel de Controle'!$D$24="Não",AA94+AA97+AA100+AA103+AA106+AA109+AA112+AA115,AA94+AA97+AA100+AA103+AA106+AA109+AA112+AA115+'R&amp;C-Painel de Controle'!$L$91)</f>
        <v>28.470408762992275</v>
      </c>
      <c r="AB90" s="281">
        <f>IF('R&amp;C-Painel de Controle'!$D$24="Não",AB94+AB97+AB100+AB103+AB106+AB109+AB112+AB115,AB94+AB97+AB100+AB103+AB106+AB109+AB112+AB115+'R&amp;C-Painel de Controle'!$L$91)</f>
        <v>28.470408762992275</v>
      </c>
      <c r="AC90" s="281">
        <f>IF('R&amp;C-Painel de Controle'!$D$24="Não",AC94+AC97+AC100+AC103+AC106+AC109+AC112+AC115,AC94+AC97+AC100+AC103+AC106+AC109+AC112+AC115+'R&amp;C-Painel de Controle'!$L$91)</f>
        <v>28.470408762992275</v>
      </c>
      <c r="AD90" s="281">
        <f>IF('R&amp;C-Painel de Controle'!$D$24="Não",AD94+AD97+AD100+AD103+AD106+AD109+AD112+AD115,AD94+AD97+AD100+AD103+AD106+AD109+AD112+AD115+'R&amp;C-Painel de Controle'!$L$91)</f>
        <v>28.470408762992275</v>
      </c>
      <c r="AE90" s="281">
        <f>IF('R&amp;C-Painel de Controle'!$D$24="Não",AE94+AE97+AE100+AE103+AE106+AE109+AE112+AE115,AE94+AE97+AE100+AE103+AE106+AE109+AE112+AE115+'R&amp;C-Painel de Controle'!$L$91)</f>
        <v>28.470408762992275</v>
      </c>
      <c r="AF90" s="281">
        <f>IF('R&amp;C-Painel de Controle'!$D$24="Não",AF94+AF97+AF100+AF103+AF106+AF109+AF112+AF115,AF94+AF97+AF100+AF103+AF106+AF109+AF112+AF115+'R&amp;C-Painel de Controle'!$L$91)</f>
        <v>28.470408762992275</v>
      </c>
      <c r="AG90" s="281">
        <f>IF('R&amp;C-Painel de Controle'!$D$24="Não",AG94+AG97+AG100+AG103+AG106+AG109+AG112+AG115,AG94+AG97+AG100+AG103+AG106+AG109+AG112+AG115+'R&amp;C-Painel de Controle'!$L$91)</f>
        <v>28.470408762992275</v>
      </c>
      <c r="AH90" s="281">
        <f>IF('R&amp;C-Painel de Controle'!$D$24="Não",AH94+AH97+AH100+AH103+AH106+AH109+AH112+AH115,AH94+AH97+AH100+AH103+AH106+AH109+AH112+AH115+'R&amp;C-Painel de Controle'!$L$91)</f>
        <v>28.470408762992275</v>
      </c>
      <c r="AI90" s="281">
        <f>IF('R&amp;C-Painel de Controle'!$D$24="Não",AI94+AI97+AI100+AI103+AI106+AI109+AI112+AI115,AI94+AI97+AI100+AI103+AI106+AI109+AI112+AI115+'R&amp;C-Painel de Controle'!$L$91)</f>
        <v>28.470408762992275</v>
      </c>
      <c r="AJ90" s="281">
        <f>IF('R&amp;C-Painel de Controle'!$D$24="Não",AJ94+AJ97+AJ100+AJ103+AJ106+AJ109+AJ112+AJ115,AJ94+AJ97+AJ100+AJ103+AJ106+AJ109+AJ112+AJ115+'R&amp;C-Painel de Controle'!$L$91)</f>
        <v>28.470408762992275</v>
      </c>
      <c r="AK90" s="281">
        <f>IF('R&amp;C-Painel de Controle'!$D$24="Não",AK94+AK97+AK100+AK103+AK106+AK109+AK112+AK115,AK94+AK97+AK100+AK103+AK106+AK109+AK112+AK115+'R&amp;C-Painel de Controle'!$L$91)</f>
        <v>28.470408762992275</v>
      </c>
      <c r="AL90" s="281">
        <f>IF('R&amp;C-Painel de Controle'!$D$24="Não",AL94+AL97+AL100+AL103+AL106+AL109+AL112+AL115,AL94+AL97+AL100+AL103+AL106+AL109+AL112+AL115+'R&amp;C-Painel de Controle'!$L$91)</f>
        <v>28.470408762992275</v>
      </c>
      <c r="AM90" s="281">
        <f>IF('R&amp;C-Painel de Controle'!$D$24="Não",AM94+AM97+AM100+AM103+AM106+AM109+AM112+AM115,AM94+AM97+AM100+AM103+AM106+AM109+AM112+AM115+'R&amp;C-Painel de Controle'!$L$91)</f>
        <v>28.470408762992275</v>
      </c>
      <c r="AN90" s="281">
        <f>IF('R&amp;C-Painel de Controle'!$D$24="Não",AN94+AN97+AN100+AN103+AN106+AN109+AN112+AN115,AN94+AN97+AN100+AN103+AN106+AN109+AN112+AN115+'R&amp;C-Painel de Controle'!$L$91)</f>
        <v>28.470408762992275</v>
      </c>
      <c r="AO90" s="281">
        <f>IF('R&amp;C-Painel de Controle'!$D$24="Não",AO94+AO97+AO100+AO103+AO106+AO109+AO112+AO115,AO94+AO97+AO100+AO103+AO106+AO109+AO112+AO115+'R&amp;C-Painel de Controle'!$L$91)</f>
        <v>28.470408762992275</v>
      </c>
      <c r="AP90" s="281">
        <f>IF('R&amp;C-Painel de Controle'!$D$24="Não",AP94+AP97+AP100+AP103+AP106+AP109+AP112+AP115,AP94+AP97+AP100+AP103+AP106+AP109+AP112+AP115+'R&amp;C-Painel de Controle'!$L$91)</f>
        <v>28.470408762992275</v>
      </c>
      <c r="AQ90" s="281">
        <f>IF('R&amp;C-Painel de Controle'!$D$24="Não",AQ94+AQ97+AQ100+AQ103+AQ106+AQ109+AQ112+AQ115,AQ94+AQ97+AQ100+AQ103+AQ106+AQ109+AQ112+AQ115+'R&amp;C-Painel de Controle'!$L$91)</f>
        <v>28.470408762992275</v>
      </c>
      <c r="AR90" s="281">
        <f>IF('R&amp;C-Painel de Controle'!$D$24="Não",AR94+AR97+AR100+AR103+AR106+AR109+AR112+AR115,AR94+AR97+AR100+AR103+AR106+AR109+AR112+AR115+'R&amp;C-Painel de Controle'!$L$91)</f>
        <v>28.470408762992275</v>
      </c>
      <c r="AS90" s="281">
        <f>IF('R&amp;C-Painel de Controle'!$D$24="Não",AS94+AS97+AS100+AS103+AS106+AS109+AS112+AS115,AS94+AS97+AS100+AS103+AS106+AS109+AS112+AS115+'R&amp;C-Painel de Controle'!$L$91)</f>
        <v>28.470408762992275</v>
      </c>
      <c r="AT90" s="281">
        <f>IF('R&amp;C-Painel de Controle'!$D$24="Não",AT94+AT97+AT100+AT103+AT106+AT109+AT112+AT115,AT94+AT97+AT100+AT103+AT106+AT109+AT112+AT115+'R&amp;C-Painel de Controle'!$L$91)</f>
        <v>28.470408762992275</v>
      </c>
      <c r="AU90" s="281">
        <f>IF('R&amp;C-Painel de Controle'!$D$24="Não",AU94+AU97+AU100+AU103+AU106+AU109+AU112+AU115,AU94+AU97+AU100+AU103+AU106+AU109+AU112+AU115+'R&amp;C-Painel de Controle'!$L$91)</f>
        <v>28.470408762992275</v>
      </c>
      <c r="AV90" s="281">
        <f>IF('R&amp;C-Painel de Controle'!$D$24="Não",AV94+AV97+AV100+AV103+AV106+AV109+AV112+AV115,AV94+AV97+AV100+AV103+AV106+AV109+AV112+AV115+'R&amp;C-Painel de Controle'!$L$91)</f>
        <v>28.470408762992275</v>
      </c>
      <c r="AW90" s="281">
        <f>IF('R&amp;C-Painel de Controle'!$D$24="Não",AW94+AW97+AW100+AW103+AW106+AW109+AW112+AW115,AW94+AW97+AW100+AW103+AW106+AW109+AW112+AW115+'R&amp;C-Painel de Controle'!$L$91)</f>
        <v>28.470408762992275</v>
      </c>
      <c r="AX90" s="281">
        <f>IF('R&amp;C-Painel de Controle'!$D$24="Não",AX94+AX97+AX100+AX103+AX106+AX109+AX112+AX115,AX94+AX97+AX100+AX103+AX106+AX109+AX112+AX115+'R&amp;C-Painel de Controle'!$L$91)</f>
        <v>28.470408762992275</v>
      </c>
      <c r="AY90" s="281">
        <f>IF('R&amp;C-Painel de Controle'!$D$24="Não",AY94+AY97+AY100+AY103+AY106+AY109+AY112+AY115,AY94+AY97+AY100+AY103+AY106+AY109+AY112+AY115+'R&amp;C-Painel de Controle'!$L$91)</f>
        <v>28.470408762992275</v>
      </c>
      <c r="AZ90" s="281">
        <f>IF('R&amp;C-Painel de Controle'!$D$24="Não",AZ94+AZ97+AZ100+AZ103+AZ106+AZ109+AZ112+AZ115,AZ94+AZ97+AZ100+AZ103+AZ106+AZ109+AZ112+AZ115+'R&amp;C-Painel de Controle'!$L$91)</f>
        <v>28.470408762992275</v>
      </c>
      <c r="BA90" s="281">
        <f>IF('R&amp;C-Painel de Controle'!$D$24="Não",BA94+BA97+BA100+BA103+BA106+BA109+BA112+BA115,BA94+BA97+BA100+BA103+BA106+BA109+BA112+BA115+'R&amp;C-Painel de Controle'!$L$91)</f>
        <v>28.470408762992275</v>
      </c>
      <c r="BB90" s="281">
        <f>IF('R&amp;C-Painel de Controle'!$D$24="Não",BB94+BB97+BB100+BB103+BB106+BB109+BB112+BB115,BB94+BB97+BB100+BB103+BB106+BB109+BB112+BB115+'R&amp;C-Painel de Controle'!$L$91)</f>
        <v>28.470408762992275</v>
      </c>
      <c r="BC90" s="281">
        <f>IF('R&amp;C-Painel de Controle'!$D$24="Não",BC94+BC97+BC100+BC103+BC106+BC109+BC112+BC115,BC94+BC97+BC100+BC103+BC106+BC109+BC112+BC115+'R&amp;C-Painel de Controle'!$L$91)</f>
        <v>28.470408762992275</v>
      </c>
    </row>
    <row r="91" spans="1:58" s="192" customFormat="1" ht="18" hidden="1" customHeight="1" outlineLevel="1" x14ac:dyDescent="0.25">
      <c r="A91" s="277"/>
      <c r="B91" s="228" t="s">
        <v>356</v>
      </c>
      <c r="C91" s="277" t="s">
        <v>357</v>
      </c>
      <c r="D91" s="277" t="s">
        <v>249</v>
      </c>
      <c r="E91" s="277"/>
      <c r="F91" s="277"/>
      <c r="G91" s="277"/>
      <c r="H91" s="277"/>
      <c r="I91" s="277"/>
      <c r="J91" s="277"/>
      <c r="K91" s="277"/>
      <c r="L91" s="277"/>
      <c r="M91" s="277"/>
      <c r="N91" s="277"/>
      <c r="O91" s="277"/>
      <c r="P91" s="277"/>
      <c r="Q91" s="277"/>
      <c r="R91" s="277"/>
      <c r="S91" s="277"/>
      <c r="T91" s="277"/>
      <c r="U91" s="277"/>
      <c r="V91" s="277"/>
      <c r="W91" s="277"/>
      <c r="X91" s="277"/>
      <c r="Y91" s="277"/>
      <c r="Z91" s="277"/>
      <c r="AA91" s="277"/>
      <c r="AB91" s="277"/>
      <c r="AC91" s="277"/>
      <c r="AD91" s="277"/>
      <c r="AE91" s="277"/>
      <c r="AF91" s="277"/>
      <c r="AG91" s="277"/>
      <c r="AH91" s="277"/>
      <c r="AI91" s="277"/>
      <c r="AJ91" s="277"/>
      <c r="AK91" s="277"/>
      <c r="AL91" s="277"/>
      <c r="AM91" s="277"/>
      <c r="AN91" s="277"/>
      <c r="AO91" s="277"/>
      <c r="AP91" s="277"/>
      <c r="AQ91" s="277"/>
      <c r="AR91" s="277"/>
      <c r="AS91" s="277"/>
      <c r="AT91" s="277"/>
      <c r="AU91" s="277"/>
      <c r="AV91" s="277"/>
      <c r="AW91" s="277"/>
      <c r="AX91" s="277"/>
      <c r="AY91" s="277"/>
      <c r="AZ91" s="277"/>
      <c r="BA91" s="277"/>
      <c r="BB91" s="277"/>
      <c r="BC91" s="277"/>
      <c r="BD91" s="277"/>
      <c r="BE91" s="277"/>
      <c r="BF91" s="277"/>
    </row>
    <row r="92" spans="1:58" s="192" customFormat="1" ht="18" hidden="1" customHeight="1" outlineLevel="1" x14ac:dyDescent="0.25">
      <c r="B92" s="732" t="str">
        <f>B65</f>
        <v>Triagem Manual — Seletivos</v>
      </c>
      <c r="C92" s="291" t="str">
        <f>C37</f>
        <v>Não</v>
      </c>
      <c r="D92" s="291">
        <f>D37</f>
        <v>0</v>
      </c>
      <c r="E92" s="1274"/>
      <c r="R92" s="274"/>
    </row>
    <row r="93" spans="1:58" s="192" customFormat="1" ht="18" hidden="1" customHeight="1" outlineLevel="1" x14ac:dyDescent="0.25">
      <c r="B93" s="260"/>
      <c r="C93" s="292"/>
      <c r="D93" s="292"/>
      <c r="E93" s="292"/>
      <c r="F93" s="292"/>
      <c r="G93" s="292"/>
      <c r="H93" s="292"/>
      <c r="I93" s="292"/>
      <c r="J93" s="292"/>
      <c r="K93" s="292"/>
      <c r="L93" s="292"/>
      <c r="M93" s="292"/>
      <c r="N93" s="292"/>
      <c r="O93" s="292"/>
      <c r="P93" s="292"/>
      <c r="Q93" s="292"/>
      <c r="R93" s="274"/>
      <c r="S93" s="274"/>
      <c r="T93" s="274"/>
      <c r="U93" s="274"/>
      <c r="V93" s="274"/>
      <c r="W93" s="274"/>
      <c r="X93" s="274"/>
      <c r="Y93" s="274"/>
      <c r="Z93" s="274"/>
      <c r="AA93" s="274"/>
      <c r="AB93" s="274"/>
      <c r="AC93" s="274"/>
      <c r="AD93" s="274"/>
      <c r="AE93" s="274"/>
      <c r="AF93" s="274"/>
      <c r="AG93" s="274"/>
      <c r="AH93" s="274"/>
      <c r="AI93" s="274"/>
      <c r="AJ93" s="274"/>
      <c r="AK93" s="274"/>
      <c r="AL93" s="274"/>
      <c r="AM93" s="274"/>
      <c r="AN93" s="274"/>
      <c r="AO93" s="274"/>
      <c r="AP93" s="274"/>
      <c r="AQ93" s="274"/>
      <c r="AR93" s="274"/>
      <c r="AS93" s="274"/>
      <c r="AT93" s="274"/>
      <c r="AU93" s="274"/>
      <c r="AV93" s="274"/>
      <c r="AW93" s="274"/>
      <c r="AX93" s="274"/>
      <c r="AY93" s="274"/>
      <c r="AZ93" s="274"/>
      <c r="BA93" s="274"/>
      <c r="BB93" s="274"/>
      <c r="BC93" s="274"/>
      <c r="BD93" s="274"/>
      <c r="BE93" s="274"/>
      <c r="BF93" s="274"/>
    </row>
    <row r="94" spans="1:58" s="192" customFormat="1" ht="18" hidden="1" customHeight="1" outlineLevel="1" x14ac:dyDescent="0.25">
      <c r="B94" s="260" t="s">
        <v>360</v>
      </c>
      <c r="C94" s="293">
        <f>IF(C39&gt;0,'R&amp;C-Painel de Controle'!$O$54+'R&amp;C-Painel de Controle'!$P$54*C39/1000000,0)</f>
        <v>0</v>
      </c>
      <c r="D94" s="293">
        <f>IF(D39&gt;0,'R&amp;C-Painel de Controle'!$O$54+'R&amp;C-Painel de Controle'!$P$54*D39/1000000,0)</f>
        <v>0</v>
      </c>
      <c r="E94" s="293">
        <f>IF(E39&gt;0,'R&amp;C-Painel de Controle'!O54+'R&amp;C-Painel de Controle'!$P$54*E39/1000000,0)</f>
        <v>0</v>
      </c>
      <c r="F94" s="293">
        <f>IF(F39&gt;0,'R&amp;C-Painel de Controle'!$O$54+'R&amp;C-Painel de Controle'!$P$54*F39/1000000,0)</f>
        <v>0</v>
      </c>
      <c r="G94" s="293">
        <f>IF(G39&gt;0,'R&amp;C-Painel de Controle'!$O$54+'R&amp;C-Painel de Controle'!$P$54*G39/1000000,0)</f>
        <v>0</v>
      </c>
      <c r="H94" s="293">
        <f>IF(H39&gt;0,'R&amp;C-Painel de Controle'!$O$54+'R&amp;C-Painel de Controle'!$P$54*H39/1000000,0)</f>
        <v>0</v>
      </c>
      <c r="I94" s="293">
        <f>IF(I39&gt;0,'R&amp;C-Painel de Controle'!$O$54+'R&amp;C-Painel de Controle'!$P$54*I39/1000000,0)</f>
        <v>0</v>
      </c>
      <c r="J94" s="293">
        <f>IF(J39&gt;0,'R&amp;C-Painel de Controle'!$O$54+'R&amp;C-Painel de Controle'!$P$54*J39/1000000,0)</f>
        <v>0</v>
      </c>
      <c r="K94" s="293">
        <f>IF(K39&gt;0,'R&amp;C-Painel de Controle'!$O$54+'R&amp;C-Painel de Controle'!$P$54*K39/1000000,0)</f>
        <v>0</v>
      </c>
      <c r="L94" s="293">
        <f>IF(L39&gt;0,'R&amp;C-Painel de Controle'!$O$54+'R&amp;C-Painel de Controle'!$P$54*L39/1000000,0)</f>
        <v>0</v>
      </c>
      <c r="M94" s="293">
        <f>IF(M39&gt;0,'R&amp;C-Painel de Controle'!$O$54+'R&amp;C-Painel de Controle'!$P$54*M39/1000000,0)</f>
        <v>0</v>
      </c>
      <c r="N94" s="293">
        <f>IF(N39&gt;0,'R&amp;C-Painel de Controle'!$O$54+'R&amp;C-Painel de Controle'!$P$54*N39/1000000,0)</f>
        <v>0</v>
      </c>
      <c r="O94" s="293">
        <f>IF(O39&gt;0,'R&amp;C-Painel de Controle'!$O$54+'R&amp;C-Painel de Controle'!$P$54*O39/1000000,0)</f>
        <v>0</v>
      </c>
      <c r="P94" s="293">
        <f>IF(P39&gt;0,'R&amp;C-Painel de Controle'!$O$54+'R&amp;C-Painel de Controle'!$P$54*P39/1000000,0)</f>
        <v>0</v>
      </c>
      <c r="Q94" s="293">
        <f>IF(Q39&gt;0,'R&amp;C-Painel de Controle'!$O$54+'R&amp;C-Painel de Controle'!$P$54*Q39/1000000,0)</f>
        <v>0</v>
      </c>
      <c r="R94" s="280">
        <f t="shared" ref="R94:BC94" si="41">Q94</f>
        <v>0</v>
      </c>
      <c r="S94" s="280">
        <f t="shared" si="41"/>
        <v>0</v>
      </c>
      <c r="T94" s="280">
        <f t="shared" si="41"/>
        <v>0</v>
      </c>
      <c r="U94" s="280">
        <f t="shared" si="41"/>
        <v>0</v>
      </c>
      <c r="V94" s="280">
        <f t="shared" si="41"/>
        <v>0</v>
      </c>
      <c r="W94" s="280">
        <f t="shared" si="41"/>
        <v>0</v>
      </c>
      <c r="X94" s="280">
        <f t="shared" si="41"/>
        <v>0</v>
      </c>
      <c r="Y94" s="280">
        <f t="shared" si="41"/>
        <v>0</v>
      </c>
      <c r="Z94" s="280">
        <f t="shared" si="41"/>
        <v>0</v>
      </c>
      <c r="AA94" s="280">
        <f t="shared" si="41"/>
        <v>0</v>
      </c>
      <c r="AB94" s="280">
        <f t="shared" si="41"/>
        <v>0</v>
      </c>
      <c r="AC94" s="280">
        <f t="shared" si="41"/>
        <v>0</v>
      </c>
      <c r="AD94" s="280">
        <f t="shared" si="41"/>
        <v>0</v>
      </c>
      <c r="AE94" s="280">
        <f t="shared" si="41"/>
        <v>0</v>
      </c>
      <c r="AF94" s="280">
        <f t="shared" si="41"/>
        <v>0</v>
      </c>
      <c r="AG94" s="280">
        <f t="shared" si="41"/>
        <v>0</v>
      </c>
      <c r="AH94" s="280">
        <f t="shared" si="41"/>
        <v>0</v>
      </c>
      <c r="AI94" s="280">
        <f t="shared" si="41"/>
        <v>0</v>
      </c>
      <c r="AJ94" s="280">
        <f t="shared" si="41"/>
        <v>0</v>
      </c>
      <c r="AK94" s="280">
        <f t="shared" si="41"/>
        <v>0</v>
      </c>
      <c r="AL94" s="280">
        <f t="shared" si="41"/>
        <v>0</v>
      </c>
      <c r="AM94" s="280">
        <f t="shared" si="41"/>
        <v>0</v>
      </c>
      <c r="AN94" s="280">
        <f t="shared" si="41"/>
        <v>0</v>
      </c>
      <c r="AO94" s="280">
        <f t="shared" si="41"/>
        <v>0</v>
      </c>
      <c r="AP94" s="280">
        <f t="shared" si="41"/>
        <v>0</v>
      </c>
      <c r="AQ94" s="280">
        <f t="shared" si="41"/>
        <v>0</v>
      </c>
      <c r="AR94" s="280">
        <f t="shared" si="41"/>
        <v>0</v>
      </c>
      <c r="AS94" s="280">
        <f t="shared" si="41"/>
        <v>0</v>
      </c>
      <c r="AT94" s="280">
        <f t="shared" si="41"/>
        <v>0</v>
      </c>
      <c r="AU94" s="280">
        <f t="shared" si="41"/>
        <v>0</v>
      </c>
      <c r="AV94" s="280">
        <f t="shared" si="41"/>
        <v>0</v>
      </c>
      <c r="AW94" s="280">
        <f t="shared" si="41"/>
        <v>0</v>
      </c>
      <c r="AX94" s="280">
        <f t="shared" si="41"/>
        <v>0</v>
      </c>
      <c r="AY94" s="280">
        <f t="shared" si="41"/>
        <v>0</v>
      </c>
      <c r="AZ94" s="280">
        <f t="shared" si="41"/>
        <v>0</v>
      </c>
      <c r="BA94" s="280">
        <f t="shared" si="41"/>
        <v>0</v>
      </c>
      <c r="BB94" s="280">
        <f t="shared" si="41"/>
        <v>0</v>
      </c>
      <c r="BC94" s="280">
        <f t="shared" si="41"/>
        <v>0</v>
      </c>
      <c r="BD94" s="280"/>
      <c r="BE94" s="280"/>
      <c r="BF94" s="280"/>
    </row>
    <row r="95" spans="1:58" s="192" customFormat="1" ht="18" hidden="1" customHeight="1" outlineLevel="1" x14ac:dyDescent="0.25">
      <c r="B95" s="732" t="str">
        <f>B68</f>
        <v>Triagem Mecanizada</v>
      </c>
      <c r="C95" s="291" t="str">
        <f>C40</f>
        <v>Sim</v>
      </c>
      <c r="D95" s="291">
        <f>D40</f>
        <v>146467.94871794875</v>
      </c>
      <c r="E95" s="1274"/>
      <c r="F95" s="1274"/>
      <c r="G95" s="1274"/>
      <c r="H95" s="1274"/>
      <c r="I95" s="1274"/>
      <c r="J95" s="1274"/>
      <c r="K95" s="1274"/>
      <c r="L95" s="1274"/>
      <c r="M95" s="1274"/>
      <c r="N95" s="1274"/>
      <c r="O95" s="1274"/>
      <c r="P95" s="1274"/>
      <c r="Q95" s="740"/>
      <c r="R95" s="274"/>
      <c r="S95" s="274"/>
      <c r="T95" s="274"/>
      <c r="U95" s="274"/>
      <c r="V95" s="274"/>
      <c r="W95" s="274"/>
      <c r="X95" s="274"/>
      <c r="Y95" s="274"/>
      <c r="Z95" s="274"/>
      <c r="AA95" s="274"/>
      <c r="AB95" s="274"/>
      <c r="AC95" s="274"/>
      <c r="AD95" s="274"/>
      <c r="AE95" s="274"/>
      <c r="AF95" s="274"/>
      <c r="AG95" s="274"/>
      <c r="AH95" s="274"/>
      <c r="AI95" s="274"/>
      <c r="AJ95" s="274"/>
      <c r="AK95" s="274"/>
      <c r="AL95" s="274"/>
      <c r="AM95" s="274"/>
      <c r="AN95" s="274"/>
      <c r="AO95" s="274"/>
      <c r="AP95" s="274"/>
      <c r="AQ95" s="274"/>
      <c r="AR95" s="274"/>
      <c r="AS95" s="274"/>
      <c r="AT95" s="274"/>
      <c r="AU95" s="274"/>
      <c r="AV95" s="274"/>
      <c r="AW95" s="274"/>
      <c r="AX95" s="274"/>
      <c r="AY95" s="274"/>
      <c r="AZ95" s="274"/>
      <c r="BA95" s="274"/>
      <c r="BB95" s="274"/>
      <c r="BC95" s="274"/>
      <c r="BD95" s="274"/>
      <c r="BE95" s="274"/>
      <c r="BF95" s="274"/>
    </row>
    <row r="96" spans="1:58" s="192" customFormat="1" ht="18" hidden="1" customHeight="1" outlineLevel="1" x14ac:dyDescent="0.25">
      <c r="B96" s="260"/>
      <c r="C96" s="292"/>
      <c r="D96" s="289"/>
      <c r="E96" s="292"/>
      <c r="F96" s="292"/>
      <c r="G96" s="292"/>
      <c r="H96" s="292"/>
      <c r="I96" s="292"/>
      <c r="J96" s="292"/>
      <c r="K96" s="292"/>
      <c r="L96" s="292"/>
      <c r="M96" s="292"/>
      <c r="N96" s="292"/>
      <c r="O96" s="292"/>
      <c r="P96" s="292"/>
      <c r="Q96" s="292"/>
      <c r="R96" s="274"/>
      <c r="S96" s="274"/>
      <c r="T96" s="274"/>
      <c r="U96" s="274"/>
      <c r="V96" s="274"/>
      <c r="W96" s="274"/>
      <c r="X96" s="274"/>
      <c r="Y96" s="274"/>
      <c r="Z96" s="274"/>
      <c r="AA96" s="274"/>
      <c r="AB96" s="274"/>
      <c r="AC96" s="274"/>
      <c r="AD96" s="274"/>
      <c r="AE96" s="274"/>
      <c r="AF96" s="274"/>
      <c r="AG96" s="274"/>
      <c r="AH96" s="274"/>
      <c r="AI96" s="274"/>
      <c r="AJ96" s="274"/>
      <c r="AK96" s="274"/>
      <c r="AL96" s="274"/>
      <c r="AM96" s="274"/>
      <c r="AN96" s="274"/>
      <c r="AO96" s="274"/>
      <c r="AP96" s="274"/>
      <c r="AQ96" s="274"/>
      <c r="AR96" s="274"/>
      <c r="AS96" s="274"/>
      <c r="AT96" s="274"/>
      <c r="AU96" s="274"/>
      <c r="AV96" s="274"/>
      <c r="AW96" s="274"/>
      <c r="AX96" s="274"/>
      <c r="AY96" s="274"/>
      <c r="AZ96" s="274"/>
      <c r="BA96" s="274"/>
      <c r="BB96" s="274"/>
      <c r="BC96" s="274"/>
      <c r="BD96" s="274"/>
      <c r="BE96" s="274"/>
      <c r="BF96" s="274"/>
    </row>
    <row r="97" spans="2:58" s="192" customFormat="1" ht="18" hidden="1" customHeight="1" outlineLevel="1" x14ac:dyDescent="0.25">
      <c r="B97" s="260" t="s">
        <v>360</v>
      </c>
      <c r="C97" s="293">
        <f>IF(C42&gt;0,'R&amp;C-Painel de Controle'!$O57+'R&amp;C-Painel de Controle'!$P57*C42/1000000,0)</f>
        <v>0</v>
      </c>
      <c r="D97" s="295">
        <f>IF(D42&gt;0,'R&amp;C-Painel de Controle'!$O57+'R&amp;C-Painel de Controle'!$P57*D42/1000000,0)</f>
        <v>0</v>
      </c>
      <c r="E97" s="293">
        <f>IF(E42&gt;0,'R&amp;C-Painel de Controle'!$O57+'R&amp;C-Painel de Controle'!$P57*E42/1000000,0)</f>
        <v>0</v>
      </c>
      <c r="F97" s="293">
        <f>IF(F42&gt;0,'R&amp;C-Painel de Controle'!$O57+'R&amp;C-Painel de Controle'!$P57*F42/1000000,0)</f>
        <v>12.123928617820592</v>
      </c>
      <c r="G97" s="293">
        <f>IF(G42&gt;0,'R&amp;C-Painel de Controle'!$O57+'R&amp;C-Painel de Controle'!$P57*G42/1000000,0)</f>
        <v>12.123928617820592</v>
      </c>
      <c r="H97" s="293">
        <f>IF(H42&gt;0,'R&amp;C-Painel de Controle'!$O57+'R&amp;C-Painel de Controle'!$P57*H42/1000000,0)</f>
        <v>12.123928617820592</v>
      </c>
      <c r="I97" s="293">
        <f>IF(I42&gt;0,'R&amp;C-Painel de Controle'!$O57+'R&amp;C-Painel de Controle'!$P57*I42/1000000,0)</f>
        <v>12.123928617820592</v>
      </c>
      <c r="J97" s="293">
        <f>IF(J42&gt;0,'R&amp;C-Painel de Controle'!$O57+'R&amp;C-Painel de Controle'!$P57*J42/1000000,0)</f>
        <v>12.123928617820592</v>
      </c>
      <c r="K97" s="293">
        <f>IF(K42&gt;0,'R&amp;C-Painel de Controle'!$O57+'R&amp;C-Painel de Controle'!$P57*K42/1000000,0)</f>
        <v>12.123928617820592</v>
      </c>
      <c r="L97" s="293">
        <f>IF(L42&gt;0,'R&amp;C-Painel de Controle'!$O57+'R&amp;C-Painel de Controle'!$P57*L42/1000000,0)</f>
        <v>12.123928617820592</v>
      </c>
      <c r="M97" s="293">
        <f>IF(M42&gt;0,'R&amp;C-Painel de Controle'!$O57+'R&amp;C-Painel de Controle'!$P57*M42/1000000,0)</f>
        <v>12.123928617820592</v>
      </c>
      <c r="N97" s="293">
        <f>IF(N42&gt;0,'R&amp;C-Painel de Controle'!$O57+'R&amp;C-Painel de Controle'!$P57*N42/1000000,0)</f>
        <v>12.123928617820592</v>
      </c>
      <c r="O97" s="293">
        <f>IF(O42&gt;0,'R&amp;C-Painel de Controle'!$O57+'R&amp;C-Painel de Controle'!$P57*O42/1000000,0)</f>
        <v>12.123928617820592</v>
      </c>
      <c r="P97" s="293">
        <f>IF(P42&gt;0,'R&amp;C-Painel de Controle'!$O57+'R&amp;C-Painel de Controle'!$P57*P42/1000000,0)</f>
        <v>12.123928617820592</v>
      </c>
      <c r="Q97" s="293">
        <f>IF(Q42&gt;0,'R&amp;C-Painel de Controle'!$O57+'R&amp;C-Painel de Controle'!$P57*Q42/1000000,0)</f>
        <v>12.123928617820592</v>
      </c>
      <c r="R97" s="280">
        <f t="shared" ref="R97:BC97" si="42">Q97</f>
        <v>12.123928617820592</v>
      </c>
      <c r="S97" s="280">
        <f t="shared" si="42"/>
        <v>12.123928617820592</v>
      </c>
      <c r="T97" s="280">
        <f t="shared" si="42"/>
        <v>12.123928617820592</v>
      </c>
      <c r="U97" s="280">
        <f t="shared" si="42"/>
        <v>12.123928617820592</v>
      </c>
      <c r="V97" s="280">
        <f t="shared" si="42"/>
        <v>12.123928617820592</v>
      </c>
      <c r="W97" s="280">
        <f t="shared" si="42"/>
        <v>12.123928617820592</v>
      </c>
      <c r="X97" s="280">
        <f t="shared" si="42"/>
        <v>12.123928617820592</v>
      </c>
      <c r="Y97" s="280">
        <f t="shared" si="42"/>
        <v>12.123928617820592</v>
      </c>
      <c r="Z97" s="280">
        <f t="shared" si="42"/>
        <v>12.123928617820592</v>
      </c>
      <c r="AA97" s="280">
        <f t="shared" si="42"/>
        <v>12.123928617820592</v>
      </c>
      <c r="AB97" s="280">
        <f t="shared" si="42"/>
        <v>12.123928617820592</v>
      </c>
      <c r="AC97" s="280">
        <f t="shared" si="42"/>
        <v>12.123928617820592</v>
      </c>
      <c r="AD97" s="280">
        <f t="shared" si="42"/>
        <v>12.123928617820592</v>
      </c>
      <c r="AE97" s="280">
        <f t="shared" si="42"/>
        <v>12.123928617820592</v>
      </c>
      <c r="AF97" s="280">
        <f t="shared" si="42"/>
        <v>12.123928617820592</v>
      </c>
      <c r="AG97" s="280">
        <f t="shared" si="42"/>
        <v>12.123928617820592</v>
      </c>
      <c r="AH97" s="280">
        <f t="shared" si="42"/>
        <v>12.123928617820592</v>
      </c>
      <c r="AI97" s="280">
        <f t="shared" si="42"/>
        <v>12.123928617820592</v>
      </c>
      <c r="AJ97" s="280">
        <f t="shared" si="42"/>
        <v>12.123928617820592</v>
      </c>
      <c r="AK97" s="280">
        <f t="shared" si="42"/>
        <v>12.123928617820592</v>
      </c>
      <c r="AL97" s="280">
        <f t="shared" si="42"/>
        <v>12.123928617820592</v>
      </c>
      <c r="AM97" s="280">
        <f t="shared" si="42"/>
        <v>12.123928617820592</v>
      </c>
      <c r="AN97" s="280">
        <f t="shared" si="42"/>
        <v>12.123928617820592</v>
      </c>
      <c r="AO97" s="280">
        <f t="shared" si="42"/>
        <v>12.123928617820592</v>
      </c>
      <c r="AP97" s="280">
        <f t="shared" si="42"/>
        <v>12.123928617820592</v>
      </c>
      <c r="AQ97" s="280">
        <f t="shared" si="42"/>
        <v>12.123928617820592</v>
      </c>
      <c r="AR97" s="280">
        <f t="shared" si="42"/>
        <v>12.123928617820592</v>
      </c>
      <c r="AS97" s="280">
        <f t="shared" si="42"/>
        <v>12.123928617820592</v>
      </c>
      <c r="AT97" s="280">
        <f t="shared" si="42"/>
        <v>12.123928617820592</v>
      </c>
      <c r="AU97" s="280">
        <f t="shared" si="42"/>
        <v>12.123928617820592</v>
      </c>
      <c r="AV97" s="280">
        <f t="shared" si="42"/>
        <v>12.123928617820592</v>
      </c>
      <c r="AW97" s="280">
        <f t="shared" si="42"/>
        <v>12.123928617820592</v>
      </c>
      <c r="AX97" s="280">
        <f t="shared" si="42"/>
        <v>12.123928617820592</v>
      </c>
      <c r="AY97" s="280">
        <f t="shared" si="42"/>
        <v>12.123928617820592</v>
      </c>
      <c r="AZ97" s="280">
        <f t="shared" si="42"/>
        <v>12.123928617820592</v>
      </c>
      <c r="BA97" s="280">
        <f t="shared" si="42"/>
        <v>12.123928617820592</v>
      </c>
      <c r="BB97" s="280">
        <f t="shared" si="42"/>
        <v>12.123928617820592</v>
      </c>
      <c r="BC97" s="280">
        <f t="shared" si="42"/>
        <v>12.123928617820592</v>
      </c>
      <c r="BD97" s="280"/>
      <c r="BE97" s="280"/>
      <c r="BF97" s="280"/>
    </row>
    <row r="98" spans="2:58" s="192" customFormat="1" ht="18" hidden="1" customHeight="1" outlineLevel="1" x14ac:dyDescent="0.25">
      <c r="B98" s="732" t="str">
        <f>B71</f>
        <v>Produção de CDR TM — Trat. Mec.</v>
      </c>
      <c r="C98" s="291" t="str">
        <f>C43</f>
        <v>Não</v>
      </c>
      <c r="D98" s="291">
        <f>D43</f>
        <v>0</v>
      </c>
      <c r="E98" s="1274"/>
      <c r="Q98" s="740"/>
      <c r="R98" s="274"/>
      <c r="S98" s="274"/>
      <c r="T98" s="274"/>
      <c r="U98" s="274"/>
      <c r="V98" s="274"/>
      <c r="W98" s="274"/>
      <c r="X98" s="274"/>
      <c r="Y98" s="274"/>
      <c r="Z98" s="274"/>
      <c r="AA98" s="274"/>
      <c r="AB98" s="274"/>
      <c r="AC98" s="274"/>
      <c r="AD98" s="274"/>
      <c r="AE98" s="274"/>
      <c r="AF98" s="274"/>
      <c r="AG98" s="274"/>
      <c r="AH98" s="274"/>
      <c r="AI98" s="274"/>
      <c r="AJ98" s="274"/>
      <c r="AK98" s="274"/>
      <c r="AL98" s="274"/>
      <c r="AM98" s="274"/>
      <c r="AN98" s="274"/>
      <c r="AO98" s="274"/>
      <c r="AP98" s="274"/>
      <c r="AQ98" s="274"/>
      <c r="AR98" s="274"/>
      <c r="AS98" s="274"/>
      <c r="AT98" s="274"/>
      <c r="AU98" s="274"/>
      <c r="AV98" s="274"/>
      <c r="AW98" s="274"/>
      <c r="AX98" s="274"/>
      <c r="AY98" s="274"/>
      <c r="AZ98" s="274"/>
      <c r="BA98" s="274"/>
      <c r="BB98" s="274"/>
      <c r="BC98" s="274"/>
      <c r="BD98" s="274"/>
      <c r="BE98" s="274"/>
      <c r="BF98" s="274"/>
    </row>
    <row r="99" spans="2:58" s="192" customFormat="1" ht="18" hidden="1" customHeight="1" outlineLevel="1" x14ac:dyDescent="0.25">
      <c r="B99" s="260"/>
      <c r="C99" s="292"/>
      <c r="D99" s="292"/>
      <c r="E99" s="292"/>
      <c r="F99" s="292"/>
      <c r="G99" s="292"/>
      <c r="H99" s="292"/>
      <c r="I99" s="292"/>
      <c r="J99" s="292"/>
      <c r="K99" s="292"/>
      <c r="L99" s="292"/>
      <c r="M99" s="292"/>
      <c r="N99" s="292"/>
      <c r="O99" s="292"/>
      <c r="P99" s="292"/>
      <c r="Q99" s="292"/>
      <c r="R99" s="274"/>
      <c r="S99" s="274"/>
      <c r="T99" s="274"/>
      <c r="U99" s="274"/>
      <c r="V99" s="274"/>
      <c r="W99" s="274"/>
      <c r="X99" s="274"/>
      <c r="Y99" s="274"/>
      <c r="Z99" s="274"/>
      <c r="AA99" s="274"/>
      <c r="AB99" s="274"/>
      <c r="AC99" s="274"/>
      <c r="AD99" s="274"/>
      <c r="AE99" s="274"/>
      <c r="AF99" s="274"/>
      <c r="AG99" s="274"/>
      <c r="AH99" s="274"/>
      <c r="AI99" s="274"/>
      <c r="AJ99" s="274"/>
      <c r="AK99" s="274"/>
      <c r="AL99" s="274"/>
      <c r="AM99" s="274"/>
      <c r="AN99" s="274"/>
      <c r="AO99" s="274"/>
      <c r="AP99" s="274"/>
      <c r="AQ99" s="274"/>
      <c r="AR99" s="274"/>
      <c r="AS99" s="274"/>
      <c r="AT99" s="274"/>
      <c r="AU99" s="274"/>
      <c r="AV99" s="274"/>
      <c r="AW99" s="274"/>
      <c r="AX99" s="274"/>
      <c r="AY99" s="274"/>
      <c r="AZ99" s="274"/>
      <c r="BA99" s="274"/>
      <c r="BB99" s="274"/>
      <c r="BC99" s="274"/>
      <c r="BD99" s="274"/>
      <c r="BE99" s="274"/>
      <c r="BF99" s="274"/>
    </row>
    <row r="100" spans="2:58" s="192" customFormat="1" ht="18" hidden="1" customHeight="1" outlineLevel="1" x14ac:dyDescent="0.25">
      <c r="B100" s="260" t="s">
        <v>360</v>
      </c>
      <c r="C100" s="293">
        <f>IF(C45&gt;0,'R&amp;C-Painel de Controle'!$O60+'R&amp;C-Painel de Controle'!$P60*C45/1000000,0)</f>
        <v>0</v>
      </c>
      <c r="D100" s="293">
        <f>IF(D45&gt;0,'R&amp;C-Painel de Controle'!$O60+'R&amp;C-Painel de Controle'!$P60*D45/1000000,0)</f>
        <v>0</v>
      </c>
      <c r="E100" s="293">
        <f>IF(E45&gt;0,'R&amp;C-Painel de Controle'!$O60+'R&amp;C-Painel de Controle'!$P60*E45/1000000,0)</f>
        <v>0</v>
      </c>
      <c r="F100" s="293">
        <f>IF(F45&gt;0,'R&amp;C-Painel de Controle'!$O60+'R&amp;C-Painel de Controle'!$P60*F45/1000000,0)</f>
        <v>0</v>
      </c>
      <c r="G100" s="293">
        <f>IF(G45&gt;0,'R&amp;C-Painel de Controle'!$O60+'R&amp;C-Painel de Controle'!$P60*G45/1000000,0)</f>
        <v>0</v>
      </c>
      <c r="H100" s="293">
        <f>IF(H45&gt;0,'R&amp;C-Painel de Controle'!$O60+'R&amp;C-Painel de Controle'!$P60*H45/1000000,0)</f>
        <v>0</v>
      </c>
      <c r="I100" s="293">
        <f>IF(I45&gt;0,'R&amp;C-Painel de Controle'!$O60+'R&amp;C-Painel de Controle'!$P60*I45/1000000,0)</f>
        <v>0</v>
      </c>
      <c r="J100" s="293">
        <f>IF(J45&gt;0,'R&amp;C-Painel de Controle'!$O60+'R&amp;C-Painel de Controle'!$P60*J45/1000000,0)</f>
        <v>0</v>
      </c>
      <c r="K100" s="293">
        <f>IF(K45&gt;0,'R&amp;C-Painel de Controle'!$O60+'R&amp;C-Painel de Controle'!$P60*K45/1000000,0)</f>
        <v>0</v>
      </c>
      <c r="L100" s="293">
        <f>IF(L45&gt;0,'R&amp;C-Painel de Controle'!$O60+'R&amp;C-Painel de Controle'!$P60*L45/1000000,0)</f>
        <v>0</v>
      </c>
      <c r="M100" s="293">
        <f>IF(M45&gt;0,'R&amp;C-Painel de Controle'!$O60+'R&amp;C-Painel de Controle'!$P60*M45/1000000,0)</f>
        <v>0</v>
      </c>
      <c r="N100" s="293">
        <f>IF(N45&gt;0,'R&amp;C-Painel de Controle'!$O60+'R&amp;C-Painel de Controle'!$P60*N45/1000000,0)</f>
        <v>0</v>
      </c>
      <c r="O100" s="293">
        <f>IF(O45&gt;0,'R&amp;C-Painel de Controle'!$O60+'R&amp;C-Painel de Controle'!$P60*O45/1000000,0)</f>
        <v>0</v>
      </c>
      <c r="P100" s="293">
        <f>IF(P45&gt;0,'R&amp;C-Painel de Controle'!$O60+'R&amp;C-Painel de Controle'!$P60*P45/1000000,0)</f>
        <v>0</v>
      </c>
      <c r="Q100" s="293">
        <f>IF(Q45&gt;0,'R&amp;C-Painel de Controle'!$O60+'R&amp;C-Painel de Controle'!$P60*Q45/1000000,0)</f>
        <v>0</v>
      </c>
      <c r="R100" s="280">
        <f t="shared" ref="R100:BC100" si="43">Q100</f>
        <v>0</v>
      </c>
      <c r="S100" s="280">
        <f t="shared" si="43"/>
        <v>0</v>
      </c>
      <c r="T100" s="280">
        <f t="shared" si="43"/>
        <v>0</v>
      </c>
      <c r="U100" s="280">
        <f t="shared" si="43"/>
        <v>0</v>
      </c>
      <c r="V100" s="280">
        <f t="shared" si="43"/>
        <v>0</v>
      </c>
      <c r="W100" s="280">
        <f t="shared" si="43"/>
        <v>0</v>
      </c>
      <c r="X100" s="280">
        <f t="shared" si="43"/>
        <v>0</v>
      </c>
      <c r="Y100" s="280">
        <f t="shared" si="43"/>
        <v>0</v>
      </c>
      <c r="Z100" s="280">
        <f t="shared" si="43"/>
        <v>0</v>
      </c>
      <c r="AA100" s="280">
        <f t="shared" si="43"/>
        <v>0</v>
      </c>
      <c r="AB100" s="280">
        <f t="shared" si="43"/>
        <v>0</v>
      </c>
      <c r="AC100" s="280">
        <f t="shared" si="43"/>
        <v>0</v>
      </c>
      <c r="AD100" s="280">
        <f t="shared" si="43"/>
        <v>0</v>
      </c>
      <c r="AE100" s="280">
        <f t="shared" si="43"/>
        <v>0</v>
      </c>
      <c r="AF100" s="280">
        <f t="shared" si="43"/>
        <v>0</v>
      </c>
      <c r="AG100" s="280">
        <f t="shared" si="43"/>
        <v>0</v>
      </c>
      <c r="AH100" s="280">
        <f t="shared" si="43"/>
        <v>0</v>
      </c>
      <c r="AI100" s="280">
        <f t="shared" si="43"/>
        <v>0</v>
      </c>
      <c r="AJ100" s="280">
        <f t="shared" si="43"/>
        <v>0</v>
      </c>
      <c r="AK100" s="280">
        <f t="shared" si="43"/>
        <v>0</v>
      </c>
      <c r="AL100" s="280">
        <f t="shared" si="43"/>
        <v>0</v>
      </c>
      <c r="AM100" s="280">
        <f t="shared" si="43"/>
        <v>0</v>
      </c>
      <c r="AN100" s="280">
        <f t="shared" si="43"/>
        <v>0</v>
      </c>
      <c r="AO100" s="280">
        <f t="shared" si="43"/>
        <v>0</v>
      </c>
      <c r="AP100" s="280">
        <f t="shared" si="43"/>
        <v>0</v>
      </c>
      <c r="AQ100" s="280">
        <f t="shared" si="43"/>
        <v>0</v>
      </c>
      <c r="AR100" s="280">
        <f t="shared" si="43"/>
        <v>0</v>
      </c>
      <c r="AS100" s="280">
        <f t="shared" si="43"/>
        <v>0</v>
      </c>
      <c r="AT100" s="280">
        <f t="shared" si="43"/>
        <v>0</v>
      </c>
      <c r="AU100" s="280">
        <f t="shared" si="43"/>
        <v>0</v>
      </c>
      <c r="AV100" s="280">
        <f t="shared" si="43"/>
        <v>0</v>
      </c>
      <c r="AW100" s="280">
        <f t="shared" si="43"/>
        <v>0</v>
      </c>
      <c r="AX100" s="280">
        <f t="shared" si="43"/>
        <v>0</v>
      </c>
      <c r="AY100" s="280">
        <f t="shared" si="43"/>
        <v>0</v>
      </c>
      <c r="AZ100" s="280">
        <f t="shared" si="43"/>
        <v>0</v>
      </c>
      <c r="BA100" s="280">
        <f t="shared" si="43"/>
        <v>0</v>
      </c>
      <c r="BB100" s="280">
        <f t="shared" si="43"/>
        <v>0</v>
      </c>
      <c r="BC100" s="280">
        <f t="shared" si="43"/>
        <v>0</v>
      </c>
      <c r="BD100" s="280"/>
      <c r="BE100" s="280"/>
      <c r="BF100" s="280"/>
    </row>
    <row r="101" spans="2:58" s="192" customFormat="1" ht="18" hidden="1" customHeight="1" outlineLevel="1" x14ac:dyDescent="0.25">
      <c r="B101" s="732" t="str">
        <f>B74</f>
        <v>Prod. CDR TMB — Trat. Mec./Biológ.</v>
      </c>
      <c r="C101" s="291" t="str">
        <f>C46</f>
        <v>Sim</v>
      </c>
      <c r="D101" s="291">
        <f>D46</f>
        <v>149195.9142628205</v>
      </c>
      <c r="E101" s="1274"/>
      <c r="F101" s="1274"/>
      <c r="G101" s="1274"/>
      <c r="H101" s="1274"/>
      <c r="I101" s="1274"/>
      <c r="J101" s="1274"/>
      <c r="K101" s="1274"/>
      <c r="L101" s="1274"/>
      <c r="M101" s="1274"/>
      <c r="N101" s="1274"/>
      <c r="O101" s="1274"/>
      <c r="P101" s="1274"/>
      <c r="Q101" s="740"/>
      <c r="R101" s="274"/>
      <c r="S101" s="274"/>
      <c r="T101" s="274"/>
      <c r="U101" s="274"/>
      <c r="V101" s="274"/>
      <c r="W101" s="274"/>
      <c r="X101" s="274"/>
      <c r="Y101" s="274"/>
      <c r="Z101" s="274"/>
      <c r="AA101" s="274"/>
      <c r="AB101" s="274"/>
      <c r="AC101" s="274"/>
      <c r="AD101" s="274"/>
      <c r="AE101" s="274"/>
      <c r="AF101" s="274"/>
      <c r="AG101" s="274"/>
      <c r="AH101" s="274"/>
      <c r="AI101" s="274"/>
      <c r="AJ101" s="274"/>
      <c r="AK101" s="274"/>
      <c r="AL101" s="274"/>
      <c r="AM101" s="274"/>
      <c r="AN101" s="274"/>
      <c r="AO101" s="274"/>
      <c r="AP101" s="274"/>
      <c r="AQ101" s="274"/>
      <c r="AR101" s="274"/>
      <c r="AS101" s="274"/>
      <c r="AT101" s="274"/>
      <c r="AU101" s="274"/>
      <c r="AV101" s="274"/>
      <c r="AW101" s="274"/>
      <c r="AX101" s="274"/>
      <c r="AY101" s="274"/>
      <c r="AZ101" s="274"/>
      <c r="BA101" s="274"/>
      <c r="BB101" s="274"/>
      <c r="BC101" s="274"/>
      <c r="BD101" s="274"/>
      <c r="BE101" s="274"/>
      <c r="BF101" s="274"/>
    </row>
    <row r="102" spans="2:58" s="192" customFormat="1" ht="18" hidden="1" customHeight="1" outlineLevel="1" x14ac:dyDescent="0.25">
      <c r="B102" s="260"/>
      <c r="C102" s="292"/>
      <c r="D102" s="292"/>
      <c r="E102" s="292"/>
      <c r="F102" s="292"/>
      <c r="G102" s="292"/>
      <c r="H102" s="292"/>
      <c r="I102" s="292"/>
      <c r="J102" s="292"/>
      <c r="K102" s="292"/>
      <c r="L102" s="292"/>
      <c r="M102" s="292"/>
      <c r="N102" s="292"/>
      <c r="O102" s="292"/>
      <c r="P102" s="292"/>
      <c r="Q102" s="292"/>
      <c r="R102" s="274"/>
      <c r="S102" s="274"/>
      <c r="T102" s="274"/>
      <c r="U102" s="274"/>
      <c r="V102" s="274"/>
      <c r="W102" s="274"/>
      <c r="X102" s="274"/>
      <c r="Y102" s="274"/>
      <c r="Z102" s="274"/>
      <c r="AA102" s="274"/>
      <c r="AB102" s="274"/>
      <c r="AC102" s="274"/>
      <c r="AD102" s="274"/>
      <c r="AE102" s="274"/>
      <c r="AF102" s="274"/>
      <c r="AG102" s="274"/>
      <c r="AH102" s="274"/>
      <c r="AI102" s="274"/>
      <c r="AJ102" s="274"/>
      <c r="AK102" s="274"/>
      <c r="AL102" s="274"/>
      <c r="AM102" s="274"/>
      <c r="AN102" s="274"/>
      <c r="AO102" s="274"/>
      <c r="AP102" s="274"/>
      <c r="AQ102" s="274"/>
      <c r="AR102" s="274"/>
      <c r="AS102" s="274"/>
      <c r="AT102" s="274"/>
      <c r="AU102" s="274"/>
      <c r="AV102" s="274"/>
      <c r="AW102" s="274"/>
      <c r="AX102" s="274"/>
      <c r="AY102" s="274"/>
      <c r="AZ102" s="274"/>
      <c r="BA102" s="274"/>
      <c r="BB102" s="274"/>
      <c r="BC102" s="274"/>
      <c r="BD102" s="274"/>
      <c r="BE102" s="274"/>
      <c r="BF102" s="274"/>
    </row>
    <row r="103" spans="2:58" s="192" customFormat="1" ht="18" hidden="1" customHeight="1" outlineLevel="1" x14ac:dyDescent="0.25">
      <c r="B103" s="260" t="s">
        <v>360</v>
      </c>
      <c r="C103" s="293">
        <f>IF(C48&gt;0,'R&amp;C-Painel de Controle'!$O63+'R&amp;C-Painel de Controle'!$P63*C48/1000000,0)</f>
        <v>0</v>
      </c>
      <c r="D103" s="293">
        <f>IF(D48&gt;0,'R&amp;C-Painel de Controle'!$O63+'R&amp;C-Painel de Controle'!$P63*D48/1000000,0)</f>
        <v>0</v>
      </c>
      <c r="E103" s="293">
        <f>IF(E48&gt;0,'R&amp;C-Painel de Controle'!$O63+'R&amp;C-Painel de Controle'!$P63*E48/1000000,0)</f>
        <v>0</v>
      </c>
      <c r="F103" s="293">
        <f>IF(F48&gt;0,'R&amp;C-Painel de Controle'!$O63+'R&amp;C-Painel de Controle'!$P63*F48/1000000,0)</f>
        <v>9.2846126771227766</v>
      </c>
      <c r="G103" s="293">
        <f>IF(G48&gt;0,'R&amp;C-Painel de Controle'!$O63+'R&amp;C-Painel de Controle'!$P63*G48/1000000,0)</f>
        <v>9.2846126771227766</v>
      </c>
      <c r="H103" s="293">
        <f>IF(H48&gt;0,'R&amp;C-Painel de Controle'!$O63+'R&amp;C-Painel de Controle'!$P63*H48/1000000,0)</f>
        <v>9.2846126771227766</v>
      </c>
      <c r="I103" s="293">
        <f>IF(I48&gt;0,'R&amp;C-Painel de Controle'!$O63+'R&amp;C-Painel de Controle'!$P63*I48/1000000,0)</f>
        <v>9.2846126771227766</v>
      </c>
      <c r="J103" s="293">
        <f>IF(J48&gt;0,'R&amp;C-Painel de Controle'!$O63+'R&amp;C-Painel de Controle'!$P63*J48/1000000,0)</f>
        <v>9.2846126771227766</v>
      </c>
      <c r="K103" s="293">
        <f>IF(K48&gt;0,'R&amp;C-Painel de Controle'!$O63+'R&amp;C-Painel de Controle'!$P63*K48/1000000,0)</f>
        <v>9.2846126771227766</v>
      </c>
      <c r="L103" s="293">
        <f>IF(L48&gt;0,'R&amp;C-Painel de Controle'!$O63+'R&amp;C-Painel de Controle'!$P63*L48/1000000,0)</f>
        <v>9.2846126771227766</v>
      </c>
      <c r="M103" s="293">
        <f>IF(M48&gt;0,'R&amp;C-Painel de Controle'!$O63+'R&amp;C-Painel de Controle'!$P63*M48/1000000,0)</f>
        <v>9.2846126771227766</v>
      </c>
      <c r="N103" s="293">
        <f>IF(N48&gt;0,'R&amp;C-Painel de Controle'!$O63+'R&amp;C-Painel de Controle'!$P63*N48/1000000,0)</f>
        <v>9.2846126771227766</v>
      </c>
      <c r="O103" s="293">
        <f>IF(O48&gt;0,'R&amp;C-Painel de Controle'!$O63+'R&amp;C-Painel de Controle'!$P63*O48/1000000,0)</f>
        <v>9.2846126771227766</v>
      </c>
      <c r="P103" s="293">
        <f>IF(P48&gt;0,'R&amp;C-Painel de Controle'!$O63+'R&amp;C-Painel de Controle'!$P63*P48/1000000,0)</f>
        <v>9.2846126771227766</v>
      </c>
      <c r="Q103" s="293">
        <f>IF(Q48&gt;0,'R&amp;C-Painel de Controle'!$O63+'R&amp;C-Painel de Controle'!$P63*Q48/1000000,0)</f>
        <v>9.2846126771227766</v>
      </c>
      <c r="R103" s="280">
        <f t="shared" ref="R103:BC103" si="44">Q103</f>
        <v>9.2846126771227766</v>
      </c>
      <c r="S103" s="280">
        <f t="shared" si="44"/>
        <v>9.2846126771227766</v>
      </c>
      <c r="T103" s="280">
        <f t="shared" si="44"/>
        <v>9.2846126771227766</v>
      </c>
      <c r="U103" s="280">
        <f t="shared" si="44"/>
        <v>9.2846126771227766</v>
      </c>
      <c r="V103" s="280">
        <f t="shared" si="44"/>
        <v>9.2846126771227766</v>
      </c>
      <c r="W103" s="280">
        <f t="shared" si="44"/>
        <v>9.2846126771227766</v>
      </c>
      <c r="X103" s="280">
        <f t="shared" si="44"/>
        <v>9.2846126771227766</v>
      </c>
      <c r="Y103" s="280">
        <f t="shared" si="44"/>
        <v>9.2846126771227766</v>
      </c>
      <c r="Z103" s="280">
        <f t="shared" si="44"/>
        <v>9.2846126771227766</v>
      </c>
      <c r="AA103" s="280">
        <f t="shared" si="44"/>
        <v>9.2846126771227766</v>
      </c>
      <c r="AB103" s="280">
        <f t="shared" si="44"/>
        <v>9.2846126771227766</v>
      </c>
      <c r="AC103" s="280">
        <f t="shared" si="44"/>
        <v>9.2846126771227766</v>
      </c>
      <c r="AD103" s="280">
        <f t="shared" si="44"/>
        <v>9.2846126771227766</v>
      </c>
      <c r="AE103" s="280">
        <f t="shared" si="44"/>
        <v>9.2846126771227766</v>
      </c>
      <c r="AF103" s="280">
        <f t="shared" si="44"/>
        <v>9.2846126771227766</v>
      </c>
      <c r="AG103" s="280">
        <f t="shared" si="44"/>
        <v>9.2846126771227766</v>
      </c>
      <c r="AH103" s="280">
        <f t="shared" si="44"/>
        <v>9.2846126771227766</v>
      </c>
      <c r="AI103" s="280">
        <f t="shared" si="44"/>
        <v>9.2846126771227766</v>
      </c>
      <c r="AJ103" s="280">
        <f t="shared" si="44"/>
        <v>9.2846126771227766</v>
      </c>
      <c r="AK103" s="280">
        <f t="shared" si="44"/>
        <v>9.2846126771227766</v>
      </c>
      <c r="AL103" s="280">
        <f t="shared" si="44"/>
        <v>9.2846126771227766</v>
      </c>
      <c r="AM103" s="280">
        <f t="shared" si="44"/>
        <v>9.2846126771227766</v>
      </c>
      <c r="AN103" s="280">
        <f t="shared" si="44"/>
        <v>9.2846126771227766</v>
      </c>
      <c r="AO103" s="280">
        <f t="shared" si="44"/>
        <v>9.2846126771227766</v>
      </c>
      <c r="AP103" s="280">
        <f t="shared" si="44"/>
        <v>9.2846126771227766</v>
      </c>
      <c r="AQ103" s="280">
        <f t="shared" si="44"/>
        <v>9.2846126771227766</v>
      </c>
      <c r="AR103" s="280">
        <f t="shared" si="44"/>
        <v>9.2846126771227766</v>
      </c>
      <c r="AS103" s="280">
        <f t="shared" si="44"/>
        <v>9.2846126771227766</v>
      </c>
      <c r="AT103" s="280">
        <f t="shared" si="44"/>
        <v>9.2846126771227766</v>
      </c>
      <c r="AU103" s="280">
        <f t="shared" si="44"/>
        <v>9.2846126771227766</v>
      </c>
      <c r="AV103" s="280">
        <f t="shared" si="44"/>
        <v>9.2846126771227766</v>
      </c>
      <c r="AW103" s="280">
        <f t="shared" si="44"/>
        <v>9.2846126771227766</v>
      </c>
      <c r="AX103" s="280">
        <f t="shared" si="44"/>
        <v>9.2846126771227766</v>
      </c>
      <c r="AY103" s="280">
        <f t="shared" si="44"/>
        <v>9.2846126771227766</v>
      </c>
      <c r="AZ103" s="280">
        <f t="shared" si="44"/>
        <v>9.2846126771227766</v>
      </c>
      <c r="BA103" s="280">
        <f t="shared" si="44"/>
        <v>9.2846126771227766</v>
      </c>
      <c r="BB103" s="280">
        <f t="shared" si="44"/>
        <v>9.2846126771227766</v>
      </c>
      <c r="BC103" s="280">
        <f t="shared" si="44"/>
        <v>9.2846126771227766</v>
      </c>
      <c r="BD103" s="280"/>
      <c r="BE103" s="280"/>
      <c r="BF103" s="280"/>
    </row>
    <row r="104" spans="2:58" s="192" customFormat="1" ht="18" hidden="1" customHeight="1" outlineLevel="1" x14ac:dyDescent="0.25">
      <c r="B104" s="732" t="str">
        <f>B77</f>
        <v>Biodigestão Anaeróbia</v>
      </c>
      <c r="C104" s="291" t="str">
        <f>C49</f>
        <v>Não'</v>
      </c>
      <c r="D104" s="291">
        <f>D49</f>
        <v>0</v>
      </c>
      <c r="E104" s="1274"/>
      <c r="Q104" s="740"/>
      <c r="R104" s="274"/>
      <c r="S104" s="274"/>
      <c r="T104" s="274"/>
      <c r="U104" s="274"/>
      <c r="V104" s="274"/>
      <c r="W104" s="274"/>
      <c r="X104" s="274"/>
      <c r="Y104" s="274"/>
      <c r="Z104" s="274"/>
      <c r="AA104" s="274"/>
      <c r="AB104" s="274"/>
      <c r="AC104" s="274"/>
      <c r="AD104" s="274"/>
      <c r="AE104" s="274"/>
      <c r="AF104" s="274"/>
      <c r="AG104" s="274"/>
      <c r="AH104" s="274"/>
      <c r="AI104" s="274"/>
      <c r="AJ104" s="274"/>
      <c r="AK104" s="274"/>
      <c r="AL104" s="274"/>
      <c r="AM104" s="274"/>
      <c r="AN104" s="274"/>
      <c r="AO104" s="274"/>
      <c r="AP104" s="274"/>
      <c r="AQ104" s="274"/>
      <c r="AR104" s="274"/>
      <c r="AS104" s="274"/>
      <c r="AT104" s="274"/>
      <c r="AU104" s="274"/>
      <c r="AV104" s="274"/>
      <c r="AW104" s="274"/>
      <c r="AX104" s="274"/>
      <c r="AY104" s="274"/>
      <c r="AZ104" s="274"/>
      <c r="BA104" s="274"/>
      <c r="BB104" s="274"/>
      <c r="BC104" s="274"/>
      <c r="BD104" s="274"/>
      <c r="BE104" s="274"/>
      <c r="BF104" s="274"/>
    </row>
    <row r="105" spans="2:58" s="192" customFormat="1" ht="18" hidden="1" customHeight="1" outlineLevel="1" x14ac:dyDescent="0.25">
      <c r="B105" s="260"/>
      <c r="C105" s="292"/>
      <c r="D105" s="292"/>
      <c r="E105" s="292"/>
      <c r="F105" s="292"/>
      <c r="G105" s="292"/>
      <c r="H105" s="292"/>
      <c r="I105" s="292"/>
      <c r="J105" s="292"/>
      <c r="K105" s="292"/>
      <c r="L105" s="292"/>
      <c r="M105" s="292"/>
      <c r="N105" s="292"/>
      <c r="O105" s="292"/>
      <c r="P105" s="292"/>
      <c r="Q105" s="292"/>
      <c r="R105" s="274"/>
      <c r="S105" s="274"/>
      <c r="T105" s="274"/>
      <c r="U105" s="274"/>
      <c r="V105" s="274"/>
      <c r="W105" s="274"/>
      <c r="X105" s="274"/>
      <c r="Y105" s="274"/>
      <c r="Z105" s="274"/>
      <c r="AA105" s="274"/>
      <c r="AB105" s="274"/>
      <c r="AC105" s="274"/>
      <c r="AD105" s="274"/>
      <c r="AE105" s="274"/>
      <c r="AF105" s="274"/>
      <c r="AG105" s="274"/>
      <c r="AH105" s="274"/>
      <c r="AI105" s="274"/>
      <c r="AJ105" s="274"/>
      <c r="AK105" s="274"/>
      <c r="AL105" s="274"/>
      <c r="AM105" s="274"/>
      <c r="AN105" s="274"/>
      <c r="AO105" s="274"/>
      <c r="AP105" s="274"/>
      <c r="AQ105" s="274"/>
      <c r="AR105" s="274"/>
      <c r="AS105" s="274"/>
      <c r="AT105" s="274"/>
      <c r="AU105" s="274"/>
      <c r="AV105" s="274"/>
      <c r="AW105" s="274"/>
      <c r="AX105" s="274"/>
      <c r="AY105" s="274"/>
      <c r="AZ105" s="274"/>
      <c r="BA105" s="274"/>
      <c r="BB105" s="274"/>
      <c r="BC105" s="274"/>
      <c r="BD105" s="274"/>
      <c r="BE105" s="274"/>
      <c r="BF105" s="274"/>
    </row>
    <row r="106" spans="2:58" s="192" customFormat="1" ht="18" hidden="1" customHeight="1" outlineLevel="1" x14ac:dyDescent="0.25">
      <c r="B106" s="260" t="s">
        <v>360</v>
      </c>
      <c r="C106" s="293">
        <f>IF(C51&gt;0,'R&amp;C-Painel de Controle'!$O66+'R&amp;C-Painel de Controle'!$P66*C51/1000000,0)</f>
        <v>0</v>
      </c>
      <c r="D106" s="293">
        <f>IF(D51&gt;0,'R&amp;C-Painel de Controle'!$O66+'R&amp;C-Painel de Controle'!$P66*D51/1000000,0)</f>
        <v>0</v>
      </c>
      <c r="E106" s="293">
        <f>IF(E51&gt;0,'R&amp;C-Painel de Controle'!$O66+'R&amp;C-Painel de Controle'!$P66*E51/1000000,0)</f>
        <v>0</v>
      </c>
      <c r="F106" s="293">
        <f>IF(F51&gt;0,'R&amp;C-Painel de Controle'!$O66+'R&amp;C-Painel de Controle'!$P66*F51/1000000,0)</f>
        <v>0</v>
      </c>
      <c r="G106" s="293">
        <f>IF(G51&gt;0,'R&amp;C-Painel de Controle'!$O66+'R&amp;C-Painel de Controle'!$P66*G51/1000000,0)</f>
        <v>0</v>
      </c>
      <c r="H106" s="293">
        <f>IF(H51&gt;0,'R&amp;C-Painel de Controle'!$O66+'R&amp;C-Painel de Controle'!$P66*H51/1000000,0)</f>
        <v>0</v>
      </c>
      <c r="I106" s="293">
        <f>IF(I51&gt;0,'R&amp;C-Painel de Controle'!$O66+'R&amp;C-Painel de Controle'!$P66*I51/1000000,0)</f>
        <v>0</v>
      </c>
      <c r="J106" s="293">
        <f>IF(J51&gt;0,'R&amp;C-Painel de Controle'!$O66+'R&amp;C-Painel de Controle'!$P66*J51/1000000,0)</f>
        <v>0</v>
      </c>
      <c r="K106" s="293">
        <f>IF(K51&gt;0,'R&amp;C-Painel de Controle'!$O66+'R&amp;C-Painel de Controle'!$P66*K51/1000000,0)</f>
        <v>0</v>
      </c>
      <c r="L106" s="293">
        <f>IF(L51&gt;0,'R&amp;C-Painel de Controle'!$O66+'R&amp;C-Painel de Controle'!$P66*L51/1000000,0)</f>
        <v>0</v>
      </c>
      <c r="M106" s="293">
        <f>IF(M51&gt;0,'R&amp;C-Painel de Controle'!$O66+'R&amp;C-Painel de Controle'!$P66*M51/1000000,0)</f>
        <v>0</v>
      </c>
      <c r="N106" s="293">
        <f>IF(N51&gt;0,'R&amp;C-Painel de Controle'!$O66+'R&amp;C-Painel de Controle'!$P66*N51/1000000,0)</f>
        <v>0</v>
      </c>
      <c r="O106" s="293">
        <f>IF(O51&gt;0,'R&amp;C-Painel de Controle'!$O66+'R&amp;C-Painel de Controle'!$P66*O51/1000000,0)</f>
        <v>0</v>
      </c>
      <c r="P106" s="293">
        <f>IF(P51&gt;0,'R&amp;C-Painel de Controle'!$O66+'R&amp;C-Painel de Controle'!$P66*P51/1000000,0)</f>
        <v>0</v>
      </c>
      <c r="Q106" s="293">
        <f>IF(Q51&gt;0,'R&amp;C-Painel de Controle'!$O66+'R&amp;C-Painel de Controle'!$P66*Q51/1000000,0)</f>
        <v>0</v>
      </c>
      <c r="R106" s="280">
        <f t="shared" ref="R106:BC106" si="45">Q106</f>
        <v>0</v>
      </c>
      <c r="S106" s="280">
        <f t="shared" si="45"/>
        <v>0</v>
      </c>
      <c r="T106" s="280">
        <f t="shared" si="45"/>
        <v>0</v>
      </c>
      <c r="U106" s="280">
        <f t="shared" si="45"/>
        <v>0</v>
      </c>
      <c r="V106" s="280">
        <f t="shared" si="45"/>
        <v>0</v>
      </c>
      <c r="W106" s="280">
        <f t="shared" si="45"/>
        <v>0</v>
      </c>
      <c r="X106" s="280">
        <f t="shared" si="45"/>
        <v>0</v>
      </c>
      <c r="Y106" s="280">
        <f t="shared" si="45"/>
        <v>0</v>
      </c>
      <c r="Z106" s="280">
        <f t="shared" si="45"/>
        <v>0</v>
      </c>
      <c r="AA106" s="280">
        <f t="shared" si="45"/>
        <v>0</v>
      </c>
      <c r="AB106" s="280">
        <f t="shared" si="45"/>
        <v>0</v>
      </c>
      <c r="AC106" s="280">
        <f t="shared" si="45"/>
        <v>0</v>
      </c>
      <c r="AD106" s="280">
        <f t="shared" si="45"/>
        <v>0</v>
      </c>
      <c r="AE106" s="280">
        <f t="shared" si="45"/>
        <v>0</v>
      </c>
      <c r="AF106" s="280">
        <f t="shared" si="45"/>
        <v>0</v>
      </c>
      <c r="AG106" s="280">
        <f t="shared" si="45"/>
        <v>0</v>
      </c>
      <c r="AH106" s="280">
        <f t="shared" si="45"/>
        <v>0</v>
      </c>
      <c r="AI106" s="280">
        <f t="shared" si="45"/>
        <v>0</v>
      </c>
      <c r="AJ106" s="280">
        <f t="shared" si="45"/>
        <v>0</v>
      </c>
      <c r="AK106" s="280">
        <f t="shared" si="45"/>
        <v>0</v>
      </c>
      <c r="AL106" s="280">
        <f t="shared" si="45"/>
        <v>0</v>
      </c>
      <c r="AM106" s="280">
        <f t="shared" si="45"/>
        <v>0</v>
      </c>
      <c r="AN106" s="280">
        <f t="shared" si="45"/>
        <v>0</v>
      </c>
      <c r="AO106" s="280">
        <f t="shared" si="45"/>
        <v>0</v>
      </c>
      <c r="AP106" s="280">
        <f t="shared" si="45"/>
        <v>0</v>
      </c>
      <c r="AQ106" s="280">
        <f t="shared" si="45"/>
        <v>0</v>
      </c>
      <c r="AR106" s="280">
        <f t="shared" si="45"/>
        <v>0</v>
      </c>
      <c r="AS106" s="280">
        <f t="shared" si="45"/>
        <v>0</v>
      </c>
      <c r="AT106" s="280">
        <f t="shared" si="45"/>
        <v>0</v>
      </c>
      <c r="AU106" s="280">
        <f t="shared" si="45"/>
        <v>0</v>
      </c>
      <c r="AV106" s="280">
        <f t="shared" si="45"/>
        <v>0</v>
      </c>
      <c r="AW106" s="280">
        <f t="shared" si="45"/>
        <v>0</v>
      </c>
      <c r="AX106" s="280">
        <f t="shared" si="45"/>
        <v>0</v>
      </c>
      <c r="AY106" s="280">
        <f t="shared" si="45"/>
        <v>0</v>
      </c>
      <c r="AZ106" s="280">
        <f t="shared" si="45"/>
        <v>0</v>
      </c>
      <c r="BA106" s="280">
        <f t="shared" si="45"/>
        <v>0</v>
      </c>
      <c r="BB106" s="280">
        <f t="shared" si="45"/>
        <v>0</v>
      </c>
      <c r="BC106" s="280">
        <f t="shared" si="45"/>
        <v>0</v>
      </c>
      <c r="BD106" s="280"/>
      <c r="BE106" s="280"/>
      <c r="BF106" s="280"/>
    </row>
    <row r="107" spans="2:58" s="192" customFormat="1" ht="18" hidden="1" customHeight="1" outlineLevel="1" x14ac:dyDescent="0.25">
      <c r="B107" s="732" t="str">
        <f>B80</f>
        <v>Compostagem</v>
      </c>
      <c r="C107" s="291" t="str">
        <f>C52</f>
        <v>Não</v>
      </c>
      <c r="D107" s="291">
        <f>D52</f>
        <v>0</v>
      </c>
      <c r="E107" s="1274"/>
      <c r="F107" s="1274"/>
      <c r="G107" s="1274"/>
      <c r="H107" s="1274"/>
      <c r="I107" s="1274"/>
      <c r="J107" s="1274"/>
      <c r="K107" s="1274"/>
      <c r="L107" s="1274"/>
      <c r="M107" s="1274"/>
      <c r="N107" s="1274"/>
      <c r="O107" s="1274"/>
      <c r="P107" s="1274"/>
      <c r="Q107" s="740"/>
      <c r="R107" s="274"/>
      <c r="S107" s="274"/>
      <c r="T107" s="274"/>
      <c r="U107" s="274"/>
      <c r="V107" s="274"/>
      <c r="W107" s="274"/>
      <c r="X107" s="274"/>
      <c r="Y107" s="274"/>
      <c r="Z107" s="274"/>
      <c r="AA107" s="274"/>
      <c r="AB107" s="274"/>
      <c r="AC107" s="274"/>
      <c r="AD107" s="274"/>
      <c r="AE107" s="274"/>
      <c r="AF107" s="274"/>
      <c r="AG107" s="274"/>
      <c r="AH107" s="274"/>
      <c r="AI107" s="274"/>
      <c r="AJ107" s="274"/>
      <c r="AK107" s="274"/>
      <c r="AL107" s="274"/>
      <c r="AM107" s="274"/>
      <c r="AN107" s="274"/>
      <c r="AO107" s="274"/>
      <c r="AP107" s="274"/>
      <c r="AQ107" s="274"/>
      <c r="AR107" s="274"/>
      <c r="AS107" s="274"/>
      <c r="AT107" s="274"/>
      <c r="AU107" s="274"/>
      <c r="AV107" s="274"/>
      <c r="AW107" s="274"/>
      <c r="AX107" s="274"/>
      <c r="AY107" s="274"/>
      <c r="AZ107" s="274"/>
      <c r="BA107" s="274"/>
      <c r="BB107" s="274"/>
      <c r="BC107" s="274"/>
      <c r="BD107" s="274"/>
      <c r="BE107" s="274"/>
      <c r="BF107" s="274"/>
    </row>
    <row r="108" spans="2:58" s="192" customFormat="1" ht="18" hidden="1" customHeight="1" outlineLevel="1" x14ac:dyDescent="0.25">
      <c r="B108" s="260"/>
      <c r="C108" s="292"/>
      <c r="D108" s="292"/>
      <c r="E108" s="292"/>
      <c r="F108" s="292"/>
      <c r="G108" s="292"/>
      <c r="H108" s="292"/>
      <c r="I108" s="292"/>
      <c r="J108" s="292"/>
      <c r="K108" s="292"/>
      <c r="L108" s="292"/>
      <c r="M108" s="292"/>
      <c r="N108" s="292"/>
      <c r="O108" s="292"/>
      <c r="P108" s="292"/>
      <c r="Q108" s="292"/>
      <c r="R108" s="274"/>
      <c r="S108" s="274"/>
      <c r="T108" s="274"/>
      <c r="U108" s="274"/>
      <c r="V108" s="274"/>
      <c r="W108" s="274"/>
      <c r="X108" s="274"/>
      <c r="Y108" s="274"/>
      <c r="Z108" s="274"/>
      <c r="AA108" s="274"/>
      <c r="AB108" s="274"/>
      <c r="AC108" s="274"/>
      <c r="AD108" s="274"/>
      <c r="AE108" s="274"/>
      <c r="AF108" s="274"/>
      <c r="AG108" s="274"/>
      <c r="AH108" s="274"/>
      <c r="AI108" s="274"/>
      <c r="AJ108" s="274"/>
      <c r="AK108" s="274"/>
      <c r="AL108" s="274"/>
      <c r="AM108" s="274"/>
      <c r="AN108" s="274"/>
      <c r="AO108" s="274"/>
      <c r="AP108" s="274"/>
      <c r="AQ108" s="274"/>
      <c r="AR108" s="274"/>
      <c r="AS108" s="274"/>
      <c r="AT108" s="274"/>
      <c r="AU108" s="274"/>
      <c r="AV108" s="274"/>
      <c r="AW108" s="274"/>
      <c r="AX108" s="274"/>
      <c r="AY108" s="274"/>
      <c r="AZ108" s="274"/>
      <c r="BA108" s="274"/>
      <c r="BB108" s="274"/>
      <c r="BC108" s="274"/>
      <c r="BD108" s="274"/>
      <c r="BE108" s="274"/>
      <c r="BF108" s="274"/>
    </row>
    <row r="109" spans="2:58" s="192" customFormat="1" ht="18" hidden="1" customHeight="1" outlineLevel="1" x14ac:dyDescent="0.25">
      <c r="B109" s="260" t="s">
        <v>360</v>
      </c>
      <c r="C109" s="293">
        <f>IF(C54&gt;0,'R&amp;C-Painel de Controle'!$O69+'R&amp;C-Painel de Controle'!$P69*C54/1000000,0)</f>
        <v>0</v>
      </c>
      <c r="D109" s="293">
        <f>IF(D54&gt;0,'R&amp;C-Painel de Controle'!$O69+'R&amp;C-Painel de Controle'!$P69*D54/1000000,0)</f>
        <v>0</v>
      </c>
      <c r="E109" s="293">
        <f>IF(E54&gt;0,'R&amp;C-Painel de Controle'!$O69+'R&amp;C-Painel de Controle'!$P69*E54/1000000,0)</f>
        <v>0</v>
      </c>
      <c r="F109" s="293">
        <f>IF(F54&gt;0,'R&amp;C-Painel de Controle'!$O69+'R&amp;C-Painel de Controle'!$P69*F54/1000000,0)</f>
        <v>0</v>
      </c>
      <c r="G109" s="293">
        <f>IF(G54&gt;0,'R&amp;C-Painel de Controle'!$O69+'R&amp;C-Painel de Controle'!$P69*G54/1000000,0)</f>
        <v>0</v>
      </c>
      <c r="H109" s="293">
        <f>IF(H54&gt;0,'R&amp;C-Painel de Controle'!$O69+'R&amp;C-Painel de Controle'!$P69*H54/1000000,0)</f>
        <v>0</v>
      </c>
      <c r="I109" s="293">
        <f>IF(I54&gt;0,'R&amp;C-Painel de Controle'!$O69+'R&amp;C-Painel de Controle'!$P69*I54/1000000,0)</f>
        <v>0</v>
      </c>
      <c r="J109" s="293">
        <f>IF(J54&gt;0,'R&amp;C-Painel de Controle'!$O69+'R&amp;C-Painel de Controle'!$P69*J54/1000000,0)</f>
        <v>0</v>
      </c>
      <c r="K109" s="293">
        <f>IF(K54&gt;0,'R&amp;C-Painel de Controle'!$O69+'R&amp;C-Painel de Controle'!$P69*K54/1000000,0)</f>
        <v>0</v>
      </c>
      <c r="L109" s="293">
        <f>IF(L54&gt;0,'R&amp;C-Painel de Controle'!$O69+'R&amp;C-Painel de Controle'!$P69*L54/1000000,0)</f>
        <v>0</v>
      </c>
      <c r="M109" s="293">
        <f>IF(M54&gt;0,'R&amp;C-Painel de Controle'!$O69+'R&amp;C-Painel de Controle'!$P69*M54/1000000,0)</f>
        <v>0</v>
      </c>
      <c r="N109" s="293">
        <f>IF(N54&gt;0,'R&amp;C-Painel de Controle'!$O69+'R&amp;C-Painel de Controle'!$P69*N54/1000000,0)</f>
        <v>0</v>
      </c>
      <c r="O109" s="293">
        <f>IF(O54&gt;0,'R&amp;C-Painel de Controle'!$O69+'R&amp;C-Painel de Controle'!$P69*O54/1000000,0)</f>
        <v>0</v>
      </c>
      <c r="P109" s="293">
        <f>IF(P54&gt;0,'R&amp;C-Painel de Controle'!$O69+'R&amp;C-Painel de Controle'!$P69*P54/1000000,0)</f>
        <v>0</v>
      </c>
      <c r="Q109" s="293">
        <f>IF(Q54&gt;0,'R&amp;C-Painel de Controle'!$O69+'R&amp;C-Painel de Controle'!$P69*Q54/1000000,0)</f>
        <v>0</v>
      </c>
      <c r="R109" s="280">
        <f t="shared" ref="R109:BC109" si="46">Q109</f>
        <v>0</v>
      </c>
      <c r="S109" s="280">
        <f t="shared" si="46"/>
        <v>0</v>
      </c>
      <c r="T109" s="280">
        <f t="shared" si="46"/>
        <v>0</v>
      </c>
      <c r="U109" s="280">
        <f t="shared" si="46"/>
        <v>0</v>
      </c>
      <c r="V109" s="280">
        <f t="shared" si="46"/>
        <v>0</v>
      </c>
      <c r="W109" s="280">
        <f t="shared" si="46"/>
        <v>0</v>
      </c>
      <c r="X109" s="280">
        <f t="shared" si="46"/>
        <v>0</v>
      </c>
      <c r="Y109" s="280">
        <f t="shared" si="46"/>
        <v>0</v>
      </c>
      <c r="Z109" s="280">
        <f t="shared" si="46"/>
        <v>0</v>
      </c>
      <c r="AA109" s="280">
        <f t="shared" si="46"/>
        <v>0</v>
      </c>
      <c r="AB109" s="280">
        <f t="shared" si="46"/>
        <v>0</v>
      </c>
      <c r="AC109" s="280">
        <f t="shared" si="46"/>
        <v>0</v>
      </c>
      <c r="AD109" s="280">
        <f t="shared" si="46"/>
        <v>0</v>
      </c>
      <c r="AE109" s="280">
        <f t="shared" si="46"/>
        <v>0</v>
      </c>
      <c r="AF109" s="280">
        <f t="shared" si="46"/>
        <v>0</v>
      </c>
      <c r="AG109" s="280">
        <f t="shared" si="46"/>
        <v>0</v>
      </c>
      <c r="AH109" s="280">
        <f t="shared" si="46"/>
        <v>0</v>
      </c>
      <c r="AI109" s="280">
        <f t="shared" si="46"/>
        <v>0</v>
      </c>
      <c r="AJ109" s="280">
        <f t="shared" si="46"/>
        <v>0</v>
      </c>
      <c r="AK109" s="280">
        <f t="shared" si="46"/>
        <v>0</v>
      </c>
      <c r="AL109" s="280">
        <f t="shared" si="46"/>
        <v>0</v>
      </c>
      <c r="AM109" s="280">
        <f t="shared" si="46"/>
        <v>0</v>
      </c>
      <c r="AN109" s="280">
        <f t="shared" si="46"/>
        <v>0</v>
      </c>
      <c r="AO109" s="280">
        <f t="shared" si="46"/>
        <v>0</v>
      </c>
      <c r="AP109" s="280">
        <f t="shared" si="46"/>
        <v>0</v>
      </c>
      <c r="AQ109" s="280">
        <f t="shared" si="46"/>
        <v>0</v>
      </c>
      <c r="AR109" s="280">
        <f t="shared" si="46"/>
        <v>0</v>
      </c>
      <c r="AS109" s="280">
        <f t="shared" si="46"/>
        <v>0</v>
      </c>
      <c r="AT109" s="280">
        <f t="shared" si="46"/>
        <v>0</v>
      </c>
      <c r="AU109" s="280">
        <f t="shared" si="46"/>
        <v>0</v>
      </c>
      <c r="AV109" s="280">
        <f t="shared" si="46"/>
        <v>0</v>
      </c>
      <c r="AW109" s="280">
        <f t="shared" si="46"/>
        <v>0</v>
      </c>
      <c r="AX109" s="280">
        <f t="shared" si="46"/>
        <v>0</v>
      </c>
      <c r="AY109" s="280">
        <f t="shared" si="46"/>
        <v>0</v>
      </c>
      <c r="AZ109" s="280">
        <f t="shared" si="46"/>
        <v>0</v>
      </c>
      <c r="BA109" s="280">
        <f t="shared" si="46"/>
        <v>0</v>
      </c>
      <c r="BB109" s="280">
        <f t="shared" si="46"/>
        <v>0</v>
      </c>
      <c r="BC109" s="280">
        <f t="shared" si="46"/>
        <v>0</v>
      </c>
      <c r="BD109" s="280"/>
      <c r="BE109" s="280"/>
      <c r="BF109" s="280"/>
    </row>
    <row r="110" spans="2:58" s="192" customFormat="1" ht="18" hidden="1" customHeight="1" outlineLevel="1" x14ac:dyDescent="0.25">
      <c r="B110" s="732" t="str">
        <f>B83</f>
        <v>Incineração</v>
      </c>
      <c r="C110" s="291" t="str">
        <f>C55</f>
        <v>Não</v>
      </c>
      <c r="D110" s="291">
        <f>D55</f>
        <v>0</v>
      </c>
      <c r="E110" s="1274"/>
      <c r="Q110" s="740"/>
      <c r="R110" s="274"/>
      <c r="S110" s="274"/>
      <c r="T110" s="274"/>
      <c r="U110" s="274"/>
      <c r="V110" s="274"/>
      <c r="W110" s="274"/>
      <c r="X110" s="274"/>
      <c r="Y110" s="274"/>
      <c r="Z110" s="274"/>
      <c r="AA110" s="274"/>
      <c r="AB110" s="274"/>
      <c r="AC110" s="274"/>
      <c r="AD110" s="274"/>
      <c r="AE110" s="274"/>
      <c r="AF110" s="274"/>
      <c r="AG110" s="274"/>
      <c r="AH110" s="274"/>
      <c r="AI110" s="274"/>
      <c r="AJ110" s="274"/>
      <c r="AK110" s="274"/>
      <c r="AL110" s="274"/>
      <c r="AM110" s="274"/>
      <c r="AN110" s="274"/>
      <c r="AO110" s="274"/>
      <c r="AP110" s="274"/>
      <c r="AQ110" s="274"/>
      <c r="AR110" s="274"/>
      <c r="AS110" s="274"/>
      <c r="AT110" s="274"/>
      <c r="AU110" s="274"/>
      <c r="AV110" s="274"/>
      <c r="AW110" s="274"/>
      <c r="AX110" s="274"/>
      <c r="AY110" s="274"/>
      <c r="AZ110" s="274"/>
      <c r="BA110" s="274"/>
      <c r="BB110" s="274"/>
      <c r="BC110" s="274"/>
      <c r="BD110" s="274"/>
      <c r="BE110" s="274"/>
      <c r="BF110" s="274"/>
    </row>
    <row r="111" spans="2:58" s="192" customFormat="1" ht="18" hidden="1" customHeight="1" outlineLevel="1" x14ac:dyDescent="0.25">
      <c r="B111" s="260"/>
      <c r="C111" s="292"/>
      <c r="D111" s="292"/>
      <c r="E111" s="292"/>
      <c r="F111" s="292"/>
      <c r="G111" s="292"/>
      <c r="H111" s="292"/>
      <c r="I111" s="292"/>
      <c r="J111" s="292"/>
      <c r="K111" s="292"/>
      <c r="L111" s="292"/>
      <c r="M111" s="292"/>
      <c r="N111" s="292"/>
      <c r="O111" s="292"/>
      <c r="P111" s="292"/>
      <c r="Q111" s="292"/>
      <c r="R111" s="274"/>
      <c r="S111" s="274"/>
      <c r="T111" s="274"/>
      <c r="U111" s="274"/>
      <c r="V111" s="274"/>
      <c r="W111" s="274"/>
      <c r="X111" s="274"/>
      <c r="Y111" s="274"/>
      <c r="Z111" s="274"/>
      <c r="AA111" s="274"/>
      <c r="AB111" s="274"/>
      <c r="AC111" s="274"/>
      <c r="AD111" s="274"/>
      <c r="AE111" s="274"/>
      <c r="AF111" s="274"/>
      <c r="AG111" s="274"/>
      <c r="AH111" s="274"/>
      <c r="AI111" s="274"/>
      <c r="AJ111" s="274"/>
      <c r="AK111" s="274"/>
      <c r="AL111" s="274"/>
      <c r="AM111" s="274"/>
      <c r="AN111" s="274"/>
      <c r="AO111" s="274"/>
      <c r="AP111" s="274"/>
      <c r="AQ111" s="274"/>
      <c r="AR111" s="274"/>
      <c r="AS111" s="274"/>
      <c r="AT111" s="274"/>
      <c r="AU111" s="274"/>
      <c r="AV111" s="274"/>
      <c r="AW111" s="274"/>
      <c r="AX111" s="274"/>
      <c r="AY111" s="274"/>
      <c r="AZ111" s="274"/>
      <c r="BA111" s="274"/>
      <c r="BB111" s="274"/>
      <c r="BC111" s="274"/>
      <c r="BD111" s="274"/>
      <c r="BE111" s="274"/>
      <c r="BF111" s="274"/>
    </row>
    <row r="112" spans="2:58" s="192" customFormat="1" ht="18" hidden="1" customHeight="1" outlineLevel="1" x14ac:dyDescent="0.25">
      <c r="B112" s="260" t="s">
        <v>360</v>
      </c>
      <c r="C112" s="293">
        <f>IF(C57&gt;0,'R&amp;C-Painel de Controle'!$O72+'R&amp;C-Painel de Controle'!$P72*C57/1000000,0)</f>
        <v>0</v>
      </c>
      <c r="D112" s="293">
        <f>IF(D57&gt;0,'R&amp;C-Painel de Controle'!$O72+'R&amp;C-Painel de Controle'!$P72*D57/1000000,0)</f>
        <v>0</v>
      </c>
      <c r="E112" s="293">
        <f>IF(E57&gt;0,'R&amp;C-Painel de Controle'!$O72+'R&amp;C-Painel de Controle'!$P72*E57/1000000,0)</f>
        <v>0</v>
      </c>
      <c r="F112" s="293">
        <f>IF(F57&gt;0,'R&amp;C-Painel de Controle'!$O72+'R&amp;C-Painel de Controle'!$P72*F57/1000000,0)</f>
        <v>0</v>
      </c>
      <c r="G112" s="293">
        <f>IF(G57&gt;0,'R&amp;C-Painel de Controle'!$O72+'R&amp;C-Painel de Controle'!$P72*G57/1000000,0)</f>
        <v>0</v>
      </c>
      <c r="H112" s="293">
        <f>IF(H57&gt;0,'R&amp;C-Painel de Controle'!$O72+'R&amp;C-Painel de Controle'!$P72*H57/1000000,0)</f>
        <v>0</v>
      </c>
      <c r="I112" s="293">
        <f>IF(I57&gt;0,'R&amp;C-Painel de Controle'!$O72+'R&amp;C-Painel de Controle'!$P72*I57/1000000,0)</f>
        <v>0</v>
      </c>
      <c r="J112" s="293">
        <f>IF(J57&gt;0,'R&amp;C-Painel de Controle'!$O72+'R&amp;C-Painel de Controle'!$P72*J57/1000000,0)</f>
        <v>0</v>
      </c>
      <c r="K112" s="293">
        <f>IF(K57&gt;0,'R&amp;C-Painel de Controle'!$O72+'R&amp;C-Painel de Controle'!$P72*K57/1000000,0)</f>
        <v>0</v>
      </c>
      <c r="L112" s="293">
        <f>IF(L57&gt;0,'R&amp;C-Painel de Controle'!$O72+'R&amp;C-Painel de Controle'!$P72*L57/1000000,0)</f>
        <v>0</v>
      </c>
      <c r="M112" s="293">
        <f>IF(M57&gt;0,'R&amp;C-Painel de Controle'!$O72+'R&amp;C-Painel de Controle'!$P72*M57/1000000,0)</f>
        <v>0</v>
      </c>
      <c r="N112" s="293">
        <f>IF(N57&gt;0,'R&amp;C-Painel de Controle'!$O72+'R&amp;C-Painel de Controle'!$P72*N57/1000000,0)</f>
        <v>0</v>
      </c>
      <c r="O112" s="293">
        <f>IF(O57&gt;0,'R&amp;C-Painel de Controle'!$O72+'R&amp;C-Painel de Controle'!$P72*O57/1000000,0)</f>
        <v>0</v>
      </c>
      <c r="P112" s="293">
        <f>IF(P57&gt;0,'R&amp;C-Painel de Controle'!$O72+'R&amp;C-Painel de Controle'!$P72*P57/1000000,0)</f>
        <v>0</v>
      </c>
      <c r="Q112" s="293">
        <f>IF(Q57&gt;0,'R&amp;C-Painel de Controle'!$O72+'R&amp;C-Painel de Controle'!$P72*Q57/1000000,0)</f>
        <v>0</v>
      </c>
      <c r="R112" s="280">
        <f t="shared" ref="R112:BC112" si="47">Q112</f>
        <v>0</v>
      </c>
      <c r="S112" s="280">
        <f t="shared" si="47"/>
        <v>0</v>
      </c>
      <c r="T112" s="280">
        <f t="shared" si="47"/>
        <v>0</v>
      </c>
      <c r="U112" s="280">
        <f t="shared" si="47"/>
        <v>0</v>
      </c>
      <c r="V112" s="280">
        <f t="shared" si="47"/>
        <v>0</v>
      </c>
      <c r="W112" s="280">
        <f t="shared" si="47"/>
        <v>0</v>
      </c>
      <c r="X112" s="280">
        <f t="shared" si="47"/>
        <v>0</v>
      </c>
      <c r="Y112" s="280">
        <f t="shared" si="47"/>
        <v>0</v>
      </c>
      <c r="Z112" s="280">
        <f t="shared" si="47"/>
        <v>0</v>
      </c>
      <c r="AA112" s="280">
        <f t="shared" si="47"/>
        <v>0</v>
      </c>
      <c r="AB112" s="280">
        <f t="shared" si="47"/>
        <v>0</v>
      </c>
      <c r="AC112" s="280">
        <f t="shared" si="47"/>
        <v>0</v>
      </c>
      <c r="AD112" s="280">
        <f t="shared" si="47"/>
        <v>0</v>
      </c>
      <c r="AE112" s="280">
        <f t="shared" si="47"/>
        <v>0</v>
      </c>
      <c r="AF112" s="280">
        <f t="shared" si="47"/>
        <v>0</v>
      </c>
      <c r="AG112" s="280">
        <f t="shared" si="47"/>
        <v>0</v>
      </c>
      <c r="AH112" s="280">
        <f t="shared" si="47"/>
        <v>0</v>
      </c>
      <c r="AI112" s="280">
        <f t="shared" si="47"/>
        <v>0</v>
      </c>
      <c r="AJ112" s="280">
        <f t="shared" si="47"/>
        <v>0</v>
      </c>
      <c r="AK112" s="280">
        <f t="shared" si="47"/>
        <v>0</v>
      </c>
      <c r="AL112" s="280">
        <f t="shared" si="47"/>
        <v>0</v>
      </c>
      <c r="AM112" s="280">
        <f t="shared" si="47"/>
        <v>0</v>
      </c>
      <c r="AN112" s="280">
        <f t="shared" si="47"/>
        <v>0</v>
      </c>
      <c r="AO112" s="280">
        <f t="shared" si="47"/>
        <v>0</v>
      </c>
      <c r="AP112" s="280">
        <f t="shared" si="47"/>
        <v>0</v>
      </c>
      <c r="AQ112" s="280">
        <f t="shared" si="47"/>
        <v>0</v>
      </c>
      <c r="AR112" s="280">
        <f t="shared" si="47"/>
        <v>0</v>
      </c>
      <c r="AS112" s="280">
        <f t="shared" si="47"/>
        <v>0</v>
      </c>
      <c r="AT112" s="280">
        <f t="shared" si="47"/>
        <v>0</v>
      </c>
      <c r="AU112" s="280">
        <f t="shared" si="47"/>
        <v>0</v>
      </c>
      <c r="AV112" s="280">
        <f t="shared" si="47"/>
        <v>0</v>
      </c>
      <c r="AW112" s="280">
        <f t="shared" si="47"/>
        <v>0</v>
      </c>
      <c r="AX112" s="280">
        <f t="shared" si="47"/>
        <v>0</v>
      </c>
      <c r="AY112" s="280">
        <f t="shared" si="47"/>
        <v>0</v>
      </c>
      <c r="AZ112" s="280">
        <f t="shared" si="47"/>
        <v>0</v>
      </c>
      <c r="BA112" s="280">
        <f t="shared" si="47"/>
        <v>0</v>
      </c>
      <c r="BB112" s="280">
        <f t="shared" si="47"/>
        <v>0</v>
      </c>
      <c r="BC112" s="280">
        <f t="shared" si="47"/>
        <v>0</v>
      </c>
      <c r="BD112" s="280"/>
      <c r="BE112" s="280"/>
      <c r="BF112" s="280"/>
    </row>
    <row r="113" spans="1:58" s="192" customFormat="1" ht="18" hidden="1" customHeight="1" outlineLevel="1" x14ac:dyDescent="0.25">
      <c r="B113" s="732" t="str">
        <f>B86</f>
        <v>Aterro Sanitário</v>
      </c>
      <c r="C113" s="291" t="str">
        <f>C58</f>
        <v>Sim</v>
      </c>
      <c r="D113" s="291">
        <f>D58</f>
        <v>70017.417820512841</v>
      </c>
      <c r="E113" s="1274"/>
      <c r="F113" s="1274"/>
      <c r="G113" s="1274"/>
      <c r="H113" s="1274"/>
      <c r="I113" s="1274"/>
      <c r="J113" s="1274"/>
      <c r="K113" s="1274"/>
      <c r="L113" s="1274"/>
      <c r="M113" s="1274"/>
      <c r="N113" s="1274"/>
      <c r="O113" s="1274"/>
      <c r="P113" s="1274"/>
      <c r="Q113" s="740"/>
      <c r="R113" s="274"/>
      <c r="S113" s="274"/>
      <c r="T113" s="274"/>
      <c r="U113" s="274"/>
      <c r="V113" s="274"/>
      <c r="W113" s="274"/>
      <c r="X113" s="274"/>
      <c r="Y113" s="274"/>
      <c r="Z113" s="274"/>
      <c r="AA113" s="274"/>
      <c r="AB113" s="274"/>
      <c r="AC113" s="274"/>
      <c r="AD113" s="274"/>
      <c r="AE113" s="274"/>
      <c r="AF113" s="274"/>
      <c r="AG113" s="274"/>
      <c r="AH113" s="274"/>
      <c r="AI113" s="274"/>
      <c r="AJ113" s="274"/>
      <c r="AK113" s="274"/>
      <c r="AL113" s="274"/>
      <c r="AM113" s="274"/>
      <c r="AN113" s="274"/>
      <c r="AO113" s="274"/>
      <c r="AP113" s="274"/>
      <c r="AQ113" s="274"/>
      <c r="AR113" s="274"/>
      <c r="AS113" s="274"/>
      <c r="AT113" s="274"/>
      <c r="AU113" s="274"/>
      <c r="AV113" s="274"/>
      <c r="AW113" s="274"/>
      <c r="AX113" s="274"/>
      <c r="AY113" s="274"/>
      <c r="AZ113" s="274"/>
      <c r="BA113" s="274"/>
      <c r="BB113" s="274"/>
      <c r="BC113" s="274"/>
      <c r="BD113" s="274"/>
      <c r="BE113" s="274"/>
      <c r="BF113" s="274"/>
    </row>
    <row r="114" spans="1:58" s="192" customFormat="1" ht="18" hidden="1" customHeight="1" outlineLevel="1" x14ac:dyDescent="0.25">
      <c r="B114" s="260"/>
      <c r="C114" s="292"/>
      <c r="D114" s="292"/>
      <c r="E114" s="292"/>
      <c r="F114" s="292"/>
      <c r="G114" s="292"/>
      <c r="H114" s="292"/>
      <c r="I114" s="292"/>
      <c r="J114" s="292"/>
      <c r="K114" s="292"/>
      <c r="L114" s="292"/>
      <c r="M114" s="292"/>
      <c r="N114" s="292"/>
      <c r="O114" s="292"/>
      <c r="P114" s="292"/>
      <c r="Q114" s="292"/>
      <c r="R114" s="274"/>
      <c r="S114" s="274"/>
      <c r="T114" s="274"/>
      <c r="U114" s="274"/>
      <c r="V114" s="274"/>
      <c r="W114" s="274"/>
      <c r="X114" s="274"/>
      <c r="Y114" s="274"/>
      <c r="Z114" s="274"/>
      <c r="AA114" s="274"/>
      <c r="AB114" s="274"/>
      <c r="AC114" s="274"/>
      <c r="AD114" s="274"/>
      <c r="AE114" s="274"/>
      <c r="AF114" s="274"/>
      <c r="AG114" s="274"/>
      <c r="AH114" s="274"/>
      <c r="AI114" s="274"/>
      <c r="AJ114" s="274"/>
      <c r="AK114" s="274"/>
      <c r="AL114" s="274"/>
      <c r="AM114" s="274"/>
      <c r="AN114" s="274"/>
      <c r="AO114" s="274"/>
      <c r="AP114" s="274"/>
      <c r="AQ114" s="274"/>
      <c r="AR114" s="274"/>
      <c r="AS114" s="274"/>
      <c r="AT114" s="274"/>
      <c r="AU114" s="274"/>
      <c r="AV114" s="274"/>
      <c r="AW114" s="274"/>
      <c r="AX114" s="274"/>
      <c r="AY114" s="274"/>
      <c r="AZ114" s="274"/>
      <c r="BA114" s="274"/>
      <c r="BB114" s="274"/>
      <c r="BC114" s="274"/>
      <c r="BD114" s="274"/>
      <c r="BE114" s="274"/>
      <c r="BF114" s="274"/>
    </row>
    <row r="115" spans="1:58" s="192" customFormat="1" ht="18" hidden="1" customHeight="1" outlineLevel="1" x14ac:dyDescent="0.25">
      <c r="B115" s="260" t="s">
        <v>360</v>
      </c>
      <c r="C115" s="293">
        <f>IF(C60&gt;0,'R&amp;C-Painel de Controle'!$O75+'R&amp;C-Painel de Controle'!$P75*C60/1000000,0)</f>
        <v>0</v>
      </c>
      <c r="D115" s="293">
        <f>IF(D60&gt;0,'R&amp;C-Painel de Controle'!$O75+'R&amp;C-Painel de Controle'!$P75*D60/1000000,0)</f>
        <v>0</v>
      </c>
      <c r="E115" s="293">
        <f>IF(E60&gt;0,'R&amp;C-Painel de Controle'!$O75+'R&amp;C-Painel de Controle'!$P75*E60/1000000,0)</f>
        <v>0</v>
      </c>
      <c r="F115" s="293">
        <f>IF(F60&gt;0,'R&amp;C-Painel de Controle'!$O75+'R&amp;C-Painel de Controle'!$P75*F60/1000000,0)</f>
        <v>7.0618674680489057</v>
      </c>
      <c r="G115" s="293">
        <f>IF(G60&gt;0,'R&amp;C-Painel de Controle'!$O75+'R&amp;C-Painel de Controle'!$P75*G60/1000000,0)</f>
        <v>7.0618674680489057</v>
      </c>
      <c r="H115" s="293">
        <f>IF(H60&gt;0,'R&amp;C-Painel de Controle'!$O75+'R&amp;C-Painel de Controle'!$P75*H60/1000000,0)</f>
        <v>7.0618674680489057</v>
      </c>
      <c r="I115" s="293">
        <f>IF(I60&gt;0,'R&amp;C-Painel de Controle'!$O75+'R&amp;C-Painel de Controle'!$P75*I60/1000000,0)</f>
        <v>7.0618674680489057</v>
      </c>
      <c r="J115" s="293">
        <f>IF(J60&gt;0,'R&amp;C-Painel de Controle'!$O75+'R&amp;C-Painel de Controle'!$P75*J60/1000000,0)</f>
        <v>7.0618674680489057</v>
      </c>
      <c r="K115" s="293">
        <f>IF(K60&gt;0,'R&amp;C-Painel de Controle'!$O75+'R&amp;C-Painel de Controle'!$P75*K60/1000000,0)</f>
        <v>7.0618674680489057</v>
      </c>
      <c r="L115" s="293">
        <f>IF(L60&gt;0,'R&amp;C-Painel de Controle'!$O75+'R&amp;C-Painel de Controle'!$P75*L60/1000000,0)</f>
        <v>7.0618674680489057</v>
      </c>
      <c r="M115" s="293">
        <f>IF(M60&gt;0,'R&amp;C-Painel de Controle'!$O75+'R&amp;C-Painel de Controle'!$P75*M60/1000000,0)</f>
        <v>7.0618674680489057</v>
      </c>
      <c r="N115" s="293">
        <f>IF(N60&gt;0,'R&amp;C-Painel de Controle'!$O75+'R&amp;C-Painel de Controle'!$P75*N60/1000000,0)</f>
        <v>7.0618674680489057</v>
      </c>
      <c r="O115" s="293">
        <f>IF(O60&gt;0,'R&amp;C-Painel de Controle'!$O75+'R&amp;C-Painel de Controle'!$P75*O60/1000000,0)</f>
        <v>7.0618674680489057</v>
      </c>
      <c r="P115" s="293">
        <f>IF(P60&gt;0,'R&amp;C-Painel de Controle'!$O75+'R&amp;C-Painel de Controle'!$P75*P60/1000000,0)</f>
        <v>7.0618674680489057</v>
      </c>
      <c r="Q115" s="293">
        <f>IF(Q60&gt;0,'R&amp;C-Painel de Controle'!$O75+'R&amp;C-Painel de Controle'!$P75*Q60/1000000,0)</f>
        <v>7.0618674680489057</v>
      </c>
      <c r="R115" s="280">
        <f t="shared" ref="R115:BC115" si="48">Q115</f>
        <v>7.0618674680489057</v>
      </c>
      <c r="S115" s="280">
        <f t="shared" si="48"/>
        <v>7.0618674680489057</v>
      </c>
      <c r="T115" s="280">
        <f t="shared" si="48"/>
        <v>7.0618674680489057</v>
      </c>
      <c r="U115" s="280">
        <f t="shared" si="48"/>
        <v>7.0618674680489057</v>
      </c>
      <c r="V115" s="280">
        <f t="shared" si="48"/>
        <v>7.0618674680489057</v>
      </c>
      <c r="W115" s="280">
        <f t="shared" si="48"/>
        <v>7.0618674680489057</v>
      </c>
      <c r="X115" s="280">
        <f t="shared" si="48"/>
        <v>7.0618674680489057</v>
      </c>
      <c r="Y115" s="280">
        <f t="shared" si="48"/>
        <v>7.0618674680489057</v>
      </c>
      <c r="Z115" s="280">
        <f t="shared" si="48"/>
        <v>7.0618674680489057</v>
      </c>
      <c r="AA115" s="280">
        <f t="shared" si="48"/>
        <v>7.0618674680489057</v>
      </c>
      <c r="AB115" s="280">
        <f t="shared" si="48"/>
        <v>7.0618674680489057</v>
      </c>
      <c r="AC115" s="280">
        <f t="shared" si="48"/>
        <v>7.0618674680489057</v>
      </c>
      <c r="AD115" s="280">
        <f t="shared" si="48"/>
        <v>7.0618674680489057</v>
      </c>
      <c r="AE115" s="280">
        <f t="shared" si="48"/>
        <v>7.0618674680489057</v>
      </c>
      <c r="AF115" s="280">
        <f t="shared" si="48"/>
        <v>7.0618674680489057</v>
      </c>
      <c r="AG115" s="280">
        <f t="shared" si="48"/>
        <v>7.0618674680489057</v>
      </c>
      <c r="AH115" s="280">
        <f t="shared" si="48"/>
        <v>7.0618674680489057</v>
      </c>
      <c r="AI115" s="280">
        <f t="shared" si="48"/>
        <v>7.0618674680489057</v>
      </c>
      <c r="AJ115" s="280">
        <f t="shared" si="48"/>
        <v>7.0618674680489057</v>
      </c>
      <c r="AK115" s="280">
        <f t="shared" si="48"/>
        <v>7.0618674680489057</v>
      </c>
      <c r="AL115" s="280">
        <f t="shared" si="48"/>
        <v>7.0618674680489057</v>
      </c>
      <c r="AM115" s="280">
        <f t="shared" si="48"/>
        <v>7.0618674680489057</v>
      </c>
      <c r="AN115" s="280">
        <f t="shared" si="48"/>
        <v>7.0618674680489057</v>
      </c>
      <c r="AO115" s="280">
        <f t="shared" si="48"/>
        <v>7.0618674680489057</v>
      </c>
      <c r="AP115" s="280">
        <f t="shared" si="48"/>
        <v>7.0618674680489057</v>
      </c>
      <c r="AQ115" s="280">
        <f t="shared" si="48"/>
        <v>7.0618674680489057</v>
      </c>
      <c r="AR115" s="280">
        <f t="shared" si="48"/>
        <v>7.0618674680489057</v>
      </c>
      <c r="AS115" s="280">
        <f t="shared" si="48"/>
        <v>7.0618674680489057</v>
      </c>
      <c r="AT115" s="280">
        <f t="shared" si="48"/>
        <v>7.0618674680489057</v>
      </c>
      <c r="AU115" s="280">
        <f t="shared" si="48"/>
        <v>7.0618674680489057</v>
      </c>
      <c r="AV115" s="280">
        <f t="shared" si="48"/>
        <v>7.0618674680489057</v>
      </c>
      <c r="AW115" s="280">
        <f t="shared" si="48"/>
        <v>7.0618674680489057</v>
      </c>
      <c r="AX115" s="280">
        <f t="shared" si="48"/>
        <v>7.0618674680489057</v>
      </c>
      <c r="AY115" s="280">
        <f t="shared" si="48"/>
        <v>7.0618674680489057</v>
      </c>
      <c r="AZ115" s="280">
        <f t="shared" si="48"/>
        <v>7.0618674680489057</v>
      </c>
      <c r="BA115" s="280">
        <f t="shared" si="48"/>
        <v>7.0618674680489057</v>
      </c>
      <c r="BB115" s="280">
        <f t="shared" si="48"/>
        <v>7.0618674680489057</v>
      </c>
      <c r="BC115" s="280">
        <f t="shared" si="48"/>
        <v>7.0618674680489057</v>
      </c>
      <c r="BD115" s="280"/>
      <c r="BE115" s="280"/>
      <c r="BF115" s="280"/>
    </row>
    <row r="116" spans="1:58" s="192" customFormat="1" ht="18" customHeight="1" x14ac:dyDescent="0.25">
      <c r="B116" s="193"/>
      <c r="C116" s="281"/>
      <c r="D116" s="281"/>
      <c r="E116" s="281"/>
      <c r="F116" s="281"/>
      <c r="G116" s="281"/>
      <c r="H116" s="281"/>
      <c r="I116" s="281"/>
      <c r="J116" s="281"/>
      <c r="K116" s="281"/>
      <c r="L116" s="281"/>
      <c r="M116" s="281"/>
      <c r="N116" s="281"/>
      <c r="O116" s="281"/>
      <c r="P116" s="281"/>
      <c r="Q116" s="281"/>
      <c r="R116" s="274"/>
    </row>
    <row r="117" spans="1:58" s="192" customFormat="1" ht="25.9" customHeight="1" x14ac:dyDescent="0.25">
      <c r="B117" s="734" t="s">
        <v>623</v>
      </c>
      <c r="C117" s="281">
        <f>IF('R-Definição'!$E$121="Existente",C90+((('R&amp;C-Painel de Controle'!$D$88+'R&amp;C-Painel de Controle'!$D$89)*('R&amp;C-Painel de Controle'!$D$44+'R&amp;C-Painel de Controle'!$D$46))/1000000),C90+((('R&amp;C-Painel de Controle'!$D$88)*('R&amp;C-Painel de Controle'!$D$44+'R&amp;C-Painel de Controle'!$D$46))/1000000))</f>
        <v>2.5536859999999999</v>
      </c>
      <c r="D117" s="281">
        <f>IF('R-Definição'!$E$121="Existente",D90+((('R&amp;C-Painel de Controle'!$D$88+'R&amp;C-Painel de Controle'!$D$89)*('R&amp;C-Painel de Controle'!$D$44+'R&amp;C-Painel de Controle'!$D$46))/1000000),D90+((('R&amp;C-Painel de Controle'!$D$88)*('R&amp;C-Painel de Controle'!$D$44+'R&amp;C-Painel de Controle'!$D$46))/1000000))</f>
        <v>2.5536859999999999</v>
      </c>
      <c r="E117" s="281">
        <f>IF('R-Definição'!$E$121="Existente",E90+((('R&amp;C-Painel de Controle'!$D$88+'R&amp;C-Painel de Controle'!$D$89)*('R&amp;C-Painel de Controle'!$D$44+'R&amp;C-Painel de Controle'!$D$46))/1000000),E90+((('R&amp;C-Painel de Controle'!$D$88)*('R&amp;C-Painel de Controle'!$D$44+'R&amp;C-Painel de Controle'!$D$46))/1000000))</f>
        <v>2.5536859999999999</v>
      </c>
      <c r="F117" s="281">
        <f>IF('R-Definição'!$E$121="Existente",F90+((('R&amp;C-Painel de Controle'!$D$88+'R&amp;C-Painel de Controle'!$D$89)*('R&amp;C-Painel de Controle'!$D$44+'R&amp;C-Painel de Controle'!$D$46))/1000000),F90+((('R&amp;C-Painel de Controle'!$D$88)*('R&amp;C-Painel de Controle'!$D$44+'R&amp;C-Painel de Controle'!$D$46))/1000000))</f>
        <v>31.024094762992274</v>
      </c>
      <c r="G117" s="281">
        <f>IF('R-Definição'!$E$121="Existente",G90+((('R&amp;C-Painel de Controle'!$D$88+'R&amp;C-Painel de Controle'!$D$89)*('R&amp;C-Painel de Controle'!$D$44+'R&amp;C-Painel de Controle'!$D$46))/1000000),G90+((('R&amp;C-Painel de Controle'!$D$88)*('R&amp;C-Painel de Controle'!$D$44+'R&amp;C-Painel de Controle'!$D$46))/1000000))</f>
        <v>31.024094762992274</v>
      </c>
      <c r="H117" s="281">
        <f>IF('R-Definição'!$E$121="Existente",H90+((('R&amp;C-Painel de Controle'!$D$88+'R&amp;C-Painel de Controle'!$D$89)*('R&amp;C-Painel de Controle'!$D$44+'R&amp;C-Painel de Controle'!$D$46))/1000000),H90+((('R&amp;C-Painel de Controle'!$D$88)*('R&amp;C-Painel de Controle'!$D$44+'R&amp;C-Painel de Controle'!$D$46))/1000000))</f>
        <v>31.024094762992274</v>
      </c>
      <c r="I117" s="281">
        <f>IF('R-Definição'!$E$121="Existente",I90+((('R&amp;C-Painel de Controle'!$D$88+'R&amp;C-Painel de Controle'!$D$89)*('R&amp;C-Painel de Controle'!$D$44+'R&amp;C-Painel de Controle'!$D$46))/1000000),I90+((('R&amp;C-Painel de Controle'!$D$88)*('R&amp;C-Painel de Controle'!$D$44+'R&amp;C-Painel de Controle'!$D$46))/1000000))</f>
        <v>31.024094762992274</v>
      </c>
      <c r="J117" s="281">
        <f>IF('R-Definição'!$E$121="Existente",J90+((('R&amp;C-Painel de Controle'!$D$88+'R&amp;C-Painel de Controle'!$D$89)*('R&amp;C-Painel de Controle'!$D$44+'R&amp;C-Painel de Controle'!$D$46))/1000000),J90+((('R&amp;C-Painel de Controle'!$D$88)*('R&amp;C-Painel de Controle'!$D$44+'R&amp;C-Painel de Controle'!$D$46))/1000000))</f>
        <v>31.024094762992274</v>
      </c>
      <c r="K117" s="281">
        <f>IF('R-Definição'!$E$121="Existente",K90+((('R&amp;C-Painel de Controle'!$D$88+'R&amp;C-Painel de Controle'!$D$89)*('R&amp;C-Painel de Controle'!$D$44+'R&amp;C-Painel de Controle'!$D$46))/1000000),K90+((('R&amp;C-Painel de Controle'!$D$88)*('R&amp;C-Painel de Controle'!$D$44+'R&amp;C-Painel de Controle'!$D$46))/1000000))</f>
        <v>31.024094762992274</v>
      </c>
      <c r="L117" s="281">
        <f>IF('R-Definição'!$E$121="Existente",L90+((('R&amp;C-Painel de Controle'!$D$88+'R&amp;C-Painel de Controle'!$D$89)*('R&amp;C-Painel de Controle'!$D$44+'R&amp;C-Painel de Controle'!$D$46))/1000000),L90+((('R&amp;C-Painel de Controle'!$D$88)*('R&amp;C-Painel de Controle'!$D$44+'R&amp;C-Painel de Controle'!$D$46))/1000000))</f>
        <v>31.024094762992274</v>
      </c>
      <c r="M117" s="281">
        <f>IF('R-Definição'!$E$121="Existente",M90+((('R&amp;C-Painel de Controle'!$D$88+'R&amp;C-Painel de Controle'!$D$89)*('R&amp;C-Painel de Controle'!$D$44+'R&amp;C-Painel de Controle'!$D$46))/1000000),M90+((('R&amp;C-Painel de Controle'!$D$88)*('R&amp;C-Painel de Controle'!$D$44+'R&amp;C-Painel de Controle'!$D$46))/1000000))</f>
        <v>31.024094762992274</v>
      </c>
      <c r="N117" s="281">
        <f>IF('R-Definição'!$E$121="Existente",N90+((('R&amp;C-Painel de Controle'!$D$88+'R&amp;C-Painel de Controle'!$D$89)*('R&amp;C-Painel de Controle'!$D$44+'R&amp;C-Painel de Controle'!$D$46))/1000000),N90+((('R&amp;C-Painel de Controle'!$D$88)*('R&amp;C-Painel de Controle'!$D$44+'R&amp;C-Painel de Controle'!$D$46))/1000000))</f>
        <v>31.024094762992274</v>
      </c>
      <c r="O117" s="281">
        <f>IF('R-Definição'!$E$121="Existente",O90+((('R&amp;C-Painel de Controle'!$D$88+'R&amp;C-Painel de Controle'!$D$89)*('R&amp;C-Painel de Controle'!$D$44+'R&amp;C-Painel de Controle'!$D$46))/1000000),O90+((('R&amp;C-Painel de Controle'!$D$88)*('R&amp;C-Painel de Controle'!$D$44+'R&amp;C-Painel de Controle'!$D$46))/1000000))</f>
        <v>31.024094762992274</v>
      </c>
      <c r="P117" s="281">
        <f>IF('R-Definição'!$E$121="Existente",P90+((('R&amp;C-Painel de Controle'!$D$88+'R&amp;C-Painel de Controle'!$D$89)*('R&amp;C-Painel de Controle'!$D$44+'R&amp;C-Painel de Controle'!$D$46))/1000000),P90+((('R&amp;C-Painel de Controle'!$D$88)*('R&amp;C-Painel de Controle'!$D$44+'R&amp;C-Painel de Controle'!$D$46))/1000000))</f>
        <v>31.024094762992274</v>
      </c>
      <c r="Q117" s="281">
        <f>IF('R-Definição'!$E$121="Existente",Q90+((('R&amp;C-Painel de Controle'!$D$88+'R&amp;C-Painel de Controle'!$D$89)*('R&amp;C-Painel de Controle'!$D$44+'R&amp;C-Painel de Controle'!$D$46))/1000000),Q90+((('R&amp;C-Painel de Controle'!$D$88)*('R&amp;C-Painel de Controle'!$D$44+'R&amp;C-Painel de Controle'!$D$46))/1000000))</f>
        <v>31.024094762992274</v>
      </c>
      <c r="R117" s="281">
        <f>IF('R-Definição'!$E$121="Existente",R90+((('R&amp;C-Painel de Controle'!$D$88+'R&amp;C-Painel de Controle'!$D$89)*('R&amp;C-Painel de Controle'!$D$44+'R&amp;C-Painel de Controle'!$D$46))/1000000),R90+((('R&amp;C-Painel de Controle'!$D$88)*('R&amp;C-Painel de Controle'!$D$44+'R&amp;C-Painel de Controle'!$D$46))/1000000))</f>
        <v>31.024094762992274</v>
      </c>
      <c r="S117" s="281">
        <f>IF('R-Definição'!$E$121="Existente",S90+((('R&amp;C-Painel de Controle'!$D$88+'R&amp;C-Painel de Controle'!$D$89)*('R&amp;C-Painel de Controle'!$D$44+'R&amp;C-Painel de Controle'!$D$46))/1000000),S90+((('R&amp;C-Painel de Controle'!$D$88)*('R&amp;C-Painel de Controle'!$D$44+'R&amp;C-Painel de Controle'!$D$46))/1000000))</f>
        <v>31.024094762992274</v>
      </c>
      <c r="T117" s="281">
        <f>IF('R-Definição'!$E$121="Existente",T90+((('R&amp;C-Painel de Controle'!$D$88+'R&amp;C-Painel de Controle'!$D$89)*('R&amp;C-Painel de Controle'!$D$44+'R&amp;C-Painel de Controle'!$D$46))/1000000),T90+((('R&amp;C-Painel de Controle'!$D$88)*('R&amp;C-Painel de Controle'!$D$44+'R&amp;C-Painel de Controle'!$D$46))/1000000))</f>
        <v>31.024094762992274</v>
      </c>
      <c r="U117" s="281">
        <f>IF('R-Definição'!$E$121="Existente",U90+((('R&amp;C-Painel de Controle'!$D$88+'R&amp;C-Painel de Controle'!$D$89)*('R&amp;C-Painel de Controle'!$D$44+'R&amp;C-Painel de Controle'!$D$46))/1000000),U90+((('R&amp;C-Painel de Controle'!$D$88)*('R&amp;C-Painel de Controle'!$D$44+'R&amp;C-Painel de Controle'!$D$46))/1000000))</f>
        <v>31.024094762992274</v>
      </c>
      <c r="V117" s="281">
        <f>IF('R-Definição'!$E$121="Existente",V90+((('R&amp;C-Painel de Controle'!$D$88+'R&amp;C-Painel de Controle'!$D$89)*('R&amp;C-Painel de Controle'!$D$44+'R&amp;C-Painel de Controle'!$D$46))/1000000),V90+((('R&amp;C-Painel de Controle'!$D$88)*('R&amp;C-Painel de Controle'!$D$44+'R&amp;C-Painel de Controle'!$D$46))/1000000))</f>
        <v>31.024094762992274</v>
      </c>
      <c r="W117" s="281">
        <f>IF('R-Definição'!$E$121="Existente",W90+((('R&amp;C-Painel de Controle'!$D$88+'R&amp;C-Painel de Controle'!$D$89)*('R&amp;C-Painel de Controle'!$D$44+'R&amp;C-Painel de Controle'!$D$46))/1000000),W90+((('R&amp;C-Painel de Controle'!$D$88)*('R&amp;C-Painel de Controle'!$D$44+'R&amp;C-Painel de Controle'!$D$46))/1000000))</f>
        <v>31.024094762992274</v>
      </c>
      <c r="X117" s="281">
        <f>IF('R-Definição'!$E$121="Existente",X90+((('R&amp;C-Painel de Controle'!$D$88+'R&amp;C-Painel de Controle'!$D$89)*('R&amp;C-Painel de Controle'!$D$44+'R&amp;C-Painel de Controle'!$D$46))/1000000),X90+((('R&amp;C-Painel de Controle'!$D$88)*('R&amp;C-Painel de Controle'!$D$44+'R&amp;C-Painel de Controle'!$D$46))/1000000))</f>
        <v>31.024094762992274</v>
      </c>
      <c r="Y117" s="281">
        <f>IF('R-Definição'!$E$121="Existente",Y90+((('R&amp;C-Painel de Controle'!$D$88+'R&amp;C-Painel de Controle'!$D$89)*('R&amp;C-Painel de Controle'!$D$44+'R&amp;C-Painel de Controle'!$D$46))/1000000),Y90+((('R&amp;C-Painel de Controle'!$D$88)*('R&amp;C-Painel de Controle'!$D$44+'R&amp;C-Painel de Controle'!$D$46))/1000000))</f>
        <v>31.024094762992274</v>
      </c>
      <c r="Z117" s="281">
        <f>IF('R-Definição'!$E$121="Existente",Z90+((('R&amp;C-Painel de Controle'!$D$88+'R&amp;C-Painel de Controle'!$D$89)*('R&amp;C-Painel de Controle'!$D$44+'R&amp;C-Painel de Controle'!$D$46))/1000000),Z90+((('R&amp;C-Painel de Controle'!$D$88)*('R&amp;C-Painel de Controle'!$D$44+'R&amp;C-Painel de Controle'!$D$46))/1000000))</f>
        <v>31.024094762992274</v>
      </c>
      <c r="AA117" s="281">
        <f>IF('R-Definição'!$E$121="Existente",AA90+((('R&amp;C-Painel de Controle'!$D$88+'R&amp;C-Painel de Controle'!$D$89)*('R&amp;C-Painel de Controle'!$D$44+'R&amp;C-Painel de Controle'!$D$46))/1000000),AA90+((('R&amp;C-Painel de Controle'!$D$88)*('R&amp;C-Painel de Controle'!$D$44+'R&amp;C-Painel de Controle'!$D$46))/1000000))</f>
        <v>31.024094762992274</v>
      </c>
      <c r="AB117" s="281">
        <f>IF('R-Definição'!$E$121="Existente",AB90+((('R&amp;C-Painel de Controle'!$D$88+'R&amp;C-Painel de Controle'!$D$89)*('R&amp;C-Painel de Controle'!$D$44+'R&amp;C-Painel de Controle'!$D$46))/1000000),AB90+((('R&amp;C-Painel de Controle'!$D$88)*('R&amp;C-Painel de Controle'!$D$44+'R&amp;C-Painel de Controle'!$D$46))/1000000))</f>
        <v>31.024094762992274</v>
      </c>
      <c r="AC117" s="281">
        <f>IF('R-Definição'!$E$121="Existente",AC90+((('R&amp;C-Painel de Controle'!$D$88+'R&amp;C-Painel de Controle'!$D$89)*('R&amp;C-Painel de Controle'!$D$44+'R&amp;C-Painel de Controle'!$D$46))/1000000),AC90+((('R&amp;C-Painel de Controle'!$D$88)*('R&amp;C-Painel de Controle'!$D$44+'R&amp;C-Painel de Controle'!$D$46))/1000000))</f>
        <v>31.024094762992274</v>
      </c>
      <c r="AD117" s="281">
        <f>IF('R-Definição'!$E$121="Existente",AD90+((('R&amp;C-Painel de Controle'!$D$88+'R&amp;C-Painel de Controle'!$D$89)*('R&amp;C-Painel de Controle'!$D$44+'R&amp;C-Painel de Controle'!$D$46))/1000000),AD90+((('R&amp;C-Painel de Controle'!$D$88)*('R&amp;C-Painel de Controle'!$D$44+'R&amp;C-Painel de Controle'!$D$46))/1000000))</f>
        <v>31.024094762992274</v>
      </c>
      <c r="AE117" s="281">
        <f>IF('R-Definição'!$E$121="Existente",AE90+((('R&amp;C-Painel de Controle'!$D$88+'R&amp;C-Painel de Controle'!$D$89)*('R&amp;C-Painel de Controle'!$D$44+'R&amp;C-Painel de Controle'!$D$46))/1000000),AE90+((('R&amp;C-Painel de Controle'!$D$88)*('R&amp;C-Painel de Controle'!$D$44+'R&amp;C-Painel de Controle'!$D$46))/1000000))</f>
        <v>31.024094762992274</v>
      </c>
      <c r="AF117" s="281">
        <f>IF('R-Definição'!$E$121="Existente",AF90+((('R&amp;C-Painel de Controle'!$D$88+'R&amp;C-Painel de Controle'!$D$89)*('R&amp;C-Painel de Controle'!$D$44+'R&amp;C-Painel de Controle'!$D$46))/1000000),AF90+((('R&amp;C-Painel de Controle'!$D$88)*('R&amp;C-Painel de Controle'!$D$44+'R&amp;C-Painel de Controle'!$D$46))/1000000))</f>
        <v>31.024094762992274</v>
      </c>
      <c r="AG117" s="281">
        <f>IF('R-Definição'!$E$121="Existente",AG90+((('R&amp;C-Painel de Controle'!$D$88+'R&amp;C-Painel de Controle'!$D$89)*('R&amp;C-Painel de Controle'!$D$44+'R&amp;C-Painel de Controle'!$D$46))/1000000),AG90+((('R&amp;C-Painel de Controle'!$D$88)*('R&amp;C-Painel de Controle'!$D$44+'R&amp;C-Painel de Controle'!$D$46))/1000000))</f>
        <v>31.024094762992274</v>
      </c>
      <c r="AH117" s="281">
        <f>IF('R-Definição'!$E$121="Existente",AH90+((('R&amp;C-Painel de Controle'!$D$88+'R&amp;C-Painel de Controle'!$D$89)*('R&amp;C-Painel de Controle'!$D$44+'R&amp;C-Painel de Controle'!$D$46))/1000000),AH90+((('R&amp;C-Painel de Controle'!$D$88)*('R&amp;C-Painel de Controle'!$D$44+'R&amp;C-Painel de Controle'!$D$46))/1000000))</f>
        <v>31.024094762992274</v>
      </c>
      <c r="AI117" s="281">
        <f>IF('R-Definição'!$E$121="Existente",AI90+((('R&amp;C-Painel de Controle'!$D$88+'R&amp;C-Painel de Controle'!$D$89)*('R&amp;C-Painel de Controle'!$D$44+'R&amp;C-Painel de Controle'!$D$46))/1000000),AI90+((('R&amp;C-Painel de Controle'!$D$88)*('R&amp;C-Painel de Controle'!$D$44+'R&amp;C-Painel de Controle'!$D$46))/1000000))</f>
        <v>31.024094762992274</v>
      </c>
      <c r="AJ117" s="281">
        <f>IF('R-Definição'!$E$121="Existente",AJ90+((('R&amp;C-Painel de Controle'!$D$88+'R&amp;C-Painel de Controle'!$D$89)*('R&amp;C-Painel de Controle'!$D$44+'R&amp;C-Painel de Controle'!$D$46))/1000000),AJ90+((('R&amp;C-Painel de Controle'!$D$88)*('R&amp;C-Painel de Controle'!$D$44+'R&amp;C-Painel de Controle'!$D$46))/1000000))</f>
        <v>31.024094762992274</v>
      </c>
      <c r="AK117" s="281">
        <f>IF('R-Definição'!$E$121="Existente",AK90+((('R&amp;C-Painel de Controle'!$D$88+'R&amp;C-Painel de Controle'!$D$89)*('R&amp;C-Painel de Controle'!$D$44+'R&amp;C-Painel de Controle'!$D$46))/1000000),AK90+((('R&amp;C-Painel de Controle'!$D$88)*('R&amp;C-Painel de Controle'!$D$44+'R&amp;C-Painel de Controle'!$D$46))/1000000))</f>
        <v>31.024094762992274</v>
      </c>
      <c r="AL117" s="281">
        <f>IF('R-Definição'!$E$121="Existente",AL90+((('R&amp;C-Painel de Controle'!$D$88+'R&amp;C-Painel de Controle'!$D$89)*('R&amp;C-Painel de Controle'!$D$44+'R&amp;C-Painel de Controle'!$D$46))/1000000),AL90+((('R&amp;C-Painel de Controle'!$D$88)*('R&amp;C-Painel de Controle'!$D$44+'R&amp;C-Painel de Controle'!$D$46))/1000000))</f>
        <v>31.024094762992274</v>
      </c>
      <c r="AM117" s="281">
        <f>IF('R-Definição'!$E$121="Existente",AM90+((('R&amp;C-Painel de Controle'!$D$88+'R&amp;C-Painel de Controle'!$D$89)*('R&amp;C-Painel de Controle'!$D$44+'R&amp;C-Painel de Controle'!$D$46))/1000000),AM90+((('R&amp;C-Painel de Controle'!$D$88)*('R&amp;C-Painel de Controle'!$D$44+'R&amp;C-Painel de Controle'!$D$46))/1000000))</f>
        <v>31.024094762992274</v>
      </c>
      <c r="AN117" s="281">
        <f>IF('R-Definição'!$E$121="Existente",AN90+((('R&amp;C-Painel de Controle'!$D$88+'R&amp;C-Painel de Controle'!$D$89)*('R&amp;C-Painel de Controle'!$D$44+'R&amp;C-Painel de Controle'!$D$46))/1000000),AN90+((('R&amp;C-Painel de Controle'!$D$88)*('R&amp;C-Painel de Controle'!$D$44+'R&amp;C-Painel de Controle'!$D$46))/1000000))</f>
        <v>31.024094762992274</v>
      </c>
      <c r="AO117" s="281">
        <f>IF('R-Definição'!$E$121="Existente",AO90+((('R&amp;C-Painel de Controle'!$D$88+'R&amp;C-Painel de Controle'!$D$89)*('R&amp;C-Painel de Controle'!$D$44+'R&amp;C-Painel de Controle'!$D$46))/1000000),AO90+((('R&amp;C-Painel de Controle'!$D$88)*('R&amp;C-Painel de Controle'!$D$44+'R&amp;C-Painel de Controle'!$D$46))/1000000))</f>
        <v>31.024094762992274</v>
      </c>
      <c r="AP117" s="281">
        <f>IF('R-Definição'!$E$121="Existente",AP90+((('R&amp;C-Painel de Controle'!$D$88+'R&amp;C-Painel de Controle'!$D$89)*('R&amp;C-Painel de Controle'!$D$44+'R&amp;C-Painel de Controle'!$D$46))/1000000),AP90+((('R&amp;C-Painel de Controle'!$D$88)*('R&amp;C-Painel de Controle'!$D$44+'R&amp;C-Painel de Controle'!$D$46))/1000000))</f>
        <v>31.024094762992274</v>
      </c>
      <c r="AQ117" s="281">
        <f>IF('R-Definição'!$E$121="Existente",AQ90+((('R&amp;C-Painel de Controle'!$D$88+'R&amp;C-Painel de Controle'!$D$89)*('R&amp;C-Painel de Controle'!$D$44+'R&amp;C-Painel de Controle'!$D$46))/1000000),AQ90+((('R&amp;C-Painel de Controle'!$D$88)*('R&amp;C-Painel de Controle'!$D$44+'R&amp;C-Painel de Controle'!$D$46))/1000000))</f>
        <v>31.024094762992274</v>
      </c>
      <c r="AR117" s="281">
        <f>IF('R-Definição'!$E$121="Existente",AR90+((('R&amp;C-Painel de Controle'!$D$88+'R&amp;C-Painel de Controle'!$D$89)*('R&amp;C-Painel de Controle'!$D$44+'R&amp;C-Painel de Controle'!$D$46))/1000000),AR90+((('R&amp;C-Painel de Controle'!$D$88)*('R&amp;C-Painel de Controle'!$D$44+'R&amp;C-Painel de Controle'!$D$46))/1000000))</f>
        <v>31.024094762992274</v>
      </c>
      <c r="AS117" s="281">
        <f>IF('R-Definição'!$E$121="Existente",AS90+((('R&amp;C-Painel de Controle'!$D$88+'R&amp;C-Painel de Controle'!$D$89)*('R&amp;C-Painel de Controle'!$D$44+'R&amp;C-Painel de Controle'!$D$46))/1000000),AS90+((('R&amp;C-Painel de Controle'!$D$88)*('R&amp;C-Painel de Controle'!$D$44+'R&amp;C-Painel de Controle'!$D$46))/1000000))</f>
        <v>31.024094762992274</v>
      </c>
      <c r="AT117" s="281">
        <f>IF('R-Definição'!$E$121="Existente",AT90+((('R&amp;C-Painel de Controle'!$D$88+'R&amp;C-Painel de Controle'!$D$89)*('R&amp;C-Painel de Controle'!$D$44+'R&amp;C-Painel de Controle'!$D$46))/1000000),AT90+((('R&amp;C-Painel de Controle'!$D$88)*('R&amp;C-Painel de Controle'!$D$44+'R&amp;C-Painel de Controle'!$D$46))/1000000))</f>
        <v>31.024094762992274</v>
      </c>
      <c r="AU117" s="281">
        <f>IF('R-Definição'!$E$121="Existente",AU90+((('R&amp;C-Painel de Controle'!$D$88+'R&amp;C-Painel de Controle'!$D$89)*('R&amp;C-Painel de Controle'!$D$44+'R&amp;C-Painel de Controle'!$D$46))/1000000),AU90+((('R&amp;C-Painel de Controle'!$D$88)*('R&amp;C-Painel de Controle'!$D$44+'R&amp;C-Painel de Controle'!$D$46))/1000000))</f>
        <v>31.024094762992274</v>
      </c>
      <c r="AV117" s="281">
        <f>IF('R-Definição'!$E$121="Existente",AV90+((('R&amp;C-Painel de Controle'!$D$88+'R&amp;C-Painel de Controle'!$D$89)*('R&amp;C-Painel de Controle'!$D$44+'R&amp;C-Painel de Controle'!$D$46))/1000000),AV90+((('R&amp;C-Painel de Controle'!$D$88)*('R&amp;C-Painel de Controle'!$D$44+'R&amp;C-Painel de Controle'!$D$46))/1000000))</f>
        <v>31.024094762992274</v>
      </c>
      <c r="AW117" s="281">
        <f>IF('R-Definição'!$E$121="Existente",AW90+((('R&amp;C-Painel de Controle'!$D$88+'R&amp;C-Painel de Controle'!$D$89)*('R&amp;C-Painel de Controle'!$D$44+'R&amp;C-Painel de Controle'!$D$46))/1000000),AW90+((('R&amp;C-Painel de Controle'!$D$88)*('R&amp;C-Painel de Controle'!$D$44+'R&amp;C-Painel de Controle'!$D$46))/1000000))</f>
        <v>31.024094762992274</v>
      </c>
      <c r="AX117" s="281">
        <f>IF('R-Definição'!$E$121="Existente",AX90+((('R&amp;C-Painel de Controle'!$D$88+'R&amp;C-Painel de Controle'!$D$89)*('R&amp;C-Painel de Controle'!$D$44+'R&amp;C-Painel de Controle'!$D$46))/1000000),AX90+((('R&amp;C-Painel de Controle'!$D$88)*('R&amp;C-Painel de Controle'!$D$44+'R&amp;C-Painel de Controle'!$D$46))/1000000))</f>
        <v>31.024094762992274</v>
      </c>
      <c r="AY117" s="281">
        <f>IF('R-Definição'!$E$121="Existente",AY90+((('R&amp;C-Painel de Controle'!$D$88+'R&amp;C-Painel de Controle'!$D$89)*('R&amp;C-Painel de Controle'!$D$44+'R&amp;C-Painel de Controle'!$D$46))/1000000),AY90+((('R&amp;C-Painel de Controle'!$D$88)*('R&amp;C-Painel de Controle'!$D$44+'R&amp;C-Painel de Controle'!$D$46))/1000000))</f>
        <v>31.024094762992274</v>
      </c>
      <c r="AZ117" s="281">
        <f>IF('R-Definição'!$E$121="Existente",AZ90+((('R&amp;C-Painel de Controle'!$D$88+'R&amp;C-Painel de Controle'!$D$89)*('R&amp;C-Painel de Controle'!$D$44+'R&amp;C-Painel de Controle'!$D$46))/1000000),AZ90+((('R&amp;C-Painel de Controle'!$D$88)*('R&amp;C-Painel de Controle'!$D$44+'R&amp;C-Painel de Controle'!$D$46))/1000000))</f>
        <v>31.024094762992274</v>
      </c>
      <c r="BA117" s="281">
        <f>IF('R-Definição'!$E$121="Existente",BA90+((('R&amp;C-Painel de Controle'!$D$88+'R&amp;C-Painel de Controle'!$D$89)*('R&amp;C-Painel de Controle'!$D$44+'R&amp;C-Painel de Controle'!$D$46))/1000000),BA90+((('R&amp;C-Painel de Controle'!$D$88)*('R&amp;C-Painel de Controle'!$D$44+'R&amp;C-Painel de Controle'!$D$46))/1000000))</f>
        <v>31.024094762992274</v>
      </c>
      <c r="BB117" s="281">
        <f>IF('R-Definição'!$E$121="Existente",BB90+((('R&amp;C-Painel de Controle'!$D$88+'R&amp;C-Painel de Controle'!$D$89)*('R&amp;C-Painel de Controle'!$D$44+'R&amp;C-Painel de Controle'!$D$46))/1000000),BB90+((('R&amp;C-Painel de Controle'!$D$88)*('R&amp;C-Painel de Controle'!$D$44+'R&amp;C-Painel de Controle'!$D$46))/1000000))</f>
        <v>31.024094762992274</v>
      </c>
      <c r="BC117" s="281">
        <f>IF('R-Definição'!$E$121="Existente",BC90+((('R&amp;C-Painel de Controle'!$D$88+'R&amp;C-Painel de Controle'!$D$89)*('R&amp;C-Painel de Controle'!$D$44+'R&amp;C-Painel de Controle'!$D$46))/1000000),BC90+((('R&amp;C-Painel de Controle'!$D$88)*('R&amp;C-Painel de Controle'!$D$44+'R&amp;C-Painel de Controle'!$D$46))/1000000))</f>
        <v>31.024094762992274</v>
      </c>
    </row>
    <row r="118" spans="1:58" s="192" customFormat="1" ht="18" customHeight="1" x14ac:dyDescent="0.25">
      <c r="B118" s="193" t="s">
        <v>899</v>
      </c>
      <c r="C118" s="1485">
        <v>0</v>
      </c>
      <c r="D118" s="281"/>
      <c r="E118" s="281"/>
      <c r="F118" s="281"/>
      <c r="G118" s="281"/>
      <c r="H118" s="281"/>
      <c r="I118" s="281"/>
      <c r="J118" s="281"/>
      <c r="K118" s="281"/>
      <c r="L118" s="281"/>
      <c r="M118" s="281"/>
      <c r="N118" s="281"/>
      <c r="O118" s="281"/>
      <c r="P118" s="281"/>
      <c r="Q118" s="281"/>
      <c r="R118" s="281"/>
      <c r="S118" s="281"/>
      <c r="T118" s="281"/>
      <c r="U118" s="281"/>
      <c r="V118" s="281"/>
      <c r="W118" s="281"/>
      <c r="X118" s="281"/>
      <c r="Y118" s="281"/>
      <c r="Z118" s="281"/>
      <c r="AA118" s="281"/>
      <c r="AB118" s="281"/>
      <c r="AC118" s="281"/>
      <c r="AD118" s="281"/>
      <c r="AE118" s="281"/>
      <c r="AF118" s="281"/>
      <c r="AG118" s="281"/>
      <c r="AH118" s="281"/>
      <c r="AI118" s="281"/>
      <c r="AJ118" s="281"/>
      <c r="AK118" s="281"/>
      <c r="AL118" s="281"/>
      <c r="AM118" s="281"/>
      <c r="AN118" s="281"/>
      <c r="AO118" s="281"/>
      <c r="AP118" s="281"/>
      <c r="AQ118" s="281"/>
      <c r="AR118" s="281"/>
      <c r="AS118" s="281"/>
      <c r="AT118" s="281"/>
      <c r="AU118" s="281"/>
      <c r="AV118" s="281"/>
      <c r="AW118" s="281"/>
      <c r="AX118" s="281"/>
      <c r="AY118" s="281"/>
      <c r="AZ118" s="281"/>
      <c r="BA118" s="281"/>
      <c r="BB118" s="281"/>
      <c r="BC118" s="281"/>
    </row>
    <row r="119" spans="1:58" s="192" customFormat="1" ht="25.9" customHeight="1" x14ac:dyDescent="0.25">
      <c r="B119" s="734" t="s">
        <v>624</v>
      </c>
      <c r="C119" s="281">
        <f>(C117+'R&amp;C-Painel de Controle'!$D$28)*(1+$C$118)</f>
        <v>3.5536859999999999</v>
      </c>
      <c r="D119" s="281">
        <f>(D117+'R&amp;C-Painel de Controle'!$D$28)*(1+$C$118)</f>
        <v>3.5536859999999999</v>
      </c>
      <c r="E119" s="281">
        <f>(E117+'R&amp;C-Painel de Controle'!$D$28)*(1+$C$118)</f>
        <v>3.5536859999999999</v>
      </c>
      <c r="F119" s="281">
        <f>(F117+'R&amp;C-Painel de Controle'!$D$28)*(1+$C$118)</f>
        <v>32.024094762992277</v>
      </c>
      <c r="G119" s="281">
        <f>(G117+'R&amp;C-Painel de Controle'!$D$28)*(1+$C$118)</f>
        <v>32.024094762992277</v>
      </c>
      <c r="H119" s="281">
        <f>(H117+'R&amp;C-Painel de Controle'!$D$28)*(1+$C$118)</f>
        <v>32.024094762992277</v>
      </c>
      <c r="I119" s="281">
        <f>(I117+'R&amp;C-Painel de Controle'!$D$28)*(1+$C$118)</f>
        <v>32.024094762992277</v>
      </c>
      <c r="J119" s="281">
        <f>(J117+'R&amp;C-Painel de Controle'!$D$28)*(1+$C$118)</f>
        <v>32.024094762992277</v>
      </c>
      <c r="K119" s="281">
        <f>(K117+'R&amp;C-Painel de Controle'!$D$28)*(1+$C$118)</f>
        <v>32.024094762992277</v>
      </c>
      <c r="L119" s="281">
        <f>(L117+'R&amp;C-Painel de Controle'!$D$28)*(1+$C$118)</f>
        <v>32.024094762992277</v>
      </c>
      <c r="M119" s="281">
        <f>(M117+'R&amp;C-Painel de Controle'!$D$28)*(1+$C$118)</f>
        <v>32.024094762992277</v>
      </c>
      <c r="N119" s="281">
        <f>(N117+'R&amp;C-Painel de Controle'!$D$28)*(1+$C$118)</f>
        <v>32.024094762992277</v>
      </c>
      <c r="O119" s="281">
        <f>(O117+'R&amp;C-Painel de Controle'!$D$28)*(1+$C$118)</f>
        <v>32.024094762992277</v>
      </c>
      <c r="P119" s="281">
        <f>(P117+'R&amp;C-Painel de Controle'!$D$28)*(1+$C$118)</f>
        <v>32.024094762992277</v>
      </c>
      <c r="Q119" s="281">
        <f>(Q117+'R&amp;C-Painel de Controle'!$D$28)*(1+$C$118)</f>
        <v>32.024094762992277</v>
      </c>
      <c r="R119" s="281">
        <f>(R117+'R&amp;C-Painel de Controle'!$D$28)*(1+$C$118)</f>
        <v>32.024094762992277</v>
      </c>
      <c r="S119" s="281">
        <f>(S117+'R&amp;C-Painel de Controle'!$D$28)*(1+$C$118)</f>
        <v>32.024094762992277</v>
      </c>
      <c r="T119" s="281">
        <f>(T117+'R&amp;C-Painel de Controle'!$D$28)*(1+$C$118)</f>
        <v>32.024094762992277</v>
      </c>
      <c r="U119" s="281">
        <f>(U117+'R&amp;C-Painel de Controle'!$D$28)*(1+$C$118)</f>
        <v>32.024094762992277</v>
      </c>
      <c r="V119" s="281">
        <f>(V117+'R&amp;C-Painel de Controle'!$D$28)*(1+$C$118)</f>
        <v>32.024094762992277</v>
      </c>
      <c r="W119" s="281">
        <f>(W117+'R&amp;C-Painel de Controle'!$D$28)*(1+$C$118)</f>
        <v>32.024094762992277</v>
      </c>
      <c r="X119" s="281">
        <f>(X117+'R&amp;C-Painel de Controle'!$D$28)*(1+$C$118)</f>
        <v>32.024094762992277</v>
      </c>
      <c r="Y119" s="281">
        <f>(Y117+'R&amp;C-Painel de Controle'!$D$28)*(1+$C$118)</f>
        <v>32.024094762992277</v>
      </c>
      <c r="Z119" s="281">
        <f>(Z117+'R&amp;C-Painel de Controle'!$D$28)*(1+$C$118)</f>
        <v>32.024094762992277</v>
      </c>
      <c r="AA119" s="281">
        <f>(AA117+'R&amp;C-Painel de Controle'!$D$28)*(1+$C$118)</f>
        <v>32.024094762992277</v>
      </c>
      <c r="AB119" s="281">
        <f>(AB117+'R&amp;C-Painel de Controle'!$D$28)*(1+$C$118)</f>
        <v>32.024094762992277</v>
      </c>
      <c r="AC119" s="281">
        <f>(AC117+'R&amp;C-Painel de Controle'!$D$28)*(1+$C$118)</f>
        <v>32.024094762992277</v>
      </c>
      <c r="AD119" s="281">
        <f>(AD117+'R&amp;C-Painel de Controle'!$D$28)*(1+$C$118)</f>
        <v>32.024094762992277</v>
      </c>
      <c r="AE119" s="281">
        <f>(AE117+'R&amp;C-Painel de Controle'!$D$28)*(1+$C$118)</f>
        <v>32.024094762992277</v>
      </c>
      <c r="AF119" s="281">
        <f>(AF117+'R&amp;C-Painel de Controle'!$D$28)*(1+$C$118)</f>
        <v>32.024094762992277</v>
      </c>
      <c r="AG119" s="281">
        <f>(AG117+'R&amp;C-Painel de Controle'!$D$28)*(1+$C$118)</f>
        <v>32.024094762992277</v>
      </c>
      <c r="AH119" s="281">
        <f>(AH117+'R&amp;C-Painel de Controle'!$D$28)*(1+$C$118)</f>
        <v>32.024094762992277</v>
      </c>
      <c r="AI119" s="281">
        <f>(AI117+'R&amp;C-Painel de Controle'!$D$28)*(1+$C$118)</f>
        <v>32.024094762992277</v>
      </c>
      <c r="AJ119" s="281">
        <f>(AJ117+'R&amp;C-Painel de Controle'!$D$28)*(1+$C$118)</f>
        <v>32.024094762992277</v>
      </c>
      <c r="AK119" s="281">
        <f>(AK117+'R&amp;C-Painel de Controle'!$D$28)*(1+$C$118)</f>
        <v>32.024094762992277</v>
      </c>
      <c r="AL119" s="281">
        <f>(AL117+'R&amp;C-Painel de Controle'!$D$28)*(1+$C$118)</f>
        <v>32.024094762992277</v>
      </c>
      <c r="AM119" s="281">
        <f>(AM117+'R&amp;C-Painel de Controle'!$D$28)*(1+$C$118)</f>
        <v>32.024094762992277</v>
      </c>
      <c r="AN119" s="281">
        <f>(AN117+'R&amp;C-Painel de Controle'!$D$28)*(1+$C$118)</f>
        <v>32.024094762992277</v>
      </c>
      <c r="AO119" s="281">
        <f>(AO117+'R&amp;C-Painel de Controle'!$D$28)*(1+$C$118)</f>
        <v>32.024094762992277</v>
      </c>
      <c r="AP119" s="281">
        <f>(AP117+'R&amp;C-Painel de Controle'!$D$28)*(1+$C$118)</f>
        <v>32.024094762992277</v>
      </c>
      <c r="AQ119" s="281">
        <f>(AQ117+'R&amp;C-Painel de Controle'!$D$28)*(1+$C$118)</f>
        <v>32.024094762992277</v>
      </c>
      <c r="AR119" s="281">
        <f>(AR117+'R&amp;C-Painel de Controle'!$D$28)*(1+$C$118)</f>
        <v>32.024094762992277</v>
      </c>
      <c r="AS119" s="281">
        <f>(AS117+'R&amp;C-Painel de Controle'!$D$28)*(1+$C$118)</f>
        <v>32.024094762992277</v>
      </c>
      <c r="AT119" s="281">
        <f>(AT117+'R&amp;C-Painel de Controle'!$D$28)*(1+$C$118)</f>
        <v>32.024094762992277</v>
      </c>
      <c r="AU119" s="281">
        <f>(AU117+'R&amp;C-Painel de Controle'!$D$28)*(1+$C$118)</f>
        <v>32.024094762992277</v>
      </c>
      <c r="AV119" s="281">
        <f>(AV117+'R&amp;C-Painel de Controle'!$D$28)*(1+$C$118)</f>
        <v>32.024094762992277</v>
      </c>
      <c r="AW119" s="281">
        <f>(AW117+'R&amp;C-Painel de Controle'!$D$28)*(1+$C$118)</f>
        <v>32.024094762992277</v>
      </c>
      <c r="AX119" s="281">
        <f>(AX117+'R&amp;C-Painel de Controle'!$D$28)*(1+$C$118)</f>
        <v>32.024094762992277</v>
      </c>
      <c r="AY119" s="281">
        <f>(AY117+'R&amp;C-Painel de Controle'!$D$28)*(1+$C$118)</f>
        <v>32.024094762992277</v>
      </c>
      <c r="AZ119" s="281">
        <f>(AZ117+'R&amp;C-Painel de Controle'!$D$28)*(1+$C$118)</f>
        <v>32.024094762992277</v>
      </c>
      <c r="BA119" s="281">
        <f>(BA117+'R&amp;C-Painel de Controle'!$D$28)*(1+$C$118)</f>
        <v>32.024094762992277</v>
      </c>
      <c r="BB119" s="281">
        <f>(BB117+'R&amp;C-Painel de Controle'!$D$28)*(1+$C$118)</f>
        <v>32.024094762992277</v>
      </c>
      <c r="BC119" s="281">
        <f>(BC117+'R&amp;C-Painel de Controle'!$D$28)*(1+$C$118)</f>
        <v>32.024094762992277</v>
      </c>
    </row>
    <row r="120" spans="1:58" s="192" customFormat="1" ht="18" customHeight="1" x14ac:dyDescent="0.25">
      <c r="B120" s="290"/>
      <c r="C120" s="1492"/>
      <c r="D120" s="1492"/>
      <c r="E120" s="1492"/>
      <c r="F120" s="1492"/>
      <c r="G120" s="1492"/>
      <c r="H120" s="1492"/>
      <c r="I120" s="1492"/>
      <c r="J120" s="1492"/>
      <c r="K120" s="1492"/>
      <c r="L120" s="1492"/>
      <c r="M120" s="1492"/>
      <c r="N120" s="1492"/>
      <c r="O120" s="1492"/>
      <c r="P120" s="1492"/>
      <c r="Q120" s="1492"/>
      <c r="R120" s="1492"/>
      <c r="S120" s="1492"/>
      <c r="T120" s="1492"/>
      <c r="U120" s="1492"/>
      <c r="V120" s="1492"/>
      <c r="W120" s="1492"/>
      <c r="X120" s="1492"/>
      <c r="Y120" s="1492"/>
      <c r="Z120" s="1492"/>
      <c r="AA120" s="1492"/>
      <c r="AB120" s="1492"/>
      <c r="AC120" s="1492"/>
      <c r="AD120" s="1492"/>
      <c r="AE120" s="1492"/>
      <c r="AF120" s="1492"/>
      <c r="AG120" s="1492"/>
      <c r="AH120" s="1492"/>
      <c r="AI120" s="1492"/>
      <c r="AJ120" s="1492"/>
      <c r="AK120" s="1492"/>
      <c r="AL120" s="1492"/>
      <c r="AM120" s="1492"/>
      <c r="AN120" s="1492"/>
      <c r="AO120" s="1492"/>
      <c r="AP120" s="1492"/>
      <c r="AQ120" s="1492"/>
      <c r="AR120" s="1492"/>
      <c r="AS120" s="1492"/>
      <c r="AT120" s="1492"/>
      <c r="AU120" s="1492"/>
      <c r="AV120" s="1492"/>
      <c r="AW120" s="1492"/>
      <c r="AX120" s="1492"/>
      <c r="AY120" s="1492"/>
      <c r="AZ120" s="1492"/>
      <c r="BA120" s="1492"/>
      <c r="BB120" s="1492"/>
      <c r="BC120" s="1492"/>
    </row>
    <row r="121" spans="1:58" s="192" customFormat="1" ht="25.9" customHeight="1" collapsed="1" x14ac:dyDescent="0.25">
      <c r="B121" s="734" t="s">
        <v>361</v>
      </c>
      <c r="C121" s="281">
        <f>IF('R&amp;C-Painel de Controle'!$D$25="Sim",(C125+C128+C131+C134+C137+C140+C143+C146)*('R&amp;C-Painel de Controle'!$D$26),0)</f>
        <v>0</v>
      </c>
      <c r="D121" s="281">
        <f>IF('R&amp;C-Painel de Controle'!$D$25="Sim",(D125+D128+D131+D134+D137+D140+D143+D146)*('R&amp;C-Painel de Controle'!$D$26),0)</f>
        <v>0</v>
      </c>
      <c r="E121" s="281">
        <f>IF('R&amp;C-Painel de Controle'!$D$25="Sim",(E125+E128+E131+E134+E137+E140+E143+E146)*('R&amp;C-Painel de Controle'!$D$26),0)</f>
        <v>0</v>
      </c>
      <c r="F121" s="281">
        <f>IF('R&amp;C-Painel de Controle'!$D$25="Sim",(F125+F128+F131+F134+F137+F140+F143+F146)*('R&amp;C-Painel de Controle'!$D$26),0)</f>
        <v>0</v>
      </c>
      <c r="G121" s="281">
        <f>IF('R&amp;C-Painel de Controle'!$D$25="Sim",(G125+G128+G131+G134+G137+G140+G143+G146)*('R&amp;C-Painel de Controle'!$D$26),0)</f>
        <v>0</v>
      </c>
      <c r="H121" s="281">
        <f>IF('R&amp;C-Painel de Controle'!$D$25="Sim",(H125+H128+H131+H134+H137+H140+H143+H146)*('R&amp;C-Painel de Controle'!$D$26),0)</f>
        <v>0</v>
      </c>
      <c r="I121" s="281">
        <f>IF('R&amp;C-Painel de Controle'!$D$25="Sim",(I125+I128+I131+I134+I137+I140+I143+I146)*('R&amp;C-Painel de Controle'!$D$26),0)</f>
        <v>0</v>
      </c>
      <c r="J121" s="281">
        <f>IF('R&amp;C-Painel de Controle'!$D$25="Sim",(J125+J128+J131+J134+J137+J140+J143+J146)*('R&amp;C-Painel de Controle'!$D$26),0)</f>
        <v>0</v>
      </c>
      <c r="K121" s="281">
        <f>IF('R&amp;C-Painel de Controle'!$D$25="Sim",(K125+K128+K131+K134+K137+K140+K143+K146)*('R&amp;C-Painel de Controle'!$D$26),0)</f>
        <v>0</v>
      </c>
      <c r="L121" s="281">
        <f>IF('R&amp;C-Painel de Controle'!$D$25="Sim",(L125+L128+L131+L134+L137+L140+L143+L146)*('R&amp;C-Painel de Controle'!$D$26),0)</f>
        <v>0</v>
      </c>
      <c r="M121" s="281">
        <f>IF('R&amp;C-Painel de Controle'!$D$25="Sim",(M125+M128+M131+M134+M137+M140+M143+M146)*('R&amp;C-Painel de Controle'!$D$26),0)</f>
        <v>0</v>
      </c>
      <c r="N121" s="281">
        <f>IF('R&amp;C-Painel de Controle'!$D$25="Sim",(N125+N128+N131+N134+N137+N140+N143+N146)*('R&amp;C-Painel de Controle'!$D$26),0)</f>
        <v>0</v>
      </c>
      <c r="O121" s="281">
        <f>IF('R&amp;C-Painel de Controle'!$D$25="Sim",(O125+O128+O131+O134+O137+O140+O143+O146)*('R&amp;C-Painel de Controle'!$D$26),0)</f>
        <v>0</v>
      </c>
      <c r="P121" s="281">
        <f>IF('R&amp;C-Painel de Controle'!$D$25="Sim",(P125+P128+P131+P134+P137+P140+P143+P146)*('R&amp;C-Painel de Controle'!$D$26),0)</f>
        <v>0</v>
      </c>
      <c r="Q121" s="281">
        <f>IF('R&amp;C-Painel de Controle'!$D$25="Sim",(Q125+Q128+Q131+Q134+Q137+Q140+Q143+Q146)*('R&amp;C-Painel de Controle'!$D$26),0)</f>
        <v>0</v>
      </c>
      <c r="R121" s="281">
        <f>IF('R&amp;C-Painel de Controle'!$D$25="Sim",(R125+R128+R131+R134+R137+R140+R143+R146)*('R&amp;C-Painel de Controle'!$D$26),0)</f>
        <v>0</v>
      </c>
      <c r="S121" s="281">
        <f>IF('R&amp;C-Painel de Controle'!$D$25="Sim",(S125+S128+S131+S134+S137+S140+S143+S146)*('R&amp;C-Painel de Controle'!$D$26),0)</f>
        <v>0</v>
      </c>
      <c r="T121" s="281">
        <f>IF('R&amp;C-Painel de Controle'!$D$25="Sim",(T125+T128+T131+T134+T137+T140+T143+T146)*('R&amp;C-Painel de Controle'!$D$26),0)</f>
        <v>0</v>
      </c>
      <c r="U121" s="281">
        <f>IF('R&amp;C-Painel de Controle'!$D$25="Sim",(U125+U128+U131+U134+U137+U140+U143+U146)*('R&amp;C-Painel de Controle'!$D$26),0)</f>
        <v>0</v>
      </c>
      <c r="V121" s="281">
        <f>IF('R&amp;C-Painel de Controle'!$D$25="Sim",(V125+V128+V131+V134+V137+V140+V143+V146)*('R&amp;C-Painel de Controle'!$D$26),0)</f>
        <v>0</v>
      </c>
      <c r="W121" s="281">
        <f>IF('R&amp;C-Painel de Controle'!$D$25="Sim",(W125+W128+W131+W134+W137+W140+W143+W146)*('R&amp;C-Painel de Controle'!$D$26),0)</f>
        <v>0</v>
      </c>
      <c r="X121" s="281">
        <f>IF('R&amp;C-Painel de Controle'!$D$25="Sim",(X125+X128+X131+X134+X137+X140+X143+X146)*('R&amp;C-Painel de Controle'!$D$26),0)</f>
        <v>0</v>
      </c>
      <c r="Y121" s="281">
        <f>IF('R&amp;C-Painel de Controle'!$D$25="Sim",(Y125+Y128+Y131+Y134+Y137+Y140+Y143+Y146)*('R&amp;C-Painel de Controle'!$D$26),0)</f>
        <v>0</v>
      </c>
      <c r="Z121" s="281">
        <f>IF('R&amp;C-Painel de Controle'!$D$25="Sim",(Z125+Z128+Z131+Z134+Z137+Z140+Z143+Z146)*('R&amp;C-Painel de Controle'!$D$26),0)</f>
        <v>0</v>
      </c>
      <c r="AA121" s="281">
        <f>IF('R&amp;C-Painel de Controle'!$D$25="Sim",(AA125+AA128+AA131+AA134+AA137+AA140+AA143+AA146)*('R&amp;C-Painel de Controle'!$D$26),0)</f>
        <v>0</v>
      </c>
      <c r="AB121" s="281">
        <f>IF('R&amp;C-Painel de Controle'!$D$25="Sim",(AB125+AB128+AB131+AB134+AB137+AB140+AB143+AB146)*('R&amp;C-Painel de Controle'!$D$26),0)</f>
        <v>0</v>
      </c>
      <c r="AC121" s="281">
        <f>IF('R&amp;C-Painel de Controle'!$D$25="Sim",(AC125+AC128+AC131+AC134+AC137+AC140+AC143+AC146)*('R&amp;C-Painel de Controle'!$D$26),0)</f>
        <v>0</v>
      </c>
      <c r="AD121" s="281">
        <f>IF('R&amp;C-Painel de Controle'!$D$25="Sim",(AD125+AD128+AD131+AD134+AD137+AD140+AD143+AD146)*('R&amp;C-Painel de Controle'!$D$26),0)</f>
        <v>0</v>
      </c>
      <c r="AE121" s="281">
        <f>IF('R&amp;C-Painel de Controle'!$D$25="Sim",(AE125+AE128+AE131+AE134+AE137+AE140+AE143+AE146)*('R&amp;C-Painel de Controle'!$D$26),0)</f>
        <v>0</v>
      </c>
      <c r="AF121" s="281">
        <f>IF('R&amp;C-Painel de Controle'!$D$25="Sim",(AF125+AF128+AF131+AF134+AF137+AF140+AF143+AF146)*('R&amp;C-Painel de Controle'!$D$26),0)</f>
        <v>0</v>
      </c>
      <c r="AG121" s="281">
        <f>IF('R&amp;C-Painel de Controle'!$D$25="Sim",(AG125+AG128+AG131+AG134+AG137+AG140+AG143+AG146)*('R&amp;C-Painel de Controle'!$D$26),0)</f>
        <v>0</v>
      </c>
      <c r="AH121" s="281">
        <f>IF('R&amp;C-Painel de Controle'!$D$25="Sim",(AH125+AH128+AH131+AH134+AH137+AH140+AH143+AH146)*('R&amp;C-Painel de Controle'!$D$26),0)</f>
        <v>0</v>
      </c>
      <c r="AI121" s="281">
        <f>IF('R&amp;C-Painel de Controle'!$D$25="Sim",(AI125+AI128+AI131+AI134+AI137+AI140+AI143+AI146)*('R&amp;C-Painel de Controle'!$D$26),0)</f>
        <v>0</v>
      </c>
      <c r="AJ121" s="281">
        <f>IF('R&amp;C-Painel de Controle'!$D$25="Sim",(AJ125+AJ128+AJ131+AJ134+AJ137+AJ140+AJ143+AJ146)*('R&amp;C-Painel de Controle'!$D$26),0)</f>
        <v>0</v>
      </c>
      <c r="AK121" s="281">
        <f>IF('R&amp;C-Painel de Controle'!$D$25="Sim",(AK125+AK128+AK131+AK134+AK137+AK140+AK143+AK146)*('R&amp;C-Painel de Controle'!$D$26),0)</f>
        <v>0</v>
      </c>
      <c r="AL121" s="281">
        <f>IF('R&amp;C-Painel de Controle'!$D$25="Sim",(AL125+AL128+AL131+AL134+AL137+AL140+AL143+AL146)*('R&amp;C-Painel de Controle'!$D$26),0)</f>
        <v>0</v>
      </c>
      <c r="AM121" s="281">
        <f>IF('R&amp;C-Painel de Controle'!$D$25="Sim",(AM125+AM128+AM131+AM134+AM137+AM140+AM143+AM146)*('R&amp;C-Painel de Controle'!$D$26),0)</f>
        <v>0</v>
      </c>
      <c r="AN121" s="281">
        <f>IF('R&amp;C-Painel de Controle'!$D$25="Sim",(AN125+AN128+AN131+AN134+AN137+AN140+AN143+AN146)*('R&amp;C-Painel de Controle'!$D$26),0)</f>
        <v>0</v>
      </c>
      <c r="AO121" s="281">
        <f>IF('R&amp;C-Painel de Controle'!$D$25="Sim",(AO125+AO128+AO131+AO134+AO137+AO140+AO143+AO146)*('R&amp;C-Painel de Controle'!$D$26),0)</f>
        <v>0</v>
      </c>
      <c r="AP121" s="281">
        <f>IF('R&amp;C-Painel de Controle'!$D$25="Sim",(AP125+AP128+AP131+AP134+AP137+AP140+AP143+AP146)*('R&amp;C-Painel de Controle'!$D$26),0)</f>
        <v>0</v>
      </c>
      <c r="AQ121" s="281">
        <f>IF('R&amp;C-Painel de Controle'!$D$25="Sim",(AQ125+AQ128+AQ131+AQ134+AQ137+AQ140+AQ143+AQ146)*('R&amp;C-Painel de Controle'!$D$26),0)</f>
        <v>0</v>
      </c>
      <c r="AR121" s="281">
        <f>IF('R&amp;C-Painel de Controle'!$D$25="Sim",(AR125+AR128+AR131+AR134+AR137+AR140+AR143+AR146)*('R&amp;C-Painel de Controle'!$D$26),0)</f>
        <v>0</v>
      </c>
      <c r="AS121" s="281">
        <f>IF('R&amp;C-Painel de Controle'!$D$25="Sim",(AS125+AS128+AS131+AS134+AS137+AS140+AS143+AS146)*('R&amp;C-Painel de Controle'!$D$26),0)</f>
        <v>0</v>
      </c>
      <c r="AT121" s="281">
        <f>IF('R&amp;C-Painel de Controle'!$D$25="Sim",(AT125+AT128+AT131+AT134+AT137+AT140+AT143+AT146)*('R&amp;C-Painel de Controle'!$D$26),0)</f>
        <v>0</v>
      </c>
      <c r="AU121" s="281">
        <f>IF('R&amp;C-Painel de Controle'!$D$25="Sim",(AU125+AU128+AU131+AU134+AU137+AU140+AU143+AU146)*('R&amp;C-Painel de Controle'!$D$26),0)</f>
        <v>0</v>
      </c>
      <c r="AV121" s="281">
        <f>IF('R&amp;C-Painel de Controle'!$D$25="Sim",(AV125+AV128+AV131+AV134+AV137+AV140+AV143+AV146)*('R&amp;C-Painel de Controle'!$D$26),0)</f>
        <v>0</v>
      </c>
      <c r="AW121" s="281">
        <f>IF('R&amp;C-Painel de Controle'!$D$25="Sim",(AW125+AW128+AW131+AW134+AW137+AW140+AW143+AW146)*('R&amp;C-Painel de Controle'!$D$26),0)</f>
        <v>0</v>
      </c>
      <c r="AX121" s="281">
        <f>IF('R&amp;C-Painel de Controle'!$D$25="Sim",(AX125+AX128+AX131+AX134+AX137+AX140+AX143+AX146)*('R&amp;C-Painel de Controle'!$D$26),0)</f>
        <v>0</v>
      </c>
      <c r="AY121" s="281">
        <f>IF('R&amp;C-Painel de Controle'!$D$25="Sim",(AY125+AY128+AY131+AY134+AY137+AY140+AY143+AY146)*('R&amp;C-Painel de Controle'!$D$26),0)</f>
        <v>0</v>
      </c>
      <c r="AZ121" s="281">
        <f>IF('R&amp;C-Painel de Controle'!$D$25="Sim",(AZ125+AZ128+AZ131+AZ134+AZ137+AZ140+AZ143+AZ146)*('R&amp;C-Painel de Controle'!$D$26),0)</f>
        <v>0</v>
      </c>
      <c r="BA121" s="281">
        <f>IF('R&amp;C-Painel de Controle'!$D$25="Sim",(BA125+BA128+BA131+BA134+BA137+BA140+BA143+BA146)*('R&amp;C-Painel de Controle'!$D$26),0)</f>
        <v>0</v>
      </c>
      <c r="BB121" s="281">
        <f>IF('R&amp;C-Painel de Controle'!$D$25="Sim",(BB125+BB128+BB131+BB134+BB137+BB140+BB143+BB146)*('R&amp;C-Painel de Controle'!$D$26),0)</f>
        <v>0</v>
      </c>
      <c r="BC121" s="281">
        <f>IF('R&amp;C-Painel de Controle'!$D$25="Sim",(BC125+BC128+BC131+BC134+BC137+BC140+BC143+BC146)*('R&amp;C-Painel de Controle'!$D$26),0)</f>
        <v>0</v>
      </c>
    </row>
    <row r="122" spans="1:58" s="192" customFormat="1" ht="18" hidden="1" customHeight="1" outlineLevel="1" x14ac:dyDescent="0.25">
      <c r="A122" s="277"/>
      <c r="B122" s="257" t="s">
        <v>356</v>
      </c>
      <c r="C122" s="1491">
        <f t="shared" ref="C122:AH122" si="49">C121/(1+$C$28)^C32</f>
        <v>0</v>
      </c>
      <c r="D122" s="1491">
        <f t="shared" si="49"/>
        <v>0</v>
      </c>
      <c r="E122" s="1491">
        <f t="shared" si="49"/>
        <v>0</v>
      </c>
      <c r="F122" s="1491">
        <f t="shared" si="49"/>
        <v>0</v>
      </c>
      <c r="G122" s="1491">
        <f t="shared" si="49"/>
        <v>0</v>
      </c>
      <c r="H122" s="1491">
        <f t="shared" si="49"/>
        <v>0</v>
      </c>
      <c r="I122" s="1491">
        <f t="shared" si="49"/>
        <v>0</v>
      </c>
      <c r="J122" s="1491">
        <f t="shared" si="49"/>
        <v>0</v>
      </c>
      <c r="K122" s="1491">
        <f t="shared" si="49"/>
        <v>0</v>
      </c>
      <c r="L122" s="1491">
        <f t="shared" si="49"/>
        <v>0</v>
      </c>
      <c r="M122" s="1491">
        <f t="shared" si="49"/>
        <v>0</v>
      </c>
      <c r="N122" s="1491">
        <f t="shared" si="49"/>
        <v>0</v>
      </c>
      <c r="O122" s="1491">
        <f t="shared" si="49"/>
        <v>0</v>
      </c>
      <c r="P122" s="1491">
        <f t="shared" si="49"/>
        <v>0</v>
      </c>
      <c r="Q122" s="1491">
        <f t="shared" si="49"/>
        <v>0</v>
      </c>
      <c r="R122" s="1491">
        <f t="shared" si="49"/>
        <v>0</v>
      </c>
      <c r="S122" s="1491">
        <f t="shared" si="49"/>
        <v>0</v>
      </c>
      <c r="T122" s="1491">
        <f t="shared" si="49"/>
        <v>0</v>
      </c>
      <c r="U122" s="1491">
        <f t="shared" si="49"/>
        <v>0</v>
      </c>
      <c r="V122" s="1491">
        <f t="shared" si="49"/>
        <v>0</v>
      </c>
      <c r="W122" s="1491">
        <f t="shared" si="49"/>
        <v>0</v>
      </c>
      <c r="X122" s="1491">
        <f t="shared" si="49"/>
        <v>0</v>
      </c>
      <c r="Y122" s="1491">
        <f t="shared" si="49"/>
        <v>0</v>
      </c>
      <c r="Z122" s="1491">
        <f t="shared" si="49"/>
        <v>0</v>
      </c>
      <c r="AA122" s="1491">
        <f t="shared" si="49"/>
        <v>0</v>
      </c>
      <c r="AB122" s="1491">
        <f t="shared" si="49"/>
        <v>0</v>
      </c>
      <c r="AC122" s="1491">
        <f t="shared" si="49"/>
        <v>0</v>
      </c>
      <c r="AD122" s="1491">
        <f t="shared" si="49"/>
        <v>0</v>
      </c>
      <c r="AE122" s="1491">
        <f t="shared" si="49"/>
        <v>0</v>
      </c>
      <c r="AF122" s="1491">
        <f t="shared" si="49"/>
        <v>0</v>
      </c>
      <c r="AG122" s="1491">
        <f t="shared" si="49"/>
        <v>0</v>
      </c>
      <c r="AH122" s="1491">
        <f t="shared" si="49"/>
        <v>0</v>
      </c>
      <c r="AI122" s="1491">
        <f t="shared" ref="AI122:BC122" si="50">AI121/(1+$C$28)^AI32</f>
        <v>0</v>
      </c>
      <c r="AJ122" s="1491">
        <f t="shared" si="50"/>
        <v>0</v>
      </c>
      <c r="AK122" s="1491">
        <f t="shared" si="50"/>
        <v>0</v>
      </c>
      <c r="AL122" s="1491">
        <f t="shared" si="50"/>
        <v>0</v>
      </c>
      <c r="AM122" s="1491">
        <f t="shared" si="50"/>
        <v>0</v>
      </c>
      <c r="AN122" s="1491">
        <f t="shared" si="50"/>
        <v>0</v>
      </c>
      <c r="AO122" s="1491">
        <f t="shared" si="50"/>
        <v>0</v>
      </c>
      <c r="AP122" s="1491">
        <f t="shared" si="50"/>
        <v>0</v>
      </c>
      <c r="AQ122" s="1491">
        <f t="shared" si="50"/>
        <v>0</v>
      </c>
      <c r="AR122" s="1491">
        <f t="shared" si="50"/>
        <v>0</v>
      </c>
      <c r="AS122" s="1491">
        <f t="shared" si="50"/>
        <v>0</v>
      </c>
      <c r="AT122" s="1491">
        <f t="shared" si="50"/>
        <v>0</v>
      </c>
      <c r="AU122" s="1491">
        <f t="shared" si="50"/>
        <v>0</v>
      </c>
      <c r="AV122" s="1491">
        <f t="shared" si="50"/>
        <v>0</v>
      </c>
      <c r="AW122" s="1491">
        <f t="shared" si="50"/>
        <v>0</v>
      </c>
      <c r="AX122" s="1491">
        <f t="shared" si="50"/>
        <v>0</v>
      </c>
      <c r="AY122" s="1491">
        <f t="shared" si="50"/>
        <v>0</v>
      </c>
      <c r="AZ122" s="1491">
        <f t="shared" si="50"/>
        <v>0</v>
      </c>
      <c r="BA122" s="1491">
        <f t="shared" si="50"/>
        <v>0</v>
      </c>
      <c r="BB122" s="1491">
        <f t="shared" si="50"/>
        <v>0</v>
      </c>
      <c r="BC122" s="1491">
        <f t="shared" si="50"/>
        <v>0</v>
      </c>
      <c r="BD122" s="277"/>
      <c r="BE122" s="277"/>
      <c r="BF122" s="277"/>
    </row>
    <row r="123" spans="1:58" s="192" customFormat="1" ht="18" hidden="1" customHeight="1" outlineLevel="1" x14ac:dyDescent="0.25">
      <c r="B123" s="732" t="str">
        <f>B92</f>
        <v>Triagem Manual — Seletivos</v>
      </c>
      <c r="C123" s="291" t="str">
        <f>C92</f>
        <v>Não</v>
      </c>
      <c r="D123" s="291">
        <f>D92</f>
        <v>0</v>
      </c>
      <c r="R123" s="274"/>
    </row>
    <row r="124" spans="1:58" s="192" customFormat="1" ht="18" hidden="1" customHeight="1" outlineLevel="1" x14ac:dyDescent="0.25">
      <c r="B124" s="260"/>
      <c r="C124" s="292"/>
      <c r="D124" s="289"/>
      <c r="E124" s="292"/>
      <c r="F124" s="292"/>
      <c r="G124" s="292"/>
      <c r="H124" s="292"/>
      <c r="I124" s="292"/>
      <c r="J124" s="292"/>
      <c r="K124" s="292"/>
      <c r="L124" s="292"/>
      <c r="M124" s="292"/>
      <c r="N124" s="292"/>
      <c r="O124" s="292"/>
      <c r="P124" s="292"/>
      <c r="Q124" s="292"/>
      <c r="R124" s="292"/>
      <c r="S124" s="292"/>
      <c r="T124" s="292"/>
      <c r="U124" s="292"/>
      <c r="V124" s="292"/>
      <c r="W124" s="292"/>
      <c r="X124" s="292"/>
      <c r="Y124" s="292"/>
      <c r="Z124" s="292"/>
      <c r="AA124" s="292"/>
      <c r="AB124" s="292"/>
      <c r="AC124" s="292"/>
      <c r="AD124" s="292"/>
      <c r="AE124" s="292"/>
      <c r="AF124" s="292"/>
      <c r="AG124" s="292"/>
      <c r="AH124" s="292"/>
      <c r="AI124" s="292"/>
      <c r="AJ124" s="292"/>
      <c r="AK124" s="292"/>
      <c r="AL124" s="292"/>
      <c r="AM124" s="292"/>
      <c r="AN124" s="292"/>
      <c r="AO124" s="292"/>
      <c r="AP124" s="292"/>
      <c r="AQ124" s="292"/>
      <c r="AR124" s="292"/>
      <c r="AS124" s="292"/>
      <c r="AT124" s="292"/>
      <c r="AU124" s="292"/>
      <c r="AV124" s="292"/>
      <c r="AW124" s="292"/>
      <c r="AX124" s="292"/>
      <c r="AY124" s="292"/>
      <c r="AZ124" s="292"/>
      <c r="BA124" s="292"/>
      <c r="BB124" s="292"/>
      <c r="BC124" s="292"/>
      <c r="BD124" s="274"/>
      <c r="BE124" s="274"/>
      <c r="BF124" s="274"/>
    </row>
    <row r="125" spans="1:58" s="192" customFormat="1" ht="18" hidden="1" customHeight="1" outlineLevel="1" x14ac:dyDescent="0.25">
      <c r="B125" s="260" t="s">
        <v>362</v>
      </c>
      <c r="C125" s="299">
        <v>0</v>
      </c>
      <c r="D125" s="300">
        <v>0</v>
      </c>
      <c r="E125" s="299">
        <v>0</v>
      </c>
      <c r="F125" s="299">
        <v>0</v>
      </c>
      <c r="G125" s="299">
        <v>0</v>
      </c>
      <c r="H125" s="299">
        <v>0</v>
      </c>
      <c r="I125" s="299">
        <v>0</v>
      </c>
      <c r="J125" s="299">
        <v>0</v>
      </c>
      <c r="K125" s="299">
        <v>0</v>
      </c>
      <c r="L125" s="299">
        <v>0</v>
      </c>
      <c r="M125" s="299">
        <v>0</v>
      </c>
      <c r="N125" s="299">
        <v>0</v>
      </c>
      <c r="O125" s="299">
        <v>0</v>
      </c>
      <c r="P125" s="299">
        <v>0</v>
      </c>
      <c r="Q125" s="299">
        <v>0</v>
      </c>
      <c r="R125" s="299">
        <v>0</v>
      </c>
      <c r="S125" s="299">
        <v>0</v>
      </c>
      <c r="T125" s="299">
        <v>0</v>
      </c>
      <c r="U125" s="299">
        <v>0</v>
      </c>
      <c r="V125" s="299">
        <v>0</v>
      </c>
      <c r="W125" s="299">
        <v>0</v>
      </c>
      <c r="X125" s="299">
        <v>0</v>
      </c>
      <c r="Y125" s="299">
        <v>0</v>
      </c>
      <c r="Z125" s="299">
        <v>0</v>
      </c>
      <c r="AA125" s="299">
        <v>0</v>
      </c>
      <c r="AB125" s="299">
        <v>0</v>
      </c>
      <c r="AC125" s="299">
        <v>0</v>
      </c>
      <c r="AD125" s="299">
        <v>0</v>
      </c>
      <c r="AE125" s="299">
        <v>0</v>
      </c>
      <c r="AF125" s="299">
        <v>0</v>
      </c>
      <c r="AG125" s="299">
        <v>0</v>
      </c>
      <c r="AH125" s="299">
        <v>0</v>
      </c>
      <c r="AI125" s="299">
        <v>0</v>
      </c>
      <c r="AJ125" s="299">
        <v>0</v>
      </c>
      <c r="AK125" s="299">
        <v>0</v>
      </c>
      <c r="AL125" s="299">
        <v>0</v>
      </c>
      <c r="AM125" s="299">
        <v>0</v>
      </c>
      <c r="AN125" s="299">
        <v>0</v>
      </c>
      <c r="AO125" s="299">
        <v>0</v>
      </c>
      <c r="AP125" s="299">
        <v>0</v>
      </c>
      <c r="AQ125" s="299">
        <v>0</v>
      </c>
      <c r="AR125" s="299">
        <v>0</v>
      </c>
      <c r="AS125" s="299">
        <v>0</v>
      </c>
      <c r="AT125" s="299">
        <v>0</v>
      </c>
      <c r="AU125" s="299">
        <v>0</v>
      </c>
      <c r="AV125" s="299">
        <v>0</v>
      </c>
      <c r="AW125" s="299">
        <v>0</v>
      </c>
      <c r="AX125" s="299">
        <v>0</v>
      </c>
      <c r="AY125" s="299">
        <v>0</v>
      </c>
      <c r="AZ125" s="299">
        <v>0</v>
      </c>
      <c r="BA125" s="299">
        <v>0</v>
      </c>
      <c r="BB125" s="299">
        <v>0</v>
      </c>
      <c r="BC125" s="299">
        <v>0</v>
      </c>
      <c r="BD125" s="280"/>
      <c r="BE125" s="280"/>
      <c r="BF125" s="280"/>
    </row>
    <row r="126" spans="1:58" s="192" customFormat="1" ht="18" hidden="1" customHeight="1" outlineLevel="1" x14ac:dyDescent="0.25">
      <c r="B126" s="732" t="str">
        <f>B95</f>
        <v>Triagem Mecanizada</v>
      </c>
      <c r="C126" s="291" t="str">
        <f>C95</f>
        <v>Sim</v>
      </c>
      <c r="D126" s="291">
        <f>D95</f>
        <v>146467.94871794875</v>
      </c>
      <c r="E126" s="1274"/>
      <c r="F126" s="1274"/>
      <c r="G126" s="1274"/>
      <c r="H126" s="1274"/>
      <c r="I126" s="1274"/>
      <c r="J126" s="1274"/>
      <c r="K126" s="1274"/>
      <c r="L126" s="1274"/>
      <c r="M126" s="1274"/>
      <c r="N126" s="1274"/>
      <c r="O126" s="1274"/>
      <c r="P126" s="1274"/>
      <c r="Q126" s="1274"/>
      <c r="R126" s="1274"/>
      <c r="S126" s="1274"/>
      <c r="T126" s="1274"/>
      <c r="U126" s="1274"/>
      <c r="V126" s="1274"/>
      <c r="W126" s="1274"/>
      <c r="X126" s="1274"/>
      <c r="Y126" s="1274"/>
      <c r="Z126" s="1274"/>
      <c r="AA126" s="1274"/>
      <c r="AB126" s="1274"/>
      <c r="AC126" s="1274"/>
      <c r="AD126" s="1274"/>
      <c r="AE126" s="1274"/>
      <c r="AF126" s="1274"/>
      <c r="AG126" s="1274"/>
      <c r="AH126" s="1274"/>
      <c r="AI126" s="1274"/>
      <c r="AJ126" s="1274"/>
      <c r="AK126" s="1274"/>
      <c r="AL126" s="1274"/>
      <c r="AM126" s="1274"/>
      <c r="AN126" s="1274"/>
      <c r="AO126" s="1274"/>
      <c r="AP126" s="1274"/>
      <c r="AQ126" s="1274"/>
      <c r="AR126" s="1274"/>
      <c r="AS126" s="1274"/>
      <c r="AT126" s="1274"/>
      <c r="AU126" s="1274"/>
      <c r="AV126" s="1274"/>
      <c r="AW126" s="1274"/>
      <c r="AX126" s="1274"/>
      <c r="AY126" s="1274"/>
      <c r="AZ126" s="1274"/>
      <c r="BA126" s="1274"/>
      <c r="BB126" s="1274"/>
      <c r="BC126" s="740"/>
      <c r="BD126" s="274"/>
      <c r="BE126" s="274"/>
      <c r="BF126" s="274"/>
    </row>
    <row r="127" spans="1:58" s="192" customFormat="1" ht="18" hidden="1" customHeight="1" outlineLevel="1" x14ac:dyDescent="0.25">
      <c r="B127" s="260"/>
      <c r="C127" s="292"/>
      <c r="D127" s="289"/>
      <c r="E127" s="292"/>
      <c r="F127" s="292"/>
      <c r="G127" s="292"/>
      <c r="H127" s="292"/>
      <c r="I127" s="292"/>
      <c r="J127" s="292"/>
      <c r="K127" s="292"/>
      <c r="L127" s="292"/>
      <c r="M127" s="292"/>
      <c r="N127" s="292"/>
      <c r="O127" s="292"/>
      <c r="P127" s="292"/>
      <c r="Q127" s="292"/>
      <c r="R127" s="292"/>
      <c r="S127" s="292"/>
      <c r="T127" s="292"/>
      <c r="U127" s="292"/>
      <c r="V127" s="292"/>
      <c r="W127" s="292"/>
      <c r="X127" s="292"/>
      <c r="Y127" s="292"/>
      <c r="Z127" s="292"/>
      <c r="AA127" s="292"/>
      <c r="AB127" s="292"/>
      <c r="AC127" s="292"/>
      <c r="AD127" s="292"/>
      <c r="AE127" s="292"/>
      <c r="AF127" s="292"/>
      <c r="AG127" s="292"/>
      <c r="AH127" s="292"/>
      <c r="AI127" s="292"/>
      <c r="AJ127" s="292"/>
      <c r="AK127" s="292"/>
      <c r="AL127" s="292"/>
      <c r="AM127" s="292"/>
      <c r="AN127" s="292"/>
      <c r="AO127" s="292"/>
      <c r="AP127" s="292"/>
      <c r="AQ127" s="292"/>
      <c r="AR127" s="292"/>
      <c r="AS127" s="292"/>
      <c r="AT127" s="292"/>
      <c r="AU127" s="292"/>
      <c r="AV127" s="292"/>
      <c r="AW127" s="292"/>
      <c r="AX127" s="292"/>
      <c r="AY127" s="292"/>
      <c r="AZ127" s="292"/>
      <c r="BA127" s="292"/>
      <c r="BB127" s="292"/>
      <c r="BC127" s="292"/>
      <c r="BD127" s="274"/>
      <c r="BE127" s="274"/>
      <c r="BF127" s="274"/>
    </row>
    <row r="128" spans="1:58" s="192" customFormat="1" ht="18" hidden="1" customHeight="1" outlineLevel="1" x14ac:dyDescent="0.25">
      <c r="B128" s="260" t="s">
        <v>362</v>
      </c>
      <c r="C128" s="299">
        <v>0</v>
      </c>
      <c r="D128" s="300">
        <f>IF(D42&gt;0,'R&amp;C-Painel de Controle'!$O$56*D35*(1-0.0925)*(1-'R&amp;C-Painel de Controle'!$D$100*(1-$C$11))/1000000,0)</f>
        <v>0</v>
      </c>
      <c r="E128" s="300">
        <f>IF(E42&gt;0,'R&amp;C-Painel de Controle'!$O$56*E35*(1-0.0925)*(1-'R&amp;C-Painel de Controle'!$D$100*(1-$C$11))/1000000,0)</f>
        <v>0</v>
      </c>
      <c r="F128" s="300">
        <f>IF(F42&gt;0,'R&amp;C-Painel de Controle'!$O$56*F35*(1-0.0925)*(1-'R&amp;C-Painel de Controle'!$D$100*(1-$C$11))/1000000,0)</f>
        <v>0</v>
      </c>
      <c r="G128" s="300">
        <f>IF(G42&gt;0,'R&amp;C-Painel de Controle'!$O$56*G35*(1-0.0925)*(1-'R&amp;C-Painel de Controle'!$D$100*(1-$C$11))/1000000,0)</f>
        <v>0</v>
      </c>
      <c r="H128" s="300">
        <f>IF(H42&gt;0,'R&amp;C-Painel de Controle'!$O$56*(1-0.0925)*(1-'R&amp;C-Painel de Controle'!$D$100*(1-$C$11))*H35/1000000,0)</f>
        <v>0</v>
      </c>
      <c r="I128" s="300">
        <f>IF(I42&gt;0,'R&amp;C-Painel de Controle'!$O$56*(1-0.0925)*(1-'R&amp;C-Painel de Controle'!$D$100*(1-$C$11))*I35/1000000,0)</f>
        <v>0</v>
      </c>
      <c r="J128" s="300">
        <f>IF(J42&gt;0,'R&amp;C-Painel de Controle'!$O$56*(1-0.0925)*(1-'R&amp;C-Painel de Controle'!$D$100*(1-$C$11))*J35/1000000,0)</f>
        <v>0</v>
      </c>
      <c r="K128" s="300">
        <f>IF(K42&gt;0,'R&amp;C-Painel de Controle'!$O$56*(1-0.0925)*(1-'R&amp;C-Painel de Controle'!$D$100*(1-$C$11))*K35/1000000,0)</f>
        <v>0</v>
      </c>
      <c r="L128" s="300">
        <f>IF(L42&gt;0,'R&amp;C-Painel de Controle'!$O$56*(1-0.0925)*(1-'R&amp;C-Painel de Controle'!$D$100*(1-$C$11))*L35/1000000,0)</f>
        <v>0</v>
      </c>
      <c r="M128" s="300">
        <f>IF(M42&gt;0,'R&amp;C-Painel de Controle'!$O$56*(1-0.0925)*(1-'R&amp;C-Painel de Controle'!$D$100*(1-$C$11))*M35/1000000,0)</f>
        <v>0</v>
      </c>
      <c r="N128" s="300">
        <f>IF(N42&gt;0,'R&amp;C-Painel de Controle'!$O$56*(1-0.0925)*(1-'R&amp;C-Painel de Controle'!$D$100*(1-$C$11))*N35/1000000,0)</f>
        <v>0</v>
      </c>
      <c r="O128" s="300">
        <f>IF(O42&gt;0,'R&amp;C-Painel de Controle'!$O$56*(1-0.0925)*(1-'R&amp;C-Painel de Controle'!$D$100*(1-$C$11))*O35/1000000,0)</f>
        <v>0</v>
      </c>
      <c r="P128" s="300">
        <f>IF(P42&gt;0,'R&amp;C-Painel de Controle'!$O$56*(1-0.0925)*(1-'R&amp;C-Painel de Controle'!$D$100*(1-$C$11))*P35/1000000,0)</f>
        <v>0</v>
      </c>
      <c r="Q128" s="300">
        <f>IF(Q42&gt;0,'R&amp;C-Painel de Controle'!$O$56*(1-0.0925)*(1-'R&amp;C-Painel de Controle'!$D$100*(1-$C$11))*Q35/1000000,0)</f>
        <v>0</v>
      </c>
      <c r="R128" s="300">
        <f>IF(R42&gt;0,'R&amp;C-Painel de Controle'!$O$56*(1-0.0925)*(1-'R&amp;C-Painel de Controle'!$D$100*(1-$C$11))*R35/1000000,0)</f>
        <v>0</v>
      </c>
      <c r="S128" s="300">
        <f>IF(S42&gt;0,'R&amp;C-Painel de Controle'!$O$56*(1-0.0925)*(1-'R&amp;C-Painel de Controle'!$D$100*(1-$C$11))*S35/1000000,0)</f>
        <v>0</v>
      </c>
      <c r="T128" s="300">
        <f>IF(T42&gt;0,'R&amp;C-Painel de Controle'!$O$56*(1-0.0925)*(1-'R&amp;C-Painel de Controle'!$D$100*(1-$C$11))*T35/1000000,0)</f>
        <v>0</v>
      </c>
      <c r="U128" s="300">
        <f>IF(U42&gt;0,'R&amp;C-Painel de Controle'!$O$56*(1-0.0925)*(1-'R&amp;C-Painel de Controle'!$D$100*(1-$C$11))*U35/1000000,0)</f>
        <v>0</v>
      </c>
      <c r="V128" s="300">
        <f>IF(V42&gt;0,'R&amp;C-Painel de Controle'!$O$56*(1-0.0925)*(1-'R&amp;C-Painel de Controle'!$D$100*(1-$C$11))*V35/1000000,0)</f>
        <v>0</v>
      </c>
      <c r="W128" s="300">
        <f>IF(W42&gt;0,'R&amp;C-Painel de Controle'!$O$56*(1-0.0925)*(1-'R&amp;C-Painel de Controle'!$D$100*(1-$C$11))*W35/1000000,0)</f>
        <v>0</v>
      </c>
      <c r="X128" s="300">
        <f>IF(X42&gt;0,'R&amp;C-Painel de Controle'!$O$56*(1-0.0925)*(1-'R&amp;C-Painel de Controle'!$D$100*(1-$C$11))*X35/1000000,0)</f>
        <v>0</v>
      </c>
      <c r="Y128" s="300">
        <f>IF(Y42&gt;0,'R&amp;C-Painel de Controle'!$O$56*(1-0.0925)*(1-'R&amp;C-Painel de Controle'!$D$100*(1-$C$11))*Y35/1000000,0)</f>
        <v>0</v>
      </c>
      <c r="Z128" s="300">
        <f>IF(Z42&gt;0,'R&amp;C-Painel de Controle'!$O$56*(1-0.0925)*(1-'R&amp;C-Painel de Controle'!$D$100*(1-$C$11))*Z35/1000000,0)</f>
        <v>0</v>
      </c>
      <c r="AA128" s="300">
        <f>IF(AA42&gt;0,'R&amp;C-Painel de Controle'!$O$56*(1-0.0925)*(1-'R&amp;C-Painel de Controle'!$D$100*(1-$C$11))*AA35/1000000,0)</f>
        <v>0</v>
      </c>
      <c r="AB128" s="300">
        <f>IF(AB42&gt;0,'R&amp;C-Painel de Controle'!$O$56*(1-0.0925)*(1-'R&amp;C-Painel de Controle'!$D$100*(1-$C$11))*AB35/1000000,0)</f>
        <v>0</v>
      </c>
      <c r="AC128" s="300">
        <f>IF(AC42&gt;0,'R&amp;C-Painel de Controle'!$O$56*(1-0.0925)*(1-'R&amp;C-Painel de Controle'!$D$100*(1-$C$11))*AC35/1000000,0)</f>
        <v>0</v>
      </c>
      <c r="AD128" s="300">
        <f>IF(AD42&gt;0,'R&amp;C-Painel de Controle'!$O$56*(1-0.0925)*(1-'R&amp;C-Painel de Controle'!$D$100*(1-$C$11))*AD35/1000000,0)</f>
        <v>0</v>
      </c>
      <c r="AE128" s="300">
        <f>IF(AE42&gt;0,'R&amp;C-Painel de Controle'!$O$56*(1-0.0925)*(1-'R&amp;C-Painel de Controle'!$D$100*(1-$C$11))*AE35/1000000,0)</f>
        <v>0</v>
      </c>
      <c r="AF128" s="300">
        <f>IF(AF42&gt;0,'R&amp;C-Painel de Controle'!$O$56*(1-0.0925)*(1-'R&amp;C-Painel de Controle'!$D$100*(1-$C$11))*AF35/1000000,0)</f>
        <v>0</v>
      </c>
      <c r="AG128" s="300">
        <f>IF(AG42&gt;0,'R&amp;C-Painel de Controle'!$O$56*(1-0.0925)*(1-'R&amp;C-Painel de Controle'!$D$100*(1-$C$11))*AG35/1000000,0)</f>
        <v>0</v>
      </c>
      <c r="AH128" s="300">
        <f>IF(AH42&gt;0,'R&amp;C-Painel de Controle'!$O$56*(1-0.0925)*(1-'R&amp;C-Painel de Controle'!$D$100*(1-$C$11))*AH35/1000000,0)</f>
        <v>0</v>
      </c>
      <c r="AI128" s="300">
        <f>IF(AI42&gt;0,'R&amp;C-Painel de Controle'!$O$56*(1-0.0925)*(1-'R&amp;C-Painel de Controle'!$D$100*(1-$C$11))*AI35/1000000,0)</f>
        <v>0</v>
      </c>
      <c r="AJ128" s="300">
        <f>IF(AJ42&gt;0,'R&amp;C-Painel de Controle'!$O$56*(1-0.0925)*(1-'R&amp;C-Painel de Controle'!$D$100*(1-$C$11))*AJ35/1000000,0)</f>
        <v>0</v>
      </c>
      <c r="AK128" s="300">
        <f>IF(AK42&gt;0,'R&amp;C-Painel de Controle'!$O$56*(1-0.0925)*(1-'R&amp;C-Painel de Controle'!$D$100*(1-$C$11))*AK35/1000000,0)</f>
        <v>0</v>
      </c>
      <c r="AL128" s="300">
        <f>IF(AL42&gt;0,'R&amp;C-Painel de Controle'!$O$56*(1-0.0925)*(1-'R&amp;C-Painel de Controle'!$D$100*(1-$C$11))*AL35/1000000,0)</f>
        <v>0</v>
      </c>
      <c r="AM128" s="300">
        <f>IF(AM42&gt;0,'R&amp;C-Painel de Controle'!$O$56*(1-0.0925)*(1-'R&amp;C-Painel de Controle'!$D$100*(1-$C$11))*AM35/1000000,0)</f>
        <v>0</v>
      </c>
      <c r="AN128" s="300">
        <f>IF(AN42&gt;0,'R&amp;C-Painel de Controle'!$O$56*(1-0.0925)*(1-'R&amp;C-Painel de Controle'!$D$100*(1-$C$11))*AN35/1000000,0)</f>
        <v>0</v>
      </c>
      <c r="AO128" s="300">
        <f>IF(AO42&gt;0,'R&amp;C-Painel de Controle'!$O$56*(1-0.0925)*(1-'R&amp;C-Painel de Controle'!$D$100*(1-$C$11))*AO35/1000000,0)</f>
        <v>0</v>
      </c>
      <c r="AP128" s="300">
        <f>IF(AP42&gt;0,'R&amp;C-Painel de Controle'!$O$56*(1-0.0925)*(1-'R&amp;C-Painel de Controle'!$D$100*(1-$C$11))*AP35/1000000,0)</f>
        <v>0</v>
      </c>
      <c r="AQ128" s="300">
        <f>IF(AQ42&gt;0,'R&amp;C-Painel de Controle'!$O$56*(1-0.0925)*(1-'R&amp;C-Painel de Controle'!$D$100*(1-$C$11))*AQ35/1000000,0)</f>
        <v>0</v>
      </c>
      <c r="AR128" s="300">
        <f>IF(AR42&gt;0,'R&amp;C-Painel de Controle'!$O$56*(1-0.0925)*(1-'R&amp;C-Painel de Controle'!$D$100*(1-$C$11))*AR35/1000000,0)</f>
        <v>0</v>
      </c>
      <c r="AS128" s="300">
        <f>IF(AS42&gt;0,'R&amp;C-Painel de Controle'!$O$56*(1-0.0925)*(1-'R&amp;C-Painel de Controle'!$D$100*(1-$C$11))*AS35/1000000,0)</f>
        <v>0</v>
      </c>
      <c r="AT128" s="300">
        <f>IF(AT42&gt;0,'R&amp;C-Painel de Controle'!$O$56*(1-0.0925)*(1-'R&amp;C-Painel de Controle'!$D$100*(1-$C$11))*AT35/1000000,0)</f>
        <v>0</v>
      </c>
      <c r="AU128" s="300">
        <f>IF(AU42&gt;0,'R&amp;C-Painel de Controle'!$O$56*(1-0.0925)*(1-'R&amp;C-Painel de Controle'!$D$100*(1-$C$11))*AU35/1000000,0)</f>
        <v>0</v>
      </c>
      <c r="AV128" s="300">
        <f>IF(AV42&gt;0,'R&amp;C-Painel de Controle'!$O$56*(1-0.0925)*(1-'R&amp;C-Painel de Controle'!$D$100*(1-$C$11))*AV35/1000000,0)</f>
        <v>0</v>
      </c>
      <c r="AW128" s="300">
        <f>IF(AW42&gt;0,'R&amp;C-Painel de Controle'!$O$56*(1-0.0925)*(1-'R&amp;C-Painel de Controle'!$D$100*(1-$C$11))*AW35/1000000,0)</f>
        <v>0</v>
      </c>
      <c r="AX128" s="300">
        <f>IF(AX42&gt;0,'R&amp;C-Painel de Controle'!$O$56*(1-0.0925)*(1-'R&amp;C-Painel de Controle'!$D$100*(1-$C$11))*AX35/1000000,0)</f>
        <v>0</v>
      </c>
      <c r="AY128" s="300">
        <f>IF(AY42&gt;0,'R&amp;C-Painel de Controle'!$O$56*(1-0.0925)*(1-'R&amp;C-Painel de Controle'!$D$100*(1-$C$11))*AY35/1000000,0)</f>
        <v>0</v>
      </c>
      <c r="AZ128" s="300">
        <f>IF(AZ42&gt;0,'R&amp;C-Painel de Controle'!$O$56*(1-0.0925)*(1-'R&amp;C-Painel de Controle'!$D$100*(1-$C$11))*AZ35/1000000,0)</f>
        <v>0</v>
      </c>
      <c r="BA128" s="300">
        <f>IF(BA42&gt;0,'R&amp;C-Painel de Controle'!$O$56*(1-0.0925)*(1-'R&amp;C-Painel de Controle'!$D$100*(1-$C$11))*BA35/1000000,0)</f>
        <v>0</v>
      </c>
      <c r="BB128" s="300">
        <f>IF(BB42&gt;0,'R&amp;C-Painel de Controle'!$O$56*(1-0.0925)*(1-'R&amp;C-Painel de Controle'!$D$100*(1-$C$11))*BB35/1000000,0)</f>
        <v>0</v>
      </c>
      <c r="BC128" s="300">
        <f>IF(BC42&gt;0,'R&amp;C-Painel de Controle'!$O$56*(1-0.0925)*(1-'R&amp;C-Painel de Controle'!$D$100*(1-$C$11))*BC35/1000000,0)</f>
        <v>0</v>
      </c>
      <c r="BD128" s="280"/>
      <c r="BE128" s="280"/>
      <c r="BF128" s="280"/>
    </row>
    <row r="129" spans="2:58" s="192" customFormat="1" ht="18" hidden="1" customHeight="1" outlineLevel="1" x14ac:dyDescent="0.25">
      <c r="B129" s="732" t="str">
        <f>B98</f>
        <v>Produção de CDR TM — Trat. Mec.</v>
      </c>
      <c r="C129" s="291" t="str">
        <f>C98</f>
        <v>Não</v>
      </c>
      <c r="D129" s="291">
        <f>D98</f>
        <v>0</v>
      </c>
      <c r="BC129" s="740"/>
      <c r="BD129" s="274"/>
      <c r="BE129" s="274"/>
      <c r="BF129" s="274"/>
    </row>
    <row r="130" spans="2:58" s="192" customFormat="1" ht="18" hidden="1" customHeight="1" outlineLevel="1" x14ac:dyDescent="0.25">
      <c r="B130" s="260"/>
      <c r="C130" s="292"/>
      <c r="D130" s="289"/>
      <c r="E130" s="292"/>
      <c r="F130" s="292"/>
      <c r="G130" s="292"/>
      <c r="H130" s="292"/>
      <c r="I130" s="292"/>
      <c r="J130" s="292"/>
      <c r="K130" s="292"/>
      <c r="L130" s="292"/>
      <c r="M130" s="292"/>
      <c r="N130" s="292"/>
      <c r="O130" s="292"/>
      <c r="P130" s="292"/>
      <c r="Q130" s="292"/>
      <c r="R130" s="292"/>
      <c r="S130" s="292"/>
      <c r="T130" s="292"/>
      <c r="U130" s="292"/>
      <c r="V130" s="292"/>
      <c r="W130" s="292"/>
      <c r="X130" s="292"/>
      <c r="Y130" s="292"/>
      <c r="Z130" s="292"/>
      <c r="AA130" s="292"/>
      <c r="AB130" s="292"/>
      <c r="AC130" s="292"/>
      <c r="AD130" s="292"/>
      <c r="AE130" s="292"/>
      <c r="AF130" s="292"/>
      <c r="AG130" s="292"/>
      <c r="AH130" s="292"/>
      <c r="AI130" s="292"/>
      <c r="AJ130" s="292"/>
      <c r="AK130" s="292"/>
      <c r="AL130" s="292"/>
      <c r="AM130" s="292"/>
      <c r="AN130" s="292"/>
      <c r="AO130" s="292"/>
      <c r="AP130" s="292"/>
      <c r="AQ130" s="292"/>
      <c r="AR130" s="292"/>
      <c r="AS130" s="292"/>
      <c r="AT130" s="292"/>
      <c r="AU130" s="292"/>
      <c r="AV130" s="292"/>
      <c r="AW130" s="292"/>
      <c r="AX130" s="292"/>
      <c r="AY130" s="292"/>
      <c r="AZ130" s="292"/>
      <c r="BA130" s="292"/>
      <c r="BB130" s="292"/>
      <c r="BC130" s="292"/>
      <c r="BD130" s="274"/>
      <c r="BE130" s="274"/>
      <c r="BF130" s="274"/>
    </row>
    <row r="131" spans="2:58" s="192" customFormat="1" ht="18" hidden="1" customHeight="1" outlineLevel="1" x14ac:dyDescent="0.25">
      <c r="B131" s="260" t="s">
        <v>362</v>
      </c>
      <c r="C131" s="299">
        <v>0</v>
      </c>
      <c r="D131" s="300">
        <f>IF(D45&gt;0,'R&amp;C-Painel de Controle'!$O$59*(1-0.0925)*D35/1000000,0)</f>
        <v>0</v>
      </c>
      <c r="E131" s="300">
        <f>IF(E45&gt;0,'R&amp;C-Painel de Controle'!$O$59*(1-0.0925)*E35/1000000,0)</f>
        <v>0</v>
      </c>
      <c r="F131" s="300">
        <f>IF(F45&gt;0,'R&amp;C-Painel de Controle'!$O$59*(1-0.0925)*F35/1000000,0)</f>
        <v>0</v>
      </c>
      <c r="G131" s="300">
        <f>IF(G45&gt;0,'R&amp;C-Painel de Controle'!$O$59*(1-0.0925)*G35/1000000,0)</f>
        <v>0</v>
      </c>
      <c r="H131" s="300">
        <f>IF(H45&gt;0,'R&amp;C-Painel de Controle'!$O$59*(1-0.0925)*H35/1000000,0)</f>
        <v>0</v>
      </c>
      <c r="I131" s="300">
        <f>IF(I45&gt;0,'R&amp;C-Painel de Controle'!$O$59*(1-0.0925)*I35/1000000,0)</f>
        <v>0</v>
      </c>
      <c r="J131" s="300">
        <f>IF(J45&gt;0,'R&amp;C-Painel de Controle'!$O$59*(1-0.0925)*J35/1000000,0)</f>
        <v>0</v>
      </c>
      <c r="K131" s="300">
        <f>IF(K45&gt;0,'R&amp;C-Painel de Controle'!$O$59*(1-0.0925)*K35/1000000,0)</f>
        <v>0</v>
      </c>
      <c r="L131" s="300">
        <f>IF(L45&gt;0,'R&amp;C-Painel de Controle'!$O$59*(1-0.0925)*L35/1000000,0)</f>
        <v>0</v>
      </c>
      <c r="M131" s="300">
        <f>IF(M45&gt;0,'R&amp;C-Painel de Controle'!$O$59*(1-0.0925)*M35/1000000,0)</f>
        <v>0</v>
      </c>
      <c r="N131" s="300">
        <f>IF(N45&gt;0,'R&amp;C-Painel de Controle'!$O$59*(1-0.0925)*N35/1000000,0)</f>
        <v>0</v>
      </c>
      <c r="O131" s="300">
        <f>IF(O45&gt;0,'R&amp;C-Painel de Controle'!$O$59*(1-0.0925)*O35/1000000,0)</f>
        <v>0</v>
      </c>
      <c r="P131" s="300">
        <f>IF(P45&gt;0,'R&amp;C-Painel de Controle'!$O$59*(1-0.0925)*P35/1000000,0)</f>
        <v>0</v>
      </c>
      <c r="Q131" s="300">
        <f>IF(Q45&gt;0,'R&amp;C-Painel de Controle'!$O$59*(1-0.0925)*Q35/1000000,0)</f>
        <v>0</v>
      </c>
      <c r="R131" s="300">
        <f>IF(R45&gt;0,'R&amp;C-Painel de Controle'!$O$59*(1-0.0925)*R35/1000000,0)</f>
        <v>0</v>
      </c>
      <c r="S131" s="300">
        <f>IF(S45&gt;0,'R&amp;C-Painel de Controle'!$O$59*(1-0.0925)*S35/1000000,0)</f>
        <v>0</v>
      </c>
      <c r="T131" s="300">
        <f>IF(T45&gt;0,'R&amp;C-Painel de Controle'!$O$59*(1-0.0925)*T35/1000000,0)</f>
        <v>0</v>
      </c>
      <c r="U131" s="300">
        <f>IF(U45&gt;0,'R&amp;C-Painel de Controle'!$O$59*(1-0.0925)*U35/1000000,0)</f>
        <v>0</v>
      </c>
      <c r="V131" s="300">
        <f>IF(V45&gt;0,'R&amp;C-Painel de Controle'!$O$59*(1-0.0925)*V35/1000000,0)</f>
        <v>0</v>
      </c>
      <c r="W131" s="300">
        <f>IF(W45&gt;0,'R&amp;C-Painel de Controle'!$O$59*(1-0.0925)*W35/1000000,0)</f>
        <v>0</v>
      </c>
      <c r="X131" s="300">
        <f>IF(X45&gt;0,'R&amp;C-Painel de Controle'!$O$59*(1-0.0925)*X35/1000000,0)</f>
        <v>0</v>
      </c>
      <c r="Y131" s="300">
        <f>IF(Y45&gt;0,'R&amp;C-Painel de Controle'!$O$59*(1-0.0925)*Y35/1000000,0)</f>
        <v>0</v>
      </c>
      <c r="Z131" s="300">
        <f>IF(Z45&gt;0,'R&amp;C-Painel de Controle'!$O$59*(1-0.0925)*Z35/1000000,0)</f>
        <v>0</v>
      </c>
      <c r="AA131" s="300">
        <f>IF(AA45&gt;0,'R&amp;C-Painel de Controle'!$O$59*(1-0.0925)*AA35/1000000,0)</f>
        <v>0</v>
      </c>
      <c r="AB131" s="300">
        <f>IF(AB45&gt;0,'R&amp;C-Painel de Controle'!$O$59*(1-0.0925)*AB35/1000000,0)</f>
        <v>0</v>
      </c>
      <c r="AC131" s="300">
        <f>IF(AC45&gt;0,'R&amp;C-Painel de Controle'!$O$59*(1-0.0925)*AC35/1000000,0)</f>
        <v>0</v>
      </c>
      <c r="AD131" s="300">
        <f>IF(AD45&gt;0,'R&amp;C-Painel de Controle'!$O$59*(1-0.0925)*AD35/1000000,0)</f>
        <v>0</v>
      </c>
      <c r="AE131" s="300">
        <f>IF(AE45&gt;0,'R&amp;C-Painel de Controle'!$O$59*(1-0.0925)*AE35/1000000,0)</f>
        <v>0</v>
      </c>
      <c r="AF131" s="300">
        <f>IF(AF45&gt;0,'R&amp;C-Painel de Controle'!$O$59*(1-0.0925)*AF35/1000000,0)</f>
        <v>0</v>
      </c>
      <c r="AG131" s="300">
        <f>IF(AG45&gt;0,'R&amp;C-Painel de Controle'!$O$59*(1-0.0925)*AG35/1000000,0)</f>
        <v>0</v>
      </c>
      <c r="AH131" s="300">
        <f>IF(AH45&gt;0,'R&amp;C-Painel de Controle'!$O$59*(1-0.0925)*AH35/1000000,0)</f>
        <v>0</v>
      </c>
      <c r="AI131" s="300">
        <f>IF(AI45&gt;0,'R&amp;C-Painel de Controle'!$O$59*(1-0.0925)*AI35/1000000,0)</f>
        <v>0</v>
      </c>
      <c r="AJ131" s="300">
        <f>IF(AJ45&gt;0,'R&amp;C-Painel de Controle'!$O$59*(1-0.0925)*AJ35/1000000,0)</f>
        <v>0</v>
      </c>
      <c r="AK131" s="300">
        <f>IF(AK45&gt;0,'R&amp;C-Painel de Controle'!$O$59*(1-0.0925)*AK35/1000000,0)</f>
        <v>0</v>
      </c>
      <c r="AL131" s="300">
        <f>IF(AL45&gt;0,'R&amp;C-Painel de Controle'!$O$59*(1-0.0925)*AL35/1000000,0)</f>
        <v>0</v>
      </c>
      <c r="AM131" s="300">
        <f>IF(AM45&gt;0,'R&amp;C-Painel de Controle'!$O$59*(1-0.0925)*AM35/1000000,0)</f>
        <v>0</v>
      </c>
      <c r="AN131" s="300">
        <f>IF(AN45&gt;0,'R&amp;C-Painel de Controle'!$O$59*(1-0.0925)*AN35/1000000,0)</f>
        <v>0</v>
      </c>
      <c r="AO131" s="300">
        <f>IF(AO45&gt;0,'R&amp;C-Painel de Controle'!$O$59*(1-0.0925)*AO35/1000000,0)</f>
        <v>0</v>
      </c>
      <c r="AP131" s="300">
        <f>IF(AP45&gt;0,'R&amp;C-Painel de Controle'!$O$59*(1-0.0925)*AP35/1000000,0)</f>
        <v>0</v>
      </c>
      <c r="AQ131" s="300">
        <f>IF(AQ45&gt;0,'R&amp;C-Painel de Controle'!$O$59*(1-0.0925)*AQ35/1000000,0)</f>
        <v>0</v>
      </c>
      <c r="AR131" s="300">
        <f>IF(AR45&gt;0,'R&amp;C-Painel de Controle'!$O$59*(1-0.0925)*AR35/1000000,0)</f>
        <v>0</v>
      </c>
      <c r="AS131" s="300">
        <f>IF(AS45&gt;0,'R&amp;C-Painel de Controle'!$O$59*(1-0.0925)*AS35/1000000,0)</f>
        <v>0</v>
      </c>
      <c r="AT131" s="300">
        <f>IF(AT45&gt;0,'R&amp;C-Painel de Controle'!$O$59*(1-0.0925)*AT35/1000000,0)</f>
        <v>0</v>
      </c>
      <c r="AU131" s="300">
        <f>IF(AU45&gt;0,'R&amp;C-Painel de Controle'!$O$59*(1-0.0925)*AU35/1000000,0)</f>
        <v>0</v>
      </c>
      <c r="AV131" s="300">
        <f>IF(AV45&gt;0,'R&amp;C-Painel de Controle'!$O$59*(1-0.0925)*AV35/1000000,0)</f>
        <v>0</v>
      </c>
      <c r="AW131" s="300">
        <f>IF(AW45&gt;0,'R&amp;C-Painel de Controle'!$O$59*(1-0.0925)*AW35/1000000,0)</f>
        <v>0</v>
      </c>
      <c r="AX131" s="300">
        <f>IF(AX45&gt;0,'R&amp;C-Painel de Controle'!$O$59*(1-0.0925)*AX35/1000000,0)</f>
        <v>0</v>
      </c>
      <c r="AY131" s="300">
        <f>IF(AY45&gt;0,'R&amp;C-Painel de Controle'!$O$59*(1-0.0925)*AY35/1000000,0)</f>
        <v>0</v>
      </c>
      <c r="AZ131" s="300">
        <f>IF(AZ45&gt;0,'R&amp;C-Painel de Controle'!$O$59*(1-0.0925)*AZ35/1000000,0)</f>
        <v>0</v>
      </c>
      <c r="BA131" s="300">
        <f>IF(BA45&gt;0,'R&amp;C-Painel de Controle'!$O$59*(1-0.0925)*BA35/1000000,0)</f>
        <v>0</v>
      </c>
      <c r="BB131" s="300">
        <f>IF(BB45&gt;0,'R&amp;C-Painel de Controle'!$O$59*(1-0.0925)*BB35/1000000,0)</f>
        <v>0</v>
      </c>
      <c r="BC131" s="300">
        <f>IF(BC45&gt;0,'R&amp;C-Painel de Controle'!$O$59*(1-0.0925)*BC35/1000000,0)</f>
        <v>0</v>
      </c>
      <c r="BD131" s="280"/>
      <c r="BE131" s="280"/>
      <c r="BF131" s="280"/>
    </row>
    <row r="132" spans="2:58" s="192" customFormat="1" ht="18" hidden="1" customHeight="1" outlineLevel="1" x14ac:dyDescent="0.25">
      <c r="B132" s="732" t="str">
        <f>B101</f>
        <v>Prod. CDR TMB — Trat. Mec./Biológ.</v>
      </c>
      <c r="C132" s="291" t="str">
        <f>C101</f>
        <v>Sim</v>
      </c>
      <c r="D132" s="291">
        <f>D101</f>
        <v>149195.9142628205</v>
      </c>
      <c r="E132" s="1274"/>
      <c r="F132" s="1274"/>
      <c r="G132" s="1274"/>
      <c r="H132" s="1274"/>
      <c r="I132" s="1274"/>
      <c r="J132" s="1274"/>
      <c r="K132" s="1274"/>
      <c r="L132" s="1274"/>
      <c r="M132" s="1274"/>
      <c r="N132" s="1274"/>
      <c r="O132" s="1274"/>
      <c r="P132" s="1274"/>
      <c r="Q132" s="1274"/>
      <c r="R132" s="1274"/>
      <c r="S132" s="1274"/>
      <c r="T132" s="1274"/>
      <c r="U132" s="1274"/>
      <c r="V132" s="1274"/>
      <c r="W132" s="1274"/>
      <c r="X132" s="1274"/>
      <c r="Y132" s="1274"/>
      <c r="Z132" s="1274"/>
      <c r="AA132" s="1274"/>
      <c r="AB132" s="1274"/>
      <c r="AC132" s="1274"/>
      <c r="AD132" s="1274"/>
      <c r="AE132" s="1274"/>
      <c r="AF132" s="1274"/>
      <c r="AG132" s="1274"/>
      <c r="AH132" s="1274"/>
      <c r="AI132" s="1274"/>
      <c r="AJ132" s="1274"/>
      <c r="AK132" s="1274"/>
      <c r="AL132" s="1274"/>
      <c r="AM132" s="1274"/>
      <c r="AN132" s="1274"/>
      <c r="AO132" s="1274"/>
      <c r="AP132" s="1274"/>
      <c r="AQ132" s="1274"/>
      <c r="AR132" s="1274"/>
      <c r="AS132" s="1274"/>
      <c r="AT132" s="1274"/>
      <c r="AU132" s="1274"/>
      <c r="AV132" s="1274"/>
      <c r="AW132" s="1274"/>
      <c r="AX132" s="1274"/>
      <c r="AY132" s="1274"/>
      <c r="AZ132" s="1274"/>
      <c r="BA132" s="1274"/>
      <c r="BB132" s="1274"/>
      <c r="BC132" s="740"/>
      <c r="BD132" s="274"/>
      <c r="BE132" s="274"/>
      <c r="BF132" s="274"/>
    </row>
    <row r="133" spans="2:58" s="192" customFormat="1" ht="18" hidden="1" customHeight="1" outlineLevel="1" x14ac:dyDescent="0.25">
      <c r="B133" s="260"/>
      <c r="C133" s="292"/>
      <c r="D133" s="291"/>
      <c r="E133" s="292"/>
      <c r="F133" s="292"/>
      <c r="G133" s="292"/>
      <c r="H133" s="292"/>
      <c r="I133" s="292"/>
      <c r="J133" s="292"/>
      <c r="K133" s="292"/>
      <c r="L133" s="292"/>
      <c r="M133" s="292"/>
      <c r="N133" s="292"/>
      <c r="O133" s="292"/>
      <c r="P133" s="292"/>
      <c r="Q133" s="292"/>
      <c r="R133" s="292"/>
      <c r="S133" s="292"/>
      <c r="T133" s="292"/>
      <c r="U133" s="292"/>
      <c r="V133" s="292"/>
      <c r="W133" s="292"/>
      <c r="X133" s="292"/>
      <c r="Y133" s="292"/>
      <c r="Z133" s="292"/>
      <c r="AA133" s="292"/>
      <c r="AB133" s="292"/>
      <c r="AC133" s="292"/>
      <c r="AD133" s="292"/>
      <c r="AE133" s="292"/>
      <c r="AF133" s="292"/>
      <c r="AG133" s="292"/>
      <c r="AH133" s="292"/>
      <c r="AI133" s="292"/>
      <c r="AJ133" s="292"/>
      <c r="AK133" s="292"/>
      <c r="AL133" s="292"/>
      <c r="AM133" s="292"/>
      <c r="AN133" s="292"/>
      <c r="AO133" s="292"/>
      <c r="AP133" s="292"/>
      <c r="AQ133" s="292"/>
      <c r="AR133" s="292"/>
      <c r="AS133" s="292"/>
      <c r="AT133" s="292"/>
      <c r="AU133" s="292"/>
      <c r="AV133" s="292"/>
      <c r="AW133" s="292"/>
      <c r="AX133" s="292"/>
      <c r="AY133" s="292"/>
      <c r="AZ133" s="292"/>
      <c r="BA133" s="292"/>
      <c r="BB133" s="292"/>
      <c r="BC133" s="292"/>
      <c r="BD133" s="274"/>
      <c r="BE133" s="274"/>
      <c r="BF133" s="274"/>
    </row>
    <row r="134" spans="2:58" s="192" customFormat="1" ht="18" hidden="1" customHeight="1" outlineLevel="1" x14ac:dyDescent="0.25">
      <c r="B134" s="260" t="s">
        <v>362</v>
      </c>
      <c r="C134" s="299">
        <v>0</v>
      </c>
      <c r="D134" s="300">
        <f>IF(D48&gt;0,'R&amp;C-Painel de Controle'!$O$62*(1-0.0925)*D35/1000000,0)</f>
        <v>0</v>
      </c>
      <c r="E134" s="300">
        <f>IF(E48&gt;0,'R&amp;C-Painel de Controle'!$O$62*(1-0.0925)*E35/1000000,0)</f>
        <v>0</v>
      </c>
      <c r="F134" s="300">
        <f>IF(F48&gt;0,'R&amp;C-Painel de Controle'!$O$62*(1-0.0925)*F35/1000000,0)</f>
        <v>5.0455400206920924</v>
      </c>
      <c r="G134" s="300">
        <f>IF(G48&gt;0,'R&amp;C-Painel de Controle'!$O$62*(1-0.0925)*G35/1000000,0)</f>
        <v>5.0692540587893449</v>
      </c>
      <c r="H134" s="300">
        <f>IF(H48&gt;0,'R&amp;C-Painel de Controle'!$O$62*(1-0.0925)*H35/1000000,0)</f>
        <v>5.0930795528656549</v>
      </c>
      <c r="I134" s="300">
        <f>IF(I48&gt;0,'R&amp;C-Painel de Controle'!$O$62*(1-0.0925)*I35/1000000,0)</f>
        <v>5.1170170267641231</v>
      </c>
      <c r="J134" s="300">
        <f>IF(J48&gt;0,'R&amp;C-Painel de Controle'!$O$62*(1-0.0925)*J35/1000000,0)</f>
        <v>5.141067006789914</v>
      </c>
      <c r="K134" s="300">
        <f>IF(K48&gt;0,'R&amp;C-Painel de Controle'!$O$62*(1-0.0925)*K35/1000000,0)</f>
        <v>5.1652300217218272</v>
      </c>
      <c r="L134" s="300">
        <f>IF(L48&gt;0,'R&amp;C-Painel de Controle'!$O$62*(1-0.0925)*L35/1000000,0)</f>
        <v>5.1895066028239194</v>
      </c>
      <c r="M134" s="300">
        <f>IF(M48&gt;0,'R&amp;C-Painel de Controle'!$O$62*(1-0.0925)*M35/1000000,0)</f>
        <v>5.2138972838571922</v>
      </c>
      <c r="N134" s="300">
        <f>IF(N48&gt;0,'R&amp;C-Painel de Controle'!$O$62*(1-0.0925)*N35/1000000,0)</f>
        <v>5.2384026010913196</v>
      </c>
      <c r="O134" s="300">
        <f>IF(O48&gt;0,'R&amp;C-Painel de Controle'!$O$62*(1-0.0925)*O35/1000000,0)</f>
        <v>5.2630230933164484</v>
      </c>
      <c r="P134" s="300">
        <f>IF(P48&gt;0,'R&amp;C-Painel de Controle'!$O$62*(1-0.0925)*P35/1000000,0)</f>
        <v>5.2877593018550355</v>
      </c>
      <c r="Q134" s="300">
        <f>IF(Q48&gt;0,'R&amp;C-Painel de Controle'!$O$62*(1-0.0925)*Q35/1000000,0)</f>
        <v>5.3126117705737528</v>
      </c>
      <c r="R134" s="300">
        <f>IF(R48&gt;0,'R&amp;C-Painel de Controle'!$O$62*(1-0.0925)*R35/1000000,0)</f>
        <v>5.3375810458954502</v>
      </c>
      <c r="S134" s="300">
        <f>IF(S48&gt;0,'R&amp;C-Painel de Controle'!$O$62*(1-0.0925)*S35/1000000,0)</f>
        <v>5.3626676768111574</v>
      </c>
      <c r="T134" s="300">
        <f>IF(T48&gt;0,'R&amp;C-Painel de Controle'!$O$62*(1-0.0925)*T35/1000000,0)</f>
        <v>5.3878722148921696</v>
      </c>
      <c r="U134" s="300">
        <f>IF(U48&gt;0,'R&amp;C-Painel de Controle'!$O$62*(1-0.0925)*U35/1000000,0)</f>
        <v>5.4131952143021618</v>
      </c>
      <c r="V134" s="300">
        <f>IF(V48&gt;0,'R&amp;C-Painel de Controle'!$O$62*(1-0.0925)*V35/1000000,0)</f>
        <v>5.4386372318093814</v>
      </c>
      <c r="W134" s="300">
        <f>IF(W48&gt;0,'R&amp;C-Painel de Controle'!$O$62*(1-0.0925)*W35/1000000,0)</f>
        <v>5.464198826798885</v>
      </c>
      <c r="X134" s="300">
        <f>IF(X48&gt;0,'R&amp;C-Painel de Controle'!$O$62*(1-0.0925)*X35/1000000,0)</f>
        <v>5.4898805612848394</v>
      </c>
      <c r="Y134" s="300">
        <f>IF(Y48&gt;0,'R&amp;C-Painel de Controle'!$O$62*(1-0.0925)*Y35/1000000,0)</f>
        <v>5.5156829999228769</v>
      </c>
      <c r="Z134" s="300">
        <f>IF(Z48&gt;0,'R&amp;C-Painel de Controle'!$O$62*(1-0.0925)*Z35/1000000,0)</f>
        <v>5.5416067100225144</v>
      </c>
      <c r="AA134" s="300">
        <f>IF(AA48&gt;0,'R&amp;C-Painel de Controle'!$O$62*(1-0.0925)*AA35/1000000,0)</f>
        <v>5.56765226155962</v>
      </c>
      <c r="AB134" s="300">
        <f>IF(AB48&gt;0,'R&amp;C-Painel de Controle'!$O$62*(1-0.0925)*AB35/1000000,0)</f>
        <v>5.5938202271889494</v>
      </c>
      <c r="AC134" s="300">
        <f>IF(AC48&gt;0,'R&amp;C-Painel de Controle'!$O$62*(1-0.0925)*AC35/1000000,0)</f>
        <v>5.6201111822567364</v>
      </c>
      <c r="AD134" s="300">
        <f>IF(AD48&gt;0,'R&amp;C-Painel de Controle'!$O$62*(1-0.0925)*AD35/1000000,0)</f>
        <v>5.6465257048133433</v>
      </c>
      <c r="AE134" s="300">
        <f>IF(AE48&gt;0,'R&amp;C-Painel de Controle'!$O$62*(1-0.0925)*AE35/1000000,0)</f>
        <v>5.6730643756259651</v>
      </c>
      <c r="AF134" s="300">
        <f>IF(AF48&gt;0,'R&amp;C-Painel de Controle'!$O$62*(1-0.0925)*AF35/1000000,0)</f>
        <v>5.6997277781914075</v>
      </c>
      <c r="AG134" s="300">
        <f>IF(AG48&gt;0,'R&amp;C-Painel de Controle'!$O$62*(1-0.0925)*AG35/1000000,0)</f>
        <v>5.7265164987489063</v>
      </c>
      <c r="AH134" s="300">
        <f>IF(AH48&gt;0,'R&amp;C-Painel de Controle'!$O$62*(1-0.0925)*AH35/1000000,0)</f>
        <v>5.7534311262930258</v>
      </c>
      <c r="AI134" s="300">
        <f>IF(AI48&gt;0,'R&amp;C-Painel de Controle'!$O$62*(1-0.0925)*AI35/1000000,0)</f>
        <v>5.7804722525866019</v>
      </c>
      <c r="AJ134" s="300">
        <f>IF(AJ48&gt;0,'R&amp;C-Painel de Controle'!$O$62*(1-0.0925)*AJ35/1000000,0)</f>
        <v>5.8076404721737589</v>
      </c>
      <c r="AK134" s="300">
        <f>IF(AK48&gt;0,'R&amp;C-Painel de Controle'!$O$62*(1-0.0925)*AK35/1000000,0)</f>
        <v>5.8349363823929759</v>
      </c>
      <c r="AL134" s="300">
        <f>IF(AL48&gt;0,'R&amp;C-Painel de Controle'!$O$62*(1-0.0925)*AL35/1000000,0)</f>
        <v>5.8623605833902221</v>
      </c>
      <c r="AM134" s="300">
        <f>IF(AM48&gt;0,'R&amp;C-Painel de Controle'!$O$62*(1-0.0925)*AM35/1000000,0)</f>
        <v>5.8899136781321557</v>
      </c>
      <c r="AN134" s="300">
        <f>IF(AN48&gt;0,'R&amp;C-Painel de Controle'!$O$62*(1-0.0925)*AN35/1000000,0)</f>
        <v>5.9175962724193774</v>
      </c>
      <c r="AO134" s="300">
        <f>IF(AO48&gt;0,'R&amp;C-Painel de Controle'!$O$62*(1-0.0925)*AO35/1000000,0)</f>
        <v>5.9454089748997472</v>
      </c>
      <c r="AP134" s="300">
        <f>IF(AP48&gt;0,'R&amp;C-Painel de Controle'!$O$62*(1-0.0925)*AP35/1000000,0)</f>
        <v>5.9733523970817757</v>
      </c>
      <c r="AQ134" s="300">
        <f>IF(AQ48&gt;0,'R&amp;C-Painel de Controle'!$O$62*(1-0.0925)*AQ35/1000000,0)</f>
        <v>6.0014271533480592</v>
      </c>
      <c r="AR134" s="300">
        <f>IF(AR48&gt;0,'R&amp;C-Painel de Controle'!$O$62*(1-0.0925)*AR35/1000000,0)</f>
        <v>6.0296338609687954</v>
      </c>
      <c r="AS134" s="300">
        <f>IF(AS48&gt;0,'R&amp;C-Painel de Controle'!$O$62*(1-0.0925)*AS35/1000000,0)</f>
        <v>6.0579731401153483</v>
      </c>
      <c r="AT134" s="300">
        <f>IF(AT48&gt;0,'R&amp;C-Painel de Controle'!$O$62*(1-0.0925)*AT35/1000000,0)</f>
        <v>6.0864456138738907</v>
      </c>
      <c r="AU134" s="300">
        <f>IF(AU48&gt;0,'R&amp;C-Painel de Controle'!$O$62*(1-0.0925)*AU35/1000000,0)</f>
        <v>6.1150519082590984</v>
      </c>
      <c r="AV134" s="300">
        <f>IF(AV48&gt;0,'R&amp;C-Painel de Controle'!$O$62*(1-0.0925)*AV35/1000000,0)</f>
        <v>6.1437926522279147</v>
      </c>
      <c r="AW134" s="300">
        <f>IF(AW48&gt;0,'R&amp;C-Painel de Controle'!$O$62*(1-0.0925)*AW35/1000000,0)</f>
        <v>6.172668477693386</v>
      </c>
      <c r="AX134" s="300">
        <f>IF(AX48&gt;0,'R&amp;C-Painel de Controle'!$O$62*(1-0.0925)*AX35/1000000,0)</f>
        <v>6.2016800195385446</v>
      </c>
      <c r="AY134" s="300">
        <f>IF(AY48&gt;0,'R&amp;C-Painel de Controle'!$O$62*(1-0.0925)*AY35/1000000,0)</f>
        <v>6.2308279156303756</v>
      </c>
      <c r="AZ134" s="300">
        <f>IF(AZ48&gt;0,'R&amp;C-Painel de Controle'!$O$62*(1-0.0925)*AZ35/1000000,0)</f>
        <v>6.2601128068338383</v>
      </c>
      <c r="BA134" s="300">
        <f>IF(BA48&gt;0,'R&amp;C-Painel de Controle'!$O$62*(1-0.0925)*BA35/1000000,0)</f>
        <v>6.2895353370259572</v>
      </c>
      <c r="BB134" s="300">
        <f>IF(BB48&gt;0,'R&amp;C-Painel de Controle'!$O$62*(1-0.0925)*BB35/1000000,0)</f>
        <v>6.319096153109979</v>
      </c>
      <c r="BC134" s="300">
        <f>IF(BC48&gt;0,'R&amp;C-Painel de Controle'!$O$62*(1-0.0925)*BC35/1000000,0)</f>
        <v>6.3487959050295952</v>
      </c>
      <c r="BD134" s="280"/>
      <c r="BE134" s="280"/>
      <c r="BF134" s="280"/>
    </row>
    <row r="135" spans="2:58" s="192" customFormat="1" ht="18" hidden="1" customHeight="1" outlineLevel="1" x14ac:dyDescent="0.25">
      <c r="B135" s="732" t="str">
        <f>B104</f>
        <v>Biodigestão Anaeróbia</v>
      </c>
      <c r="C135" s="291" t="str">
        <f>C104</f>
        <v>Não'</v>
      </c>
      <c r="D135" s="291">
        <f>D104</f>
        <v>0</v>
      </c>
      <c r="BC135" s="740"/>
      <c r="BD135" s="274"/>
      <c r="BE135" s="274"/>
      <c r="BF135" s="274"/>
    </row>
    <row r="136" spans="2:58" s="192" customFormat="1" ht="18" hidden="1" customHeight="1" outlineLevel="1" x14ac:dyDescent="0.25">
      <c r="B136" s="260"/>
      <c r="C136" s="292"/>
      <c r="D136" s="289"/>
      <c r="E136" s="292"/>
      <c r="F136" s="292"/>
      <c r="G136" s="292"/>
      <c r="H136" s="292"/>
      <c r="I136" s="292"/>
      <c r="J136" s="292"/>
      <c r="K136" s="292"/>
      <c r="L136" s="292"/>
      <c r="M136" s="292"/>
      <c r="N136" s="292"/>
      <c r="O136" s="292"/>
      <c r="P136" s="292"/>
      <c r="Q136" s="292"/>
      <c r="R136" s="292"/>
      <c r="S136" s="292"/>
      <c r="T136" s="292"/>
      <c r="U136" s="292"/>
      <c r="V136" s="292"/>
      <c r="W136" s="292"/>
      <c r="X136" s="292"/>
      <c r="Y136" s="292"/>
      <c r="Z136" s="292"/>
      <c r="AA136" s="292"/>
      <c r="AB136" s="292"/>
      <c r="AC136" s="292"/>
      <c r="AD136" s="292"/>
      <c r="AE136" s="292"/>
      <c r="AF136" s="292"/>
      <c r="AG136" s="292"/>
      <c r="AH136" s="292"/>
      <c r="AI136" s="292"/>
      <c r="AJ136" s="292"/>
      <c r="AK136" s="292"/>
      <c r="AL136" s="292"/>
      <c r="AM136" s="292"/>
      <c r="AN136" s="292"/>
      <c r="AO136" s="292"/>
      <c r="AP136" s="292"/>
      <c r="AQ136" s="292"/>
      <c r="AR136" s="292"/>
      <c r="AS136" s="292"/>
      <c r="AT136" s="292"/>
      <c r="AU136" s="292"/>
      <c r="AV136" s="292"/>
      <c r="AW136" s="292"/>
      <c r="AX136" s="292"/>
      <c r="AY136" s="292"/>
      <c r="AZ136" s="292"/>
      <c r="BA136" s="292"/>
      <c r="BB136" s="292"/>
      <c r="BC136" s="292"/>
      <c r="BD136" s="274"/>
      <c r="BE136" s="274"/>
      <c r="BF136" s="274"/>
    </row>
    <row r="137" spans="2:58" s="192" customFormat="1" ht="18" hidden="1" customHeight="1" outlineLevel="1" x14ac:dyDescent="0.25">
      <c r="B137" s="260" t="s">
        <v>362</v>
      </c>
      <c r="C137" s="299">
        <v>0</v>
      </c>
      <c r="D137" s="300">
        <f>IF(D51&gt;0,'R&amp;C-Painel de Controle'!$O$65*(1-0.0925-$C$10)*D35/1000000,0)</f>
        <v>0</v>
      </c>
      <c r="E137" s="300">
        <f>IF(E51&gt;0,'R&amp;C-Painel de Controle'!$O$65*(1-0.0925-$C$10)*E35/1000000,0)</f>
        <v>0</v>
      </c>
      <c r="F137" s="300">
        <f>IF(F51&gt;0,'R&amp;C-Painel de Controle'!$O$65*(1-0.0925-$C$10)*F35/1000000,0)</f>
        <v>0</v>
      </c>
      <c r="G137" s="300">
        <f>IF(G51&gt;0,'R&amp;C-Painel de Controle'!$O$65*(1-0.0925-$C$10)*G35/1000000,0)</f>
        <v>0</v>
      </c>
      <c r="H137" s="300">
        <f>IF(H51&gt;0,'R&amp;C-Painel de Controle'!$O$65*(1-0.0925-$C$10)*H35/1000000,0)</f>
        <v>0</v>
      </c>
      <c r="I137" s="300">
        <f>IF(I51&gt;0,'R&amp;C-Painel de Controle'!$O$65*(1-0.0925-$C$10)*I35/1000000,0)</f>
        <v>0</v>
      </c>
      <c r="J137" s="300">
        <f>IF(J51&gt;0,'R&amp;C-Painel de Controle'!$O$65*(1-0.0925-$C$10)*J35/1000000,0)</f>
        <v>0</v>
      </c>
      <c r="K137" s="300">
        <f>IF(K51&gt;0,'R&amp;C-Painel de Controle'!$O$65*(1-0.0925-$C$10)*K35/1000000,0)</f>
        <v>0</v>
      </c>
      <c r="L137" s="300">
        <f>IF(L51&gt;0,'R&amp;C-Painel de Controle'!$O$65*(1-0.0925-$C$10)*L35/1000000,0)</f>
        <v>0</v>
      </c>
      <c r="M137" s="300">
        <f>IF(M51&gt;0,'R&amp;C-Painel de Controle'!$O$65*(1-0.0925-$C$10)*M35/1000000,0)</f>
        <v>0</v>
      </c>
      <c r="N137" s="300">
        <f>IF(N51&gt;0,'R&amp;C-Painel de Controle'!$O$65*(1-0.0925-$C$10)*N35/1000000,0)</f>
        <v>0</v>
      </c>
      <c r="O137" s="300">
        <f>IF(O51&gt;0,'R&amp;C-Painel de Controle'!$O$65*(1-0.0925-$C$10)*O35/1000000,0)</f>
        <v>0</v>
      </c>
      <c r="P137" s="300">
        <f>IF(P51&gt;0,'R&amp;C-Painel de Controle'!$O$65*(1-0.0925-$C$10)*P35/1000000,0)</f>
        <v>0</v>
      </c>
      <c r="Q137" s="300">
        <f>IF(Q51&gt;0,'R&amp;C-Painel de Controle'!$O$65*(1-0.0925-$C$10)*Q35/1000000,0)</f>
        <v>0</v>
      </c>
      <c r="R137" s="300">
        <f>IF(R51&gt;0,'R&amp;C-Painel de Controle'!$O$65*(1-0.0925-$C$10)*R35/1000000,0)</f>
        <v>0</v>
      </c>
      <c r="S137" s="300">
        <f>IF(S51&gt;0,'R&amp;C-Painel de Controle'!$O$65*(1-0.0925-$C$10)*S35/1000000,0)</f>
        <v>0</v>
      </c>
      <c r="T137" s="300">
        <f>IF(T51&gt;0,'R&amp;C-Painel de Controle'!$O$65*(1-0.0925-$C$10)*T35/1000000,0)</f>
        <v>0</v>
      </c>
      <c r="U137" s="300">
        <f>IF(U51&gt;0,'R&amp;C-Painel de Controle'!$O$65*(1-0.0925-$C$10)*U35/1000000,0)</f>
        <v>0</v>
      </c>
      <c r="V137" s="300">
        <f>IF(V51&gt;0,'R&amp;C-Painel de Controle'!$O$65*(1-0.0925-$C$10)*V35/1000000,0)</f>
        <v>0</v>
      </c>
      <c r="W137" s="300">
        <f>IF(W51&gt;0,'R&amp;C-Painel de Controle'!$O$65*(1-0.0925-$C$10)*W35/1000000,0)</f>
        <v>0</v>
      </c>
      <c r="X137" s="300">
        <f>IF(X51&gt;0,'R&amp;C-Painel de Controle'!$O$65*(1-0.0925-$C$10)*X35/1000000,0)</f>
        <v>0</v>
      </c>
      <c r="Y137" s="300">
        <f>IF(Y51&gt;0,'R&amp;C-Painel de Controle'!$O$65*(1-0.0925-$C$10)*Y35/1000000,0)</f>
        <v>0</v>
      </c>
      <c r="Z137" s="300">
        <f>IF(Z51&gt;0,'R&amp;C-Painel de Controle'!$O$65*(1-0.0925-$C$10)*Z35/1000000,0)</f>
        <v>0</v>
      </c>
      <c r="AA137" s="300">
        <f>IF(AA51&gt;0,'R&amp;C-Painel de Controle'!$O$65*(1-0.0925-$C$10)*AA35/1000000,0)</f>
        <v>0</v>
      </c>
      <c r="AB137" s="300">
        <f>IF(AB51&gt;0,'R&amp;C-Painel de Controle'!$O$65*(1-0.0925-$C$10)*AB35/1000000,0)</f>
        <v>0</v>
      </c>
      <c r="AC137" s="300">
        <f>IF(AC51&gt;0,'R&amp;C-Painel de Controle'!$O$65*(1-0.0925-$C$10)*AC35/1000000,0)</f>
        <v>0</v>
      </c>
      <c r="AD137" s="300">
        <f>IF(AD51&gt;0,'R&amp;C-Painel de Controle'!$O$65*(1-0.0925-$C$10)*AD35/1000000,0)</f>
        <v>0</v>
      </c>
      <c r="AE137" s="300">
        <f>IF(AE51&gt;0,'R&amp;C-Painel de Controle'!$O$65*(1-0.0925-$C$10)*AE35/1000000,0)</f>
        <v>0</v>
      </c>
      <c r="AF137" s="300">
        <f>IF(AF51&gt;0,'R&amp;C-Painel de Controle'!$O$65*(1-0.0925-$C$10)*AF35/1000000,0)</f>
        <v>0</v>
      </c>
      <c r="AG137" s="300">
        <f>IF(AG51&gt;0,'R&amp;C-Painel de Controle'!$O$65*(1-0.0925-$C$10)*AG35/1000000,0)</f>
        <v>0</v>
      </c>
      <c r="AH137" s="300">
        <f>IF(AH51&gt;0,'R&amp;C-Painel de Controle'!$O$65*(1-0.0925-$C$10)*AH35/1000000,0)</f>
        <v>0</v>
      </c>
      <c r="AI137" s="300">
        <f>IF(AI51&gt;0,'R&amp;C-Painel de Controle'!$O$65*(1-0.0925-$C$10)*AI35/1000000,0)</f>
        <v>0</v>
      </c>
      <c r="AJ137" s="300">
        <f>IF(AJ51&gt;0,'R&amp;C-Painel de Controle'!$O$65*(1-0.0925-$C$10)*AJ35/1000000,0)</f>
        <v>0</v>
      </c>
      <c r="AK137" s="300">
        <f>IF(AK51&gt;0,'R&amp;C-Painel de Controle'!$O$65*(1-0.0925-$C$10)*AK35/1000000,0)</f>
        <v>0</v>
      </c>
      <c r="AL137" s="300">
        <f>IF(AL51&gt;0,'R&amp;C-Painel de Controle'!$O$65*(1-0.0925-$C$10)*AL35/1000000,0)</f>
        <v>0</v>
      </c>
      <c r="AM137" s="300">
        <f>IF(AM51&gt;0,'R&amp;C-Painel de Controle'!$O$65*(1-0.0925-$C$10)*AM35/1000000,0)</f>
        <v>0</v>
      </c>
      <c r="AN137" s="300">
        <f>IF(AN51&gt;0,'R&amp;C-Painel de Controle'!$O$65*(1-0.0925-$C$10)*AN35/1000000,0)</f>
        <v>0</v>
      </c>
      <c r="AO137" s="300">
        <f>IF(AO51&gt;0,'R&amp;C-Painel de Controle'!$O$65*(1-0.0925-$C$10)*AO35/1000000,0)</f>
        <v>0</v>
      </c>
      <c r="AP137" s="300">
        <f>IF(AP51&gt;0,'R&amp;C-Painel de Controle'!$O$65*(1-0.0925-$C$10)*AP35/1000000,0)</f>
        <v>0</v>
      </c>
      <c r="AQ137" s="300">
        <f>IF(AQ51&gt;0,'R&amp;C-Painel de Controle'!$O$65*(1-0.0925-$C$10)*AQ35/1000000,0)</f>
        <v>0</v>
      </c>
      <c r="AR137" s="300">
        <f>IF(AR51&gt;0,'R&amp;C-Painel de Controle'!$O$65*(1-0.0925-$C$10)*AR35/1000000,0)</f>
        <v>0</v>
      </c>
      <c r="AS137" s="300">
        <f>IF(AS51&gt;0,'R&amp;C-Painel de Controle'!$O$65*(1-0.0925-$C$10)*AS35/1000000,0)</f>
        <v>0</v>
      </c>
      <c r="AT137" s="300">
        <f>IF(AT51&gt;0,'R&amp;C-Painel de Controle'!$O$65*(1-0.0925-$C$10)*AT35/1000000,0)</f>
        <v>0</v>
      </c>
      <c r="AU137" s="300">
        <f>IF(AU51&gt;0,'R&amp;C-Painel de Controle'!$O$65*(1-0.0925-$C$10)*AU35/1000000,0)</f>
        <v>0</v>
      </c>
      <c r="AV137" s="300">
        <f>IF(AV51&gt;0,'R&amp;C-Painel de Controle'!$O$65*(1-0.0925-$C$10)*AV35/1000000,0)</f>
        <v>0</v>
      </c>
      <c r="AW137" s="300">
        <f>IF(AW51&gt;0,'R&amp;C-Painel de Controle'!$O$65*(1-0.0925-$C$10)*AW35/1000000,0)</f>
        <v>0</v>
      </c>
      <c r="AX137" s="300">
        <f>IF(AX51&gt;0,'R&amp;C-Painel de Controle'!$O$65*(1-0.0925-$C$10)*AX35/1000000,0)</f>
        <v>0</v>
      </c>
      <c r="AY137" s="300">
        <f>IF(AY51&gt;0,'R&amp;C-Painel de Controle'!$O$65*(1-0.0925-$C$10)*AY35/1000000,0)</f>
        <v>0</v>
      </c>
      <c r="AZ137" s="300">
        <f>IF(AZ51&gt;0,'R&amp;C-Painel de Controle'!$O$65*(1-0.0925-$C$10)*AZ35/1000000,0)</f>
        <v>0</v>
      </c>
      <c r="BA137" s="300">
        <f>IF(BA51&gt;0,'R&amp;C-Painel de Controle'!$O$65*(1-0.0925-$C$10)*BA35/1000000,0)</f>
        <v>0</v>
      </c>
      <c r="BB137" s="300">
        <f>IF(BB51&gt;0,'R&amp;C-Painel de Controle'!$O$65*(1-0.0925-$C$10)*BB35/1000000,0)</f>
        <v>0</v>
      </c>
      <c r="BC137" s="300">
        <f>IF(BC51&gt;0,'R&amp;C-Painel de Controle'!$O$65*(1-0.0925-$C$10)*BC35/1000000,0)</f>
        <v>0</v>
      </c>
      <c r="BD137" s="280"/>
      <c r="BE137" s="280"/>
      <c r="BF137" s="280"/>
    </row>
    <row r="138" spans="2:58" s="192" customFormat="1" ht="18" hidden="1" customHeight="1" outlineLevel="1" x14ac:dyDescent="0.25">
      <c r="B138" s="732" t="str">
        <f>B107</f>
        <v>Compostagem</v>
      </c>
      <c r="C138" s="291" t="str">
        <f>C107</f>
        <v>Não</v>
      </c>
      <c r="D138" s="291">
        <f>D107</f>
        <v>0</v>
      </c>
      <c r="E138" s="1274"/>
      <c r="F138" s="1274"/>
      <c r="G138" s="1274"/>
      <c r="H138" s="1274"/>
      <c r="I138" s="1274"/>
      <c r="J138" s="1274"/>
      <c r="K138" s="1274"/>
      <c r="L138" s="1274"/>
      <c r="M138" s="1274"/>
      <c r="N138" s="1274"/>
      <c r="O138" s="1274"/>
      <c r="P138" s="1274"/>
      <c r="Q138" s="1274"/>
      <c r="R138" s="1274"/>
      <c r="S138" s="1274"/>
      <c r="T138" s="1274"/>
      <c r="U138" s="1274"/>
      <c r="V138" s="1274"/>
      <c r="W138" s="1274"/>
      <c r="X138" s="1274"/>
      <c r="Y138" s="1274"/>
      <c r="Z138" s="1274"/>
      <c r="AA138" s="1274"/>
      <c r="AB138" s="1274"/>
      <c r="AC138" s="1274"/>
      <c r="AD138" s="1274"/>
      <c r="AE138" s="1274"/>
      <c r="AF138" s="1274"/>
      <c r="AG138" s="1274"/>
      <c r="AH138" s="1274"/>
      <c r="AI138" s="1274"/>
      <c r="AJ138" s="1274"/>
      <c r="AK138" s="1274"/>
      <c r="AL138" s="1274"/>
      <c r="AM138" s="1274"/>
      <c r="AN138" s="1274"/>
      <c r="AO138" s="1274"/>
      <c r="AP138" s="1274"/>
      <c r="AQ138" s="1274"/>
      <c r="AR138" s="1274"/>
      <c r="AS138" s="1274"/>
      <c r="AT138" s="1274"/>
      <c r="AU138" s="1274"/>
      <c r="AV138" s="1274"/>
      <c r="AW138" s="1274"/>
      <c r="AX138" s="1274"/>
      <c r="AY138" s="1274"/>
      <c r="AZ138" s="1274"/>
      <c r="BA138" s="1274"/>
      <c r="BB138" s="1274"/>
      <c r="BC138" s="740"/>
      <c r="BD138" s="274"/>
      <c r="BE138" s="274"/>
      <c r="BF138" s="274"/>
    </row>
    <row r="139" spans="2:58" s="192" customFormat="1" ht="18" hidden="1" customHeight="1" outlineLevel="1" x14ac:dyDescent="0.25">
      <c r="B139" s="260"/>
      <c r="C139" s="292"/>
      <c r="D139" s="289"/>
      <c r="E139" s="292"/>
      <c r="F139" s="292"/>
      <c r="G139" s="292"/>
      <c r="H139" s="292"/>
      <c r="I139" s="292"/>
      <c r="J139" s="292"/>
      <c r="K139" s="292"/>
      <c r="L139" s="292"/>
      <c r="M139" s="292"/>
      <c r="N139" s="292"/>
      <c r="O139" s="292"/>
      <c r="P139" s="292"/>
      <c r="Q139" s="292"/>
      <c r="R139" s="292"/>
      <c r="S139" s="292"/>
      <c r="T139" s="292"/>
      <c r="U139" s="292"/>
      <c r="V139" s="292"/>
      <c r="W139" s="292"/>
      <c r="X139" s="292"/>
      <c r="Y139" s="292"/>
      <c r="Z139" s="292"/>
      <c r="AA139" s="292"/>
      <c r="AB139" s="292"/>
      <c r="AC139" s="292"/>
      <c r="AD139" s="292"/>
      <c r="AE139" s="292"/>
      <c r="AF139" s="292"/>
      <c r="AG139" s="292"/>
      <c r="AH139" s="292"/>
      <c r="AI139" s="292"/>
      <c r="AJ139" s="292"/>
      <c r="AK139" s="292"/>
      <c r="AL139" s="292"/>
      <c r="AM139" s="292"/>
      <c r="AN139" s="292"/>
      <c r="AO139" s="292"/>
      <c r="AP139" s="292"/>
      <c r="AQ139" s="292"/>
      <c r="AR139" s="292"/>
      <c r="AS139" s="292"/>
      <c r="AT139" s="292"/>
      <c r="AU139" s="292"/>
      <c r="AV139" s="292"/>
      <c r="AW139" s="292"/>
      <c r="AX139" s="292"/>
      <c r="AY139" s="292"/>
      <c r="AZ139" s="292"/>
      <c r="BA139" s="292"/>
      <c r="BB139" s="292"/>
      <c r="BC139" s="292"/>
      <c r="BD139" s="274"/>
      <c r="BE139" s="274"/>
      <c r="BF139" s="274"/>
    </row>
    <row r="140" spans="2:58" s="192" customFormat="1" ht="18" hidden="1" customHeight="1" outlineLevel="1" x14ac:dyDescent="0.25">
      <c r="B140" s="260" t="s">
        <v>362</v>
      </c>
      <c r="C140" s="299">
        <v>0</v>
      </c>
      <c r="D140" s="300">
        <f>IF(D54&gt;0,'R&amp;C-Painel de Controle'!$O$68*(1-0.0925)*D35/1000000,0)</f>
        <v>0</v>
      </c>
      <c r="E140" s="300">
        <f>IF(E54&gt;0,'R&amp;C-Painel de Controle'!$O$68*(1-0.0925)*E35/1000000,0)</f>
        <v>0</v>
      </c>
      <c r="F140" s="300">
        <f>IF(F54&gt;0,'R&amp;C-Painel de Controle'!$O$68*(1-0.0925)*F35/1000000,0)</f>
        <v>0</v>
      </c>
      <c r="G140" s="300">
        <f>IF(G54&gt;0,'R&amp;C-Painel de Controle'!$O$68*(1-0.0925)*G35/1000000,0)</f>
        <v>0</v>
      </c>
      <c r="H140" s="300">
        <f>IF(H54&gt;0,'R&amp;C-Painel de Controle'!$O$68*(1-0.0925)*H35/1000000,0)</f>
        <v>0</v>
      </c>
      <c r="I140" s="300">
        <f>IF(I54&gt;0,'R&amp;C-Painel de Controle'!$O$68*(1-0.0925)*I35/1000000,0)</f>
        <v>0</v>
      </c>
      <c r="J140" s="300">
        <f>IF(J54&gt;0,'R&amp;C-Painel de Controle'!$O$68*(1-0.0925)*J35/1000000,0)</f>
        <v>0</v>
      </c>
      <c r="K140" s="300">
        <f>IF(K54&gt;0,'R&amp;C-Painel de Controle'!$O$68*(1-0.0925)*K35/1000000,0)</f>
        <v>0</v>
      </c>
      <c r="L140" s="300">
        <f>IF(L54&gt;0,'R&amp;C-Painel de Controle'!$O$68*(1-0.0925)*L35/1000000,0)</f>
        <v>0</v>
      </c>
      <c r="M140" s="300">
        <f>IF(M54&gt;0,'R&amp;C-Painel de Controle'!$O$68*(1-0.0925)*M35/1000000,0)</f>
        <v>0</v>
      </c>
      <c r="N140" s="300">
        <f>IF(N54&gt;0,'R&amp;C-Painel de Controle'!$O$68*(1-0.0925)*N35/1000000,0)</f>
        <v>0</v>
      </c>
      <c r="O140" s="300">
        <f>IF(O54&gt;0,'R&amp;C-Painel de Controle'!$O$68*(1-0.0925)*O35/1000000,0)</f>
        <v>0</v>
      </c>
      <c r="P140" s="300">
        <f>IF(P54&gt;0,'R&amp;C-Painel de Controle'!$O$68*(1-0.0925)*P35/1000000,0)</f>
        <v>0</v>
      </c>
      <c r="Q140" s="300">
        <f>IF(Q54&gt;0,'R&amp;C-Painel de Controle'!$O$68*(1-0.0925)*Q35/1000000,0)</f>
        <v>0</v>
      </c>
      <c r="R140" s="300">
        <f>IF(R54&gt;0,'R&amp;C-Painel de Controle'!$O$68*(1-0.0925)*R35/1000000,0)</f>
        <v>0</v>
      </c>
      <c r="S140" s="300">
        <f>IF(S54&gt;0,'R&amp;C-Painel de Controle'!$O$68*(1-0.0925)*S35/1000000,0)</f>
        <v>0</v>
      </c>
      <c r="T140" s="300">
        <f>IF(T54&gt;0,'R&amp;C-Painel de Controle'!$O$68*(1-0.0925)*T35/1000000,0)</f>
        <v>0</v>
      </c>
      <c r="U140" s="300">
        <f>IF(U54&gt;0,'R&amp;C-Painel de Controle'!$O$68*(1-0.0925)*U35/1000000,0)</f>
        <v>0</v>
      </c>
      <c r="V140" s="300">
        <f>IF(V54&gt;0,'R&amp;C-Painel de Controle'!$O$68*(1-0.0925)*V35/1000000,0)</f>
        <v>0</v>
      </c>
      <c r="W140" s="300">
        <f>IF(W54&gt;0,'R&amp;C-Painel de Controle'!$O$68*(1-0.0925)*W35/1000000,0)</f>
        <v>0</v>
      </c>
      <c r="X140" s="300">
        <f>IF(X54&gt;0,'R&amp;C-Painel de Controle'!$O$68*(1-0.0925)*X35/1000000,0)</f>
        <v>0</v>
      </c>
      <c r="Y140" s="300">
        <f>IF(Y54&gt;0,'R&amp;C-Painel de Controle'!$O$68*(1-0.0925)*Y35/1000000,0)</f>
        <v>0</v>
      </c>
      <c r="Z140" s="300">
        <f>IF(Z54&gt;0,'R&amp;C-Painel de Controle'!$O$68*(1-0.0925)*Z35/1000000,0)</f>
        <v>0</v>
      </c>
      <c r="AA140" s="300">
        <f>IF(AA54&gt;0,'R&amp;C-Painel de Controle'!$O$68*(1-0.0925)*AA35/1000000,0)</f>
        <v>0</v>
      </c>
      <c r="AB140" s="300">
        <f>IF(AB54&gt;0,'R&amp;C-Painel de Controle'!$O$68*(1-0.0925)*AB35/1000000,0)</f>
        <v>0</v>
      </c>
      <c r="AC140" s="300">
        <f>IF(AC54&gt;0,'R&amp;C-Painel de Controle'!$O$68*(1-0.0925)*AC35/1000000,0)</f>
        <v>0</v>
      </c>
      <c r="AD140" s="300">
        <f>IF(AD54&gt;0,'R&amp;C-Painel de Controle'!$O$68*(1-0.0925)*AD35/1000000,0)</f>
        <v>0</v>
      </c>
      <c r="AE140" s="300">
        <f>IF(AE54&gt;0,'R&amp;C-Painel de Controle'!$O$68*(1-0.0925)*AE35/1000000,0)</f>
        <v>0</v>
      </c>
      <c r="AF140" s="300">
        <f>IF(AF54&gt;0,'R&amp;C-Painel de Controle'!$O$68*(1-0.0925)*AF35/1000000,0)</f>
        <v>0</v>
      </c>
      <c r="AG140" s="300">
        <f>IF(AG54&gt;0,'R&amp;C-Painel de Controle'!$O$68*(1-0.0925)*AG35/1000000,0)</f>
        <v>0</v>
      </c>
      <c r="AH140" s="300">
        <f>IF(AH54&gt;0,'R&amp;C-Painel de Controle'!$O$68*(1-0.0925)*AH35/1000000,0)</f>
        <v>0</v>
      </c>
      <c r="AI140" s="300">
        <f>IF(AI54&gt;0,'R&amp;C-Painel de Controle'!$O$68*(1-0.0925)*AI35/1000000,0)</f>
        <v>0</v>
      </c>
      <c r="AJ140" s="300">
        <f>IF(AJ54&gt;0,'R&amp;C-Painel de Controle'!$O$68*(1-0.0925)*AJ35/1000000,0)</f>
        <v>0</v>
      </c>
      <c r="AK140" s="300">
        <f>IF(AK54&gt;0,'R&amp;C-Painel de Controle'!$O$68*(1-0.0925)*AK35/1000000,0)</f>
        <v>0</v>
      </c>
      <c r="AL140" s="300">
        <f>IF(AL54&gt;0,'R&amp;C-Painel de Controle'!$O$68*(1-0.0925)*AL35/1000000,0)</f>
        <v>0</v>
      </c>
      <c r="AM140" s="300">
        <f>IF(AM54&gt;0,'R&amp;C-Painel de Controle'!$O$68*(1-0.0925)*AM35/1000000,0)</f>
        <v>0</v>
      </c>
      <c r="AN140" s="300">
        <f>IF(AN54&gt;0,'R&amp;C-Painel de Controle'!$O$68*(1-0.0925)*AN35/1000000,0)</f>
        <v>0</v>
      </c>
      <c r="AO140" s="300">
        <f>IF(AO54&gt;0,'R&amp;C-Painel de Controle'!$O$68*(1-0.0925)*AO35/1000000,0)</f>
        <v>0</v>
      </c>
      <c r="AP140" s="300">
        <f>IF(AP54&gt;0,'R&amp;C-Painel de Controle'!$O$68*(1-0.0925)*AP35/1000000,0)</f>
        <v>0</v>
      </c>
      <c r="AQ140" s="300">
        <f>IF(AQ54&gt;0,'R&amp;C-Painel de Controle'!$O$68*(1-0.0925)*AQ35/1000000,0)</f>
        <v>0</v>
      </c>
      <c r="AR140" s="300">
        <f>IF(AR54&gt;0,'R&amp;C-Painel de Controle'!$O$68*(1-0.0925)*AR35/1000000,0)</f>
        <v>0</v>
      </c>
      <c r="AS140" s="300">
        <f>IF(AS54&gt;0,'R&amp;C-Painel de Controle'!$O$68*(1-0.0925)*AS35/1000000,0)</f>
        <v>0</v>
      </c>
      <c r="AT140" s="300">
        <f>IF(AT54&gt;0,'R&amp;C-Painel de Controle'!$O$68*(1-0.0925)*AT35/1000000,0)</f>
        <v>0</v>
      </c>
      <c r="AU140" s="300">
        <f>IF(AU54&gt;0,'R&amp;C-Painel de Controle'!$O$68*(1-0.0925)*AU35/1000000,0)</f>
        <v>0</v>
      </c>
      <c r="AV140" s="300">
        <f>IF(AV54&gt;0,'R&amp;C-Painel de Controle'!$O$68*(1-0.0925)*AV35/1000000,0)</f>
        <v>0</v>
      </c>
      <c r="AW140" s="300">
        <f>IF(AW54&gt;0,'R&amp;C-Painel de Controle'!$O$68*(1-0.0925)*AW35/1000000,0)</f>
        <v>0</v>
      </c>
      <c r="AX140" s="300">
        <f>IF(AX54&gt;0,'R&amp;C-Painel de Controle'!$O$68*(1-0.0925)*AX35/1000000,0)</f>
        <v>0</v>
      </c>
      <c r="AY140" s="300">
        <f>IF(AY54&gt;0,'R&amp;C-Painel de Controle'!$O$68*(1-0.0925)*AY35/1000000,0)</f>
        <v>0</v>
      </c>
      <c r="AZ140" s="300">
        <f>IF(AZ54&gt;0,'R&amp;C-Painel de Controle'!$O$68*(1-0.0925)*AZ35/1000000,0)</f>
        <v>0</v>
      </c>
      <c r="BA140" s="300">
        <f>IF(BA54&gt;0,'R&amp;C-Painel de Controle'!$O$68*(1-0.0925)*BA35/1000000,0)</f>
        <v>0</v>
      </c>
      <c r="BB140" s="300">
        <f>IF(BB54&gt;0,'R&amp;C-Painel de Controle'!$O$68*(1-0.0925)*BB35/1000000,0)</f>
        <v>0</v>
      </c>
      <c r="BC140" s="300">
        <f>IF(BC54&gt;0,'R&amp;C-Painel de Controle'!$O$68*(1-0.0925)*BC35/1000000,0)</f>
        <v>0</v>
      </c>
      <c r="BD140" s="280"/>
      <c r="BE140" s="280"/>
      <c r="BF140" s="280"/>
    </row>
    <row r="141" spans="2:58" s="192" customFormat="1" ht="18" hidden="1" customHeight="1" outlineLevel="1" x14ac:dyDescent="0.25">
      <c r="B141" s="732" t="str">
        <f>B110</f>
        <v>Incineração</v>
      </c>
      <c r="C141" s="291" t="str">
        <f>C110</f>
        <v>Não</v>
      </c>
      <c r="D141" s="291">
        <f>D110</f>
        <v>0</v>
      </c>
      <c r="BC141" s="740"/>
      <c r="BD141" s="274"/>
      <c r="BE141" s="274"/>
      <c r="BF141" s="274"/>
    </row>
    <row r="142" spans="2:58" s="192" customFormat="1" ht="18" hidden="1" customHeight="1" outlineLevel="1" x14ac:dyDescent="0.25">
      <c r="B142" s="260"/>
      <c r="C142" s="292"/>
      <c r="D142" s="289"/>
      <c r="E142" s="292"/>
      <c r="F142" s="292"/>
      <c r="G142" s="292"/>
      <c r="H142" s="292"/>
      <c r="I142" s="292"/>
      <c r="J142" s="292"/>
      <c r="K142" s="292"/>
      <c r="L142" s="292"/>
      <c r="M142" s="292"/>
      <c r="N142" s="292"/>
      <c r="O142" s="292"/>
      <c r="P142" s="292"/>
      <c r="Q142" s="292"/>
      <c r="R142" s="292"/>
      <c r="S142" s="292"/>
      <c r="T142" s="292"/>
      <c r="U142" s="292"/>
      <c r="V142" s="292"/>
      <c r="W142" s="292"/>
      <c r="X142" s="292"/>
      <c r="Y142" s="292"/>
      <c r="Z142" s="292"/>
      <c r="AA142" s="292"/>
      <c r="AB142" s="292"/>
      <c r="AC142" s="292"/>
      <c r="AD142" s="292"/>
      <c r="AE142" s="292"/>
      <c r="AF142" s="292"/>
      <c r="AG142" s="292"/>
      <c r="AH142" s="292"/>
      <c r="AI142" s="292"/>
      <c r="AJ142" s="292"/>
      <c r="AK142" s="292"/>
      <c r="AL142" s="292"/>
      <c r="AM142" s="292"/>
      <c r="AN142" s="292"/>
      <c r="AO142" s="292"/>
      <c r="AP142" s="292"/>
      <c r="AQ142" s="292"/>
      <c r="AR142" s="292"/>
      <c r="AS142" s="292"/>
      <c r="AT142" s="292"/>
      <c r="AU142" s="292"/>
      <c r="AV142" s="292"/>
      <c r="AW142" s="292"/>
      <c r="AX142" s="292"/>
      <c r="AY142" s="292"/>
      <c r="AZ142" s="292"/>
      <c r="BA142" s="292"/>
      <c r="BB142" s="292"/>
      <c r="BC142" s="292"/>
      <c r="BD142" s="274"/>
      <c r="BE142" s="274"/>
      <c r="BF142" s="274"/>
    </row>
    <row r="143" spans="2:58" s="192" customFormat="1" ht="18" hidden="1" customHeight="1" outlineLevel="1" x14ac:dyDescent="0.25">
      <c r="B143" s="260" t="s">
        <v>362</v>
      </c>
      <c r="C143" s="299">
        <v>0</v>
      </c>
      <c r="D143" s="300">
        <f>IF(D57&gt;0,'R&amp;C-Painel de Controle'!$O$71*(1-0.0925)*D35/1000000,0)</f>
        <v>0</v>
      </c>
      <c r="E143" s="300">
        <f>IF(E57&gt;0,'R&amp;C-Painel de Controle'!$O$71*(1-0.0925)*E35/1000000,0)</f>
        <v>0</v>
      </c>
      <c r="F143" s="300">
        <f>IF(F57&gt;0,'R&amp;C-Painel de Controle'!$O$71*(1-0.0925)*F35/1000000,0)</f>
        <v>0</v>
      </c>
      <c r="G143" s="300">
        <f>IF(G57&gt;0,'R&amp;C-Painel de Controle'!$O$71*(1-0.0925)*G35/1000000,0)</f>
        <v>0</v>
      </c>
      <c r="H143" s="300">
        <f>IF(H57&gt;0,'R&amp;C-Painel de Controle'!$O$71*(1-0.0925)*H35/1000000,0)</f>
        <v>0</v>
      </c>
      <c r="I143" s="300">
        <f>IF(I57&gt;0,'R&amp;C-Painel de Controle'!$O$71*(1-0.0925)*I35/1000000,0)</f>
        <v>0</v>
      </c>
      <c r="J143" s="300">
        <f>IF(J57&gt;0,'R&amp;C-Painel de Controle'!$O$71*(1-0.0925)*J35/1000000,0)</f>
        <v>0</v>
      </c>
      <c r="K143" s="300">
        <f>IF(K57&gt;0,'R&amp;C-Painel de Controle'!$O$71*(1-0.0925)*K35/1000000,0)</f>
        <v>0</v>
      </c>
      <c r="L143" s="300">
        <f>IF(L57&gt;0,'R&amp;C-Painel de Controle'!$O$71*(1-0.0925)*L35/1000000,0)</f>
        <v>0</v>
      </c>
      <c r="M143" s="300">
        <f>IF(M57&gt;0,'R&amp;C-Painel de Controle'!$O$71*(1-0.0925)*M35/1000000,0)</f>
        <v>0</v>
      </c>
      <c r="N143" s="300">
        <f>IF(N57&gt;0,'R&amp;C-Painel de Controle'!$O$71*(1-0.0925)*N35/1000000,0)</f>
        <v>0</v>
      </c>
      <c r="O143" s="300">
        <f>IF(O57&gt;0,'R&amp;C-Painel de Controle'!$O$71*(1-0.0925)*O35/1000000,0)</f>
        <v>0</v>
      </c>
      <c r="P143" s="300">
        <f>IF(P57&gt;0,'R&amp;C-Painel de Controle'!$O$71*(1-0.0925)*P35/1000000,0)</f>
        <v>0</v>
      </c>
      <c r="Q143" s="300">
        <f>IF(Q57&gt;0,'R&amp;C-Painel de Controle'!$O$71*(1-0.0925)*Q35/1000000,0)</f>
        <v>0</v>
      </c>
      <c r="R143" s="300">
        <f>IF(R57&gt;0,'R&amp;C-Painel de Controle'!$O$71*(1-0.0925)*R35/1000000,0)</f>
        <v>0</v>
      </c>
      <c r="S143" s="300">
        <f>IF(S57&gt;0,'R&amp;C-Painel de Controle'!$O$71*(1-0.0925)*S35/1000000,0)</f>
        <v>0</v>
      </c>
      <c r="T143" s="300">
        <f>IF(T57&gt;0,'R&amp;C-Painel de Controle'!$O$71*(1-0.0925)*T35/1000000,0)</f>
        <v>0</v>
      </c>
      <c r="U143" s="300">
        <f>IF(U57&gt;0,'R&amp;C-Painel de Controle'!$O$71*(1-0.0925)*U35/1000000,0)</f>
        <v>0</v>
      </c>
      <c r="V143" s="300">
        <f>IF(V57&gt;0,'R&amp;C-Painel de Controle'!$O$71*(1-0.0925)*V35/1000000,0)</f>
        <v>0</v>
      </c>
      <c r="W143" s="300">
        <f>IF(W57&gt;0,'R&amp;C-Painel de Controle'!$O$71*(1-0.0925)*W35/1000000,0)</f>
        <v>0</v>
      </c>
      <c r="X143" s="300">
        <f>IF(X57&gt;0,'R&amp;C-Painel de Controle'!$O$71*(1-0.0925)*X35/1000000,0)</f>
        <v>0</v>
      </c>
      <c r="Y143" s="300">
        <f>IF(Y57&gt;0,'R&amp;C-Painel de Controle'!$O$71*(1-0.0925)*Y35/1000000,0)</f>
        <v>0</v>
      </c>
      <c r="Z143" s="300">
        <f>IF(Z57&gt;0,'R&amp;C-Painel de Controle'!$O$71*(1-0.0925)*Z35/1000000,0)</f>
        <v>0</v>
      </c>
      <c r="AA143" s="300">
        <f>IF(AA57&gt;0,'R&amp;C-Painel de Controle'!$O$71*(1-0.0925)*AA35/1000000,0)</f>
        <v>0</v>
      </c>
      <c r="AB143" s="300">
        <f>IF(AB57&gt;0,'R&amp;C-Painel de Controle'!$O$71*(1-0.0925)*AB35/1000000,0)</f>
        <v>0</v>
      </c>
      <c r="AC143" s="300">
        <f>IF(AC57&gt;0,'R&amp;C-Painel de Controle'!$O$71*(1-0.0925)*AC35/1000000,0)</f>
        <v>0</v>
      </c>
      <c r="AD143" s="300">
        <f>IF(AD57&gt;0,'R&amp;C-Painel de Controle'!$O$71*(1-0.0925)*AD35/1000000,0)</f>
        <v>0</v>
      </c>
      <c r="AE143" s="300">
        <f>IF(AE57&gt;0,'R&amp;C-Painel de Controle'!$O$71*(1-0.0925)*AE35/1000000,0)</f>
        <v>0</v>
      </c>
      <c r="AF143" s="300">
        <f>IF(AF57&gt;0,'R&amp;C-Painel de Controle'!$O$71*(1-0.0925)*AF35/1000000,0)</f>
        <v>0</v>
      </c>
      <c r="AG143" s="300">
        <f>IF(AG57&gt;0,'R&amp;C-Painel de Controle'!$O$71*(1-0.0925)*AG35/1000000,0)</f>
        <v>0</v>
      </c>
      <c r="AH143" s="300">
        <f>IF(AH57&gt;0,'R&amp;C-Painel de Controle'!$O$71*(1-0.0925)*AH35/1000000,0)</f>
        <v>0</v>
      </c>
      <c r="AI143" s="300">
        <f>IF(AI57&gt;0,'R&amp;C-Painel de Controle'!$O$71*(1-0.0925)*AI35/1000000,0)</f>
        <v>0</v>
      </c>
      <c r="AJ143" s="300">
        <f>IF(AJ57&gt;0,'R&amp;C-Painel de Controle'!$O$71*(1-0.0925)*AJ35/1000000,0)</f>
        <v>0</v>
      </c>
      <c r="AK143" s="300">
        <f>IF(AK57&gt;0,'R&amp;C-Painel de Controle'!$O$71*(1-0.0925)*AK35/1000000,0)</f>
        <v>0</v>
      </c>
      <c r="AL143" s="300">
        <f>IF(AL57&gt;0,'R&amp;C-Painel de Controle'!$O$71*(1-0.0925)*AL35/1000000,0)</f>
        <v>0</v>
      </c>
      <c r="AM143" s="300">
        <f>IF(AM57&gt;0,'R&amp;C-Painel de Controle'!$O$71*(1-0.0925)*AM35/1000000,0)</f>
        <v>0</v>
      </c>
      <c r="AN143" s="300">
        <f>IF(AN57&gt;0,'R&amp;C-Painel de Controle'!$O$71*(1-0.0925)*AN35/1000000,0)</f>
        <v>0</v>
      </c>
      <c r="AO143" s="300">
        <f>IF(AO57&gt;0,'R&amp;C-Painel de Controle'!$O$71*(1-0.0925)*AO35/1000000,0)</f>
        <v>0</v>
      </c>
      <c r="AP143" s="300">
        <f>IF(AP57&gt;0,'R&amp;C-Painel de Controle'!$O$71*(1-0.0925)*AP35/1000000,0)</f>
        <v>0</v>
      </c>
      <c r="AQ143" s="300">
        <f>IF(AQ57&gt;0,'R&amp;C-Painel de Controle'!$O$71*(1-0.0925)*AQ35/1000000,0)</f>
        <v>0</v>
      </c>
      <c r="AR143" s="300">
        <f>IF(AR57&gt;0,'R&amp;C-Painel de Controle'!$O$71*(1-0.0925)*AR35/1000000,0)</f>
        <v>0</v>
      </c>
      <c r="AS143" s="300">
        <f>IF(AS57&gt;0,'R&amp;C-Painel de Controle'!$O$71*(1-0.0925)*AS35/1000000,0)</f>
        <v>0</v>
      </c>
      <c r="AT143" s="300">
        <f>IF(AT57&gt;0,'R&amp;C-Painel de Controle'!$O$71*(1-0.0925)*AT35/1000000,0)</f>
        <v>0</v>
      </c>
      <c r="AU143" s="300">
        <f>IF(AU57&gt;0,'R&amp;C-Painel de Controle'!$O$71*(1-0.0925)*AU35/1000000,0)</f>
        <v>0</v>
      </c>
      <c r="AV143" s="300">
        <f>IF(AV57&gt;0,'R&amp;C-Painel de Controle'!$O$71*(1-0.0925)*AV35/1000000,0)</f>
        <v>0</v>
      </c>
      <c r="AW143" s="300">
        <f>IF(AW57&gt;0,'R&amp;C-Painel de Controle'!$O$71*(1-0.0925)*AW35/1000000,0)</f>
        <v>0</v>
      </c>
      <c r="AX143" s="300">
        <f>IF(AX57&gt;0,'R&amp;C-Painel de Controle'!$O$71*(1-0.0925)*AX35/1000000,0)</f>
        <v>0</v>
      </c>
      <c r="AY143" s="300">
        <f>IF(AY57&gt;0,'R&amp;C-Painel de Controle'!$O$71*(1-0.0925)*AY35/1000000,0)</f>
        <v>0</v>
      </c>
      <c r="AZ143" s="300">
        <f>IF(AZ57&gt;0,'R&amp;C-Painel de Controle'!$O$71*(1-0.0925)*AZ35/1000000,0)</f>
        <v>0</v>
      </c>
      <c r="BA143" s="300">
        <f>IF(BA57&gt;0,'R&amp;C-Painel de Controle'!$O$71*(1-0.0925)*BA35/1000000,0)</f>
        <v>0</v>
      </c>
      <c r="BB143" s="300">
        <f>IF(BB57&gt;0,'R&amp;C-Painel de Controle'!$O$71*(1-0.0925)*BB35/1000000,0)</f>
        <v>0</v>
      </c>
      <c r="BC143" s="300">
        <f>IF(BC57&gt;0,'R&amp;C-Painel de Controle'!$O$71*(1-0.0925)*BC35/1000000,0)</f>
        <v>0</v>
      </c>
      <c r="BD143" s="280"/>
      <c r="BE143" s="280"/>
      <c r="BF143" s="280"/>
    </row>
    <row r="144" spans="2:58" s="192" customFormat="1" ht="18" hidden="1" customHeight="1" outlineLevel="1" x14ac:dyDescent="0.25">
      <c r="B144" s="732" t="str">
        <f>B113</f>
        <v>Aterro Sanitário</v>
      </c>
      <c r="C144" s="291" t="str">
        <f>C113</f>
        <v>Sim</v>
      </c>
      <c r="D144" s="291">
        <f>D113</f>
        <v>70017.417820512841</v>
      </c>
      <c r="E144" s="1274"/>
      <c r="F144" s="1274"/>
      <c r="G144" s="1274"/>
      <c r="H144" s="1274"/>
      <c r="I144" s="1274"/>
      <c r="J144" s="1274"/>
      <c r="K144" s="1274"/>
      <c r="L144" s="1274"/>
      <c r="M144" s="1274"/>
      <c r="N144" s="1274"/>
      <c r="O144" s="1274"/>
      <c r="P144" s="1274"/>
      <c r="Q144" s="1274"/>
      <c r="R144" s="1274"/>
      <c r="S144" s="1274"/>
      <c r="T144" s="1274"/>
      <c r="U144" s="1274"/>
      <c r="V144" s="1274"/>
      <c r="W144" s="1274"/>
      <c r="X144" s="1274"/>
      <c r="Y144" s="1274"/>
      <c r="Z144" s="1274"/>
      <c r="AA144" s="1274"/>
      <c r="AB144" s="1274"/>
      <c r="AC144" s="1274"/>
      <c r="AD144" s="1274"/>
      <c r="AE144" s="1274"/>
      <c r="AF144" s="1274"/>
      <c r="AG144" s="1274"/>
      <c r="AH144" s="1274"/>
      <c r="AI144" s="1274"/>
      <c r="AJ144" s="1274"/>
      <c r="AK144" s="1274"/>
      <c r="AL144" s="1274"/>
      <c r="AM144" s="1274"/>
      <c r="AN144" s="1274"/>
      <c r="AO144" s="1274"/>
      <c r="AP144" s="1274"/>
      <c r="AQ144" s="1274"/>
      <c r="AR144" s="1274"/>
      <c r="AS144" s="1274"/>
      <c r="AT144" s="1274"/>
      <c r="AU144" s="1274"/>
      <c r="AV144" s="1274"/>
      <c r="AW144" s="1274"/>
      <c r="AX144" s="1274"/>
      <c r="AY144" s="1274"/>
      <c r="AZ144" s="1274"/>
      <c r="BA144" s="1274"/>
      <c r="BB144" s="1274"/>
      <c r="BC144" s="740"/>
      <c r="BD144" s="274"/>
      <c r="BE144" s="274"/>
      <c r="BF144" s="274"/>
    </row>
    <row r="145" spans="2:58" s="192" customFormat="1" ht="18" hidden="1" customHeight="1" outlineLevel="1" x14ac:dyDescent="0.25">
      <c r="B145" s="260"/>
      <c r="C145" s="292"/>
      <c r="D145" s="289"/>
      <c r="E145" s="292"/>
      <c r="F145" s="292"/>
      <c r="G145" s="292"/>
      <c r="H145" s="292"/>
      <c r="I145" s="292"/>
      <c r="J145" s="292"/>
      <c r="K145" s="292"/>
      <c r="L145" s="292"/>
      <c r="M145" s="292"/>
      <c r="N145" s="292"/>
      <c r="O145" s="292"/>
      <c r="P145" s="292"/>
      <c r="Q145" s="292"/>
      <c r="R145" s="292"/>
      <c r="S145" s="292"/>
      <c r="T145" s="292"/>
      <c r="U145" s="292"/>
      <c r="V145" s="292"/>
      <c r="W145" s="292"/>
      <c r="X145" s="292"/>
      <c r="Y145" s="292"/>
      <c r="Z145" s="292"/>
      <c r="AA145" s="292"/>
      <c r="AB145" s="292"/>
      <c r="AC145" s="292"/>
      <c r="AD145" s="292"/>
      <c r="AE145" s="292"/>
      <c r="AF145" s="292"/>
      <c r="AG145" s="292"/>
      <c r="AH145" s="292"/>
      <c r="AI145" s="292"/>
      <c r="AJ145" s="292"/>
      <c r="AK145" s="292"/>
      <c r="AL145" s="292"/>
      <c r="AM145" s="292"/>
      <c r="AN145" s="292"/>
      <c r="AO145" s="292"/>
      <c r="AP145" s="292"/>
      <c r="AQ145" s="292"/>
      <c r="AR145" s="292"/>
      <c r="AS145" s="292"/>
      <c r="AT145" s="292"/>
      <c r="AU145" s="292"/>
      <c r="AV145" s="292"/>
      <c r="AW145" s="292"/>
      <c r="AX145" s="292"/>
      <c r="AY145" s="292"/>
      <c r="AZ145" s="292"/>
      <c r="BA145" s="292"/>
      <c r="BB145" s="292"/>
      <c r="BC145" s="292"/>
      <c r="BD145" s="274"/>
      <c r="BE145" s="274"/>
      <c r="BF145" s="274"/>
    </row>
    <row r="146" spans="2:58" s="192" customFormat="1" ht="18" hidden="1" customHeight="1" outlineLevel="1" x14ac:dyDescent="0.25">
      <c r="B146" s="260" t="s">
        <v>362</v>
      </c>
      <c r="C146" s="299">
        <v>0</v>
      </c>
      <c r="D146" s="300">
        <f>IF(D60&gt;0,'R&amp;C-Painel de Controle'!$O$74*(1-0.0925)*D35/1000000,0)</f>
        <v>0</v>
      </c>
      <c r="E146" s="300">
        <f>IF(E60&gt;0,'R&amp;C-Painel de Controle'!$O$74*(1-0.0925)*E35/1000000,0)</f>
        <v>0</v>
      </c>
      <c r="F146" s="300">
        <f>IF(F60&gt;0,'R&amp;C-Painel de Controle'!$O$74*(1-0.0925)*F35/1000000,0)</f>
        <v>0</v>
      </c>
      <c r="G146" s="300">
        <f>IF(G60&gt;0,'R&amp;C-Painel de Controle'!$O$74*(1-0.0925)*G35/1000000,0)</f>
        <v>0</v>
      </c>
      <c r="H146" s="300">
        <f>IF(H60&gt;0,'R&amp;C-Painel de Controle'!$O$74*(1-0.0925)*H35/1000000,0)</f>
        <v>0</v>
      </c>
      <c r="I146" s="300">
        <f>IF(I60&gt;0,'R&amp;C-Painel de Controle'!$O$74*(1-0.0925)*I35/1000000,0)</f>
        <v>0</v>
      </c>
      <c r="J146" s="300">
        <f>IF(J60&gt;0,'R&amp;C-Painel de Controle'!$O$74*(1-0.0925)*J35/1000000,0)</f>
        <v>0</v>
      </c>
      <c r="K146" s="300">
        <f>IF(K60&gt;0,'R&amp;C-Painel de Controle'!$O$74*(1-0.0925)*K35/1000000,0)</f>
        <v>0</v>
      </c>
      <c r="L146" s="300">
        <f>IF(L60&gt;0,'R&amp;C-Painel de Controle'!$O$74*(1-0.0925)*L35/1000000,0)</f>
        <v>0</v>
      </c>
      <c r="M146" s="300">
        <f>IF(M60&gt;0,'R&amp;C-Painel de Controle'!$O$74*(1-0.0925)*M35/1000000,0)</f>
        <v>0</v>
      </c>
      <c r="N146" s="300">
        <f>IF(N60&gt;0,'R&amp;C-Painel de Controle'!$O$74*(1-0.0925)*N35/1000000,0)</f>
        <v>0</v>
      </c>
      <c r="O146" s="300">
        <f>IF(O60&gt;0,'R&amp;C-Painel de Controle'!$O$74*(1-0.0925)*O35/1000000,0)</f>
        <v>0</v>
      </c>
      <c r="P146" s="300">
        <f>IF(P60&gt;0,'R&amp;C-Painel de Controle'!$O$74*(1-0.0925)*P35/1000000,0)</f>
        <v>0</v>
      </c>
      <c r="Q146" s="300">
        <f>IF(Q60&gt;0,'R&amp;C-Painel de Controle'!$O$74*(1-0.0925)*Q35/1000000,0)</f>
        <v>0</v>
      </c>
      <c r="R146" s="300">
        <f>IF(R60&gt;0,'R&amp;C-Painel de Controle'!$O$74*(1-0.0925)*R35/1000000,0)</f>
        <v>0</v>
      </c>
      <c r="S146" s="300">
        <f>IF(S60&gt;0,'R&amp;C-Painel de Controle'!$O$74*(1-0.0925)*S35/1000000,0)</f>
        <v>0</v>
      </c>
      <c r="T146" s="300">
        <f>IF(T60&gt;0,'R&amp;C-Painel de Controle'!$O$74*(1-0.0925)*T35/1000000,0)</f>
        <v>0</v>
      </c>
      <c r="U146" s="300">
        <f>IF(U60&gt;0,'R&amp;C-Painel de Controle'!$O$74*(1-0.0925)*U35/1000000,0)</f>
        <v>0</v>
      </c>
      <c r="V146" s="300">
        <f>IF(V60&gt;0,'R&amp;C-Painel de Controle'!$O$74*(1-0.0925)*V35/1000000,0)</f>
        <v>0</v>
      </c>
      <c r="W146" s="300">
        <f>IF(W60&gt;0,'R&amp;C-Painel de Controle'!$O$74*(1-0.0925)*W35/1000000,0)</f>
        <v>0</v>
      </c>
      <c r="X146" s="300">
        <f>IF(X60&gt;0,'R&amp;C-Painel de Controle'!$O$74*(1-0.0925)*X35/1000000,0)</f>
        <v>0</v>
      </c>
      <c r="Y146" s="300">
        <f>IF(Y60&gt;0,'R&amp;C-Painel de Controle'!$O$74*(1-0.0925)*Y35/1000000,0)</f>
        <v>0</v>
      </c>
      <c r="Z146" s="300">
        <f>IF(Z60&gt;0,'R&amp;C-Painel de Controle'!$O$74*(1-0.0925)*Z35/1000000,0)</f>
        <v>0</v>
      </c>
      <c r="AA146" s="300">
        <f>IF(AA60&gt;0,'R&amp;C-Painel de Controle'!$O$74*(1-0.0925)*AA35/1000000,0)</f>
        <v>0</v>
      </c>
      <c r="AB146" s="300">
        <f>IF(AB60&gt;0,'R&amp;C-Painel de Controle'!$O$74*(1-0.0925)*AB35/1000000,0)</f>
        <v>0</v>
      </c>
      <c r="AC146" s="300">
        <f>IF(AC60&gt;0,'R&amp;C-Painel de Controle'!$O$74*(1-0.0925)*AC35/1000000,0)</f>
        <v>0</v>
      </c>
      <c r="AD146" s="300">
        <f>IF(AD60&gt;0,'R&amp;C-Painel de Controle'!$O$74*(1-0.0925)*AD35/1000000,0)</f>
        <v>0</v>
      </c>
      <c r="AE146" s="300">
        <f>IF(AE60&gt;0,'R&amp;C-Painel de Controle'!$O$74*(1-0.0925)*AE35/1000000,0)</f>
        <v>0</v>
      </c>
      <c r="AF146" s="300">
        <f>IF(AF60&gt;0,'R&amp;C-Painel de Controle'!$O$74*(1-0.0925)*AF35/1000000,0)</f>
        <v>0</v>
      </c>
      <c r="AG146" s="300">
        <f>IF(AG60&gt;0,'R&amp;C-Painel de Controle'!$O$74*(1-0.0925)*AG35/1000000,0)</f>
        <v>0</v>
      </c>
      <c r="AH146" s="300">
        <f>IF(AH60&gt;0,'R&amp;C-Painel de Controle'!$O$74*(1-0.0925)*AH35/1000000,0)</f>
        <v>0</v>
      </c>
      <c r="AI146" s="300">
        <f>IF(AI60&gt;0,'R&amp;C-Painel de Controle'!$O$74*(1-0.0925)*AI35/1000000,0)</f>
        <v>0</v>
      </c>
      <c r="AJ146" s="300">
        <f>IF(AJ60&gt;0,'R&amp;C-Painel de Controle'!$O$74*(1-0.0925)*AJ35/1000000,0)</f>
        <v>0</v>
      </c>
      <c r="AK146" s="300">
        <f>IF(AK60&gt;0,'R&amp;C-Painel de Controle'!$O$74*(1-0.0925)*AK35/1000000,0)</f>
        <v>0</v>
      </c>
      <c r="AL146" s="300">
        <f>IF(AL60&gt;0,'R&amp;C-Painel de Controle'!$O$74*(1-0.0925)*AL35/1000000,0)</f>
        <v>0</v>
      </c>
      <c r="AM146" s="300">
        <f>IF(AM60&gt;0,'R&amp;C-Painel de Controle'!$O$74*(1-0.0925)*AM35/1000000,0)</f>
        <v>0</v>
      </c>
      <c r="AN146" s="300">
        <f>IF(AN60&gt;0,'R&amp;C-Painel de Controle'!$O$74*(1-0.0925)*AN35/1000000,0)</f>
        <v>0</v>
      </c>
      <c r="AO146" s="300">
        <f>IF(AO60&gt;0,'R&amp;C-Painel de Controle'!$O$74*(1-0.0925)*AO35/1000000,0)</f>
        <v>0</v>
      </c>
      <c r="AP146" s="300">
        <f>IF(AP60&gt;0,'R&amp;C-Painel de Controle'!$O$74*(1-0.0925)*AP35/1000000,0)</f>
        <v>0</v>
      </c>
      <c r="AQ146" s="300">
        <f>IF(AQ60&gt;0,'R&amp;C-Painel de Controle'!$O$74*(1-0.0925)*AQ35/1000000,0)</f>
        <v>0</v>
      </c>
      <c r="AR146" s="300">
        <f>IF(AR60&gt;0,'R&amp;C-Painel de Controle'!$O$74*(1-0.0925)*AR35/1000000,0)</f>
        <v>0</v>
      </c>
      <c r="AS146" s="300">
        <f>IF(AS60&gt;0,'R&amp;C-Painel de Controle'!$O$74*(1-0.0925)*AS35/1000000,0)</f>
        <v>0</v>
      </c>
      <c r="AT146" s="300">
        <f>IF(AT60&gt;0,'R&amp;C-Painel de Controle'!$O$74*(1-0.0925)*AT35/1000000,0)</f>
        <v>0</v>
      </c>
      <c r="AU146" s="300">
        <f>IF(AU60&gt;0,'R&amp;C-Painel de Controle'!$O$74*(1-0.0925)*AU35/1000000,0)</f>
        <v>0</v>
      </c>
      <c r="AV146" s="300">
        <f>IF(AV60&gt;0,'R&amp;C-Painel de Controle'!$O$74*(1-0.0925)*AV35/1000000,0)</f>
        <v>0</v>
      </c>
      <c r="AW146" s="300">
        <f>IF(AW60&gt;0,'R&amp;C-Painel de Controle'!$O$74*(1-0.0925)*AW35/1000000,0)</f>
        <v>0</v>
      </c>
      <c r="AX146" s="300">
        <f>IF(AX60&gt;0,'R&amp;C-Painel de Controle'!$O$74*(1-0.0925)*AX35/1000000,0)</f>
        <v>0</v>
      </c>
      <c r="AY146" s="300">
        <f>IF(AY60&gt;0,'R&amp;C-Painel de Controle'!$O$74*(1-0.0925)*AY35/1000000,0)</f>
        <v>0</v>
      </c>
      <c r="AZ146" s="300">
        <f>IF(AZ60&gt;0,'R&amp;C-Painel de Controle'!$O$74*(1-0.0925)*AZ35/1000000,0)</f>
        <v>0</v>
      </c>
      <c r="BA146" s="300">
        <f>IF(BA60&gt;0,'R&amp;C-Painel de Controle'!$O$74*(1-0.0925)*BA35/1000000,0)</f>
        <v>0</v>
      </c>
      <c r="BB146" s="300">
        <f>IF(BB60&gt;0,'R&amp;C-Painel de Controle'!$O$74*(1-0.0925)*BB35/1000000,0)</f>
        <v>0</v>
      </c>
      <c r="BC146" s="300">
        <f>IF(BC60&gt;0,'R&amp;C-Painel de Controle'!$O$74*(1-0.0925)*BC35/1000000,0)</f>
        <v>0</v>
      </c>
      <c r="BD146" s="280"/>
      <c r="BE146" s="280"/>
      <c r="BF146" s="280"/>
    </row>
    <row r="147" spans="2:58" s="192" customFormat="1" ht="18" customHeight="1" x14ac:dyDescent="0.25">
      <c r="B147" s="278"/>
      <c r="C147" s="281"/>
      <c r="D147" s="281"/>
      <c r="E147" s="281"/>
      <c r="F147" s="281"/>
      <c r="G147" s="281"/>
      <c r="H147" s="281"/>
      <c r="I147" s="281"/>
      <c r="J147" s="281"/>
      <c r="K147" s="281"/>
      <c r="L147" s="281"/>
      <c r="M147" s="281"/>
      <c r="N147" s="281"/>
      <c r="O147" s="281"/>
      <c r="P147" s="281"/>
      <c r="Q147" s="281"/>
      <c r="R147" s="274"/>
    </row>
    <row r="148" spans="2:58" s="192" customFormat="1" ht="25.15" customHeight="1" x14ac:dyDescent="0.25">
      <c r="B148" s="739" t="s">
        <v>363</v>
      </c>
      <c r="C148" s="281">
        <f t="shared" ref="C148:AH148" si="51">C35*$H$26*(1-0.0925-$C$10)/1000000+C149</f>
        <v>38.288710890497697</v>
      </c>
      <c r="D148" s="281">
        <f t="shared" si="51"/>
        <v>38.468667831683028</v>
      </c>
      <c r="E148" s="281">
        <f t="shared" si="51"/>
        <v>38.649470570491928</v>
      </c>
      <c r="F148" s="281">
        <f t="shared" si="51"/>
        <v>38.831123082173249</v>
      </c>
      <c r="G148" s="281">
        <f t="shared" si="51"/>
        <v>39.013629360659458</v>
      </c>
      <c r="H148" s="281">
        <f t="shared" si="51"/>
        <v>39.196993418654557</v>
      </c>
      <c r="I148" s="281">
        <f t="shared" si="51"/>
        <v>39.381219287722232</v>
      </c>
      <c r="J148" s="281">
        <f t="shared" si="51"/>
        <v>39.56631101837452</v>
      </c>
      <c r="K148" s="281">
        <f t="shared" si="51"/>
        <v>39.752272680160885</v>
      </c>
      <c r="L148" s="281">
        <f t="shared" si="51"/>
        <v>39.939108361757633</v>
      </c>
      <c r="M148" s="281">
        <f t="shared" si="51"/>
        <v>40.126822171057896</v>
      </c>
      <c r="N148" s="281">
        <f t="shared" si="51"/>
        <v>40.315418235261859</v>
      </c>
      <c r="O148" s="281">
        <f t="shared" si="51"/>
        <v>40.504900700967589</v>
      </c>
      <c r="P148" s="281">
        <f t="shared" si="51"/>
        <v>40.69527373426213</v>
      </c>
      <c r="Q148" s="281">
        <f t="shared" si="51"/>
        <v>40.886541520813154</v>
      </c>
      <c r="R148" s="281">
        <f t="shared" si="51"/>
        <v>41.078708265960977</v>
      </c>
      <c r="S148" s="281">
        <f t="shared" si="51"/>
        <v>41.271778194810992</v>
      </c>
      <c r="T148" s="281">
        <f t="shared" si="51"/>
        <v>41.465755552326598</v>
      </c>
      <c r="U148" s="281">
        <f t="shared" si="51"/>
        <v>41.660644603422533</v>
      </c>
      <c r="V148" s="281">
        <f t="shared" si="51"/>
        <v>41.85644963305861</v>
      </c>
      <c r="W148" s="281">
        <f t="shared" si="51"/>
        <v>42.053174946333982</v>
      </c>
      <c r="X148" s="281">
        <f t="shared" si="51"/>
        <v>42.250824868581752</v>
      </c>
      <c r="Y148" s="281">
        <f t="shared" si="51"/>
        <v>42.449403745464075</v>
      </c>
      <c r="Z148" s="281">
        <f t="shared" si="51"/>
        <v>42.648915943067756</v>
      </c>
      <c r="AA148" s="281">
        <f t="shared" si="51"/>
        <v>42.849365848000176</v>
      </c>
      <c r="AB148" s="281">
        <f t="shared" si="51"/>
        <v>43.050757867485771</v>
      </c>
      <c r="AC148" s="281">
        <f t="shared" si="51"/>
        <v>43.25309642946295</v>
      </c>
      <c r="AD148" s="281">
        <f t="shared" si="51"/>
        <v>43.456385982681418</v>
      </c>
      <c r="AE148" s="281">
        <f t="shared" si="51"/>
        <v>43.660630996800023</v>
      </c>
      <c r="AF148" s="281">
        <f t="shared" si="51"/>
        <v>43.865835962484972</v>
      </c>
      <c r="AG148" s="281">
        <f t="shared" si="51"/>
        <v>44.072005391508647</v>
      </c>
      <c r="AH148" s="281">
        <f t="shared" si="51"/>
        <v>44.279143816848745</v>
      </c>
      <c r="AI148" s="281">
        <f t="shared" ref="AI148:BC148" si="52">AI35*$H$26*(1-0.0925-$C$10)/1000000+AI149</f>
        <v>44.487255792787927</v>
      </c>
      <c r="AJ148" s="281">
        <f t="shared" si="52"/>
        <v>44.696345895014026</v>
      </c>
      <c r="AK148" s="281">
        <f t="shared" si="52"/>
        <v>44.906418720720588</v>
      </c>
      <c r="AL148" s="281">
        <f t="shared" si="52"/>
        <v>45.117478888707971</v>
      </c>
      <c r="AM148" s="281">
        <f t="shared" si="52"/>
        <v>45.329531039484891</v>
      </c>
      <c r="AN148" s="281">
        <f t="shared" si="52"/>
        <v>45.542579835370482</v>
      </c>
      <c r="AO148" s="281">
        <f t="shared" si="52"/>
        <v>45.756629960596712</v>
      </c>
      <c r="AP148" s="281">
        <f t="shared" si="52"/>
        <v>45.971686121411516</v>
      </c>
      <c r="AQ148" s="281">
        <f t="shared" si="52"/>
        <v>46.187753046182145</v>
      </c>
      <c r="AR148" s="281">
        <f t="shared" si="52"/>
        <v>46.404835485499191</v>
      </c>
      <c r="AS148" s="281">
        <f t="shared" si="52"/>
        <v>46.622938212281042</v>
      </c>
      <c r="AT148" s="281">
        <f t="shared" si="52"/>
        <v>46.842066021878765</v>
      </c>
      <c r="AU148" s="281">
        <f t="shared" si="52"/>
        <v>47.062223732181593</v>
      </c>
      <c r="AV148" s="281">
        <f t="shared" si="52"/>
        <v>47.283416183722842</v>
      </c>
      <c r="AW148" s="281">
        <f t="shared" si="52"/>
        <v>47.505648239786332</v>
      </c>
      <c r="AX148" s="281">
        <f t="shared" si="52"/>
        <v>47.728924786513332</v>
      </c>
      <c r="AY148" s="281">
        <f t="shared" si="52"/>
        <v>47.953250733009945</v>
      </c>
      <c r="AZ148" s="281">
        <f t="shared" si="52"/>
        <v>48.178631011455082</v>
      </c>
      <c r="BA148" s="281">
        <f t="shared" si="52"/>
        <v>48.405070577208924</v>
      </c>
      <c r="BB148" s="281">
        <f t="shared" si="52"/>
        <v>48.632574408921805</v>
      </c>
      <c r="BC148" s="281">
        <f t="shared" si="52"/>
        <v>48.861147508643739</v>
      </c>
    </row>
    <row r="149" spans="2:58" s="192" customFormat="1" ht="16.899999999999999" customHeight="1" x14ac:dyDescent="0.25">
      <c r="B149" s="192" t="s">
        <v>897</v>
      </c>
      <c r="C149" s="281">
        <f>'R&amp;C-Painel de Controle'!D31*312*'R&amp;C-Painel de Controle'!H31*(1-0.0925-$C$10)/1000000</f>
        <v>1.6135936252841363</v>
      </c>
      <c r="D149" s="281">
        <f>C149*(1+'R&amp;C-Painel de Controle'!$D$27)</f>
        <v>1.6211775153229717</v>
      </c>
      <c r="E149" s="281">
        <f>D149*(1+'R&amp;C-Painel de Controle'!$D$27)</f>
        <v>1.6287970496449895</v>
      </c>
      <c r="F149" s="281">
        <f>E149*(1+'R&amp;C-Painel de Controle'!$D$27)</f>
        <v>1.6364523957783208</v>
      </c>
      <c r="G149" s="281">
        <f>F149*(1+'R&amp;C-Painel de Controle'!$D$27)</f>
        <v>1.6441437220384787</v>
      </c>
      <c r="H149" s="281">
        <f>G149*(1+'R&amp;C-Painel de Controle'!$D$27)</f>
        <v>1.6518711975320595</v>
      </c>
      <c r="I149" s="281">
        <f>H149*(1+'R&amp;C-Painel de Controle'!$D$27)</f>
        <v>1.6596349921604601</v>
      </c>
      <c r="J149" s="281">
        <f>I149*(1+'R&amp;C-Painel de Controle'!$D$27)</f>
        <v>1.667435276623614</v>
      </c>
      <c r="K149" s="281">
        <f>J149*(1+'R&amp;C-Painel de Controle'!$D$27)</f>
        <v>1.6752722224237449</v>
      </c>
      <c r="L149" s="281">
        <f>K149*(1+'R&amp;C-Painel de Controle'!$D$27)</f>
        <v>1.6831460018691364</v>
      </c>
      <c r="M149" s="281">
        <f>L149*(1+'R&amp;C-Painel de Controle'!$D$27)</f>
        <v>1.6910567880779213</v>
      </c>
      <c r="N149" s="281">
        <f>M149*(1+'R&amp;C-Painel de Controle'!$D$27)</f>
        <v>1.6990047549818874</v>
      </c>
      <c r="O149" s="281">
        <f>N149*(1+'R&amp;C-Painel de Controle'!$D$27)</f>
        <v>1.7069900773303022</v>
      </c>
      <c r="P149" s="281">
        <f>O149*(1+'R&amp;C-Painel de Controle'!$D$27)</f>
        <v>1.7150129306937545</v>
      </c>
      <c r="Q149" s="281">
        <f>P149*(1+'R&amp;C-Painel de Controle'!$D$27)</f>
        <v>1.723073491468015</v>
      </c>
      <c r="R149" s="281">
        <f>Q149*(1+'R&amp;C-Painel de Controle'!$D$27)</f>
        <v>1.7311719368779146</v>
      </c>
      <c r="S149" s="281">
        <f>R149*(1+'R&amp;C-Painel de Controle'!$D$27)</f>
        <v>1.7393084449812406</v>
      </c>
      <c r="T149" s="281">
        <f>S149*(1+'R&amp;C-Painel de Controle'!$D$27)</f>
        <v>1.7474831946726523</v>
      </c>
      <c r="U149" s="281">
        <f>T149*(1+'R&amp;C-Painel de Controle'!$D$27)</f>
        <v>1.7556963656876137</v>
      </c>
      <c r="V149" s="281">
        <f>U149*(1+'R&amp;C-Painel de Controle'!$D$27)</f>
        <v>1.7639481386063454</v>
      </c>
      <c r="W149" s="281">
        <f>V149*(1+'R&amp;C-Painel de Controle'!$D$27)</f>
        <v>1.7722386948577951</v>
      </c>
      <c r="X149" s="281">
        <f>W149*(1+'R&amp;C-Painel de Controle'!$D$27)</f>
        <v>1.7805682167236265</v>
      </c>
      <c r="Y149" s="281">
        <f>X149*(1+'R&amp;C-Painel de Controle'!$D$27)</f>
        <v>1.7889368873422273</v>
      </c>
      <c r="Z149" s="281">
        <f>Y149*(1+'R&amp;C-Painel de Controle'!$D$27)</f>
        <v>1.7973448907127356</v>
      </c>
      <c r="AA149" s="281">
        <f>Z149*(1+'R&amp;C-Painel de Controle'!$D$27)</f>
        <v>1.8057924116990853</v>
      </c>
      <c r="AB149" s="281">
        <f>AA149*(1+'R&amp;C-Painel de Controle'!$D$27)</f>
        <v>1.8142796360340709</v>
      </c>
      <c r="AC149" s="281">
        <f>AB149*(1+'R&amp;C-Painel de Controle'!$D$27)</f>
        <v>1.8228067503234309</v>
      </c>
      <c r="AD149" s="281">
        <f>AC149*(1+'R&amp;C-Painel de Controle'!$D$27)</f>
        <v>1.8313739420499509</v>
      </c>
      <c r="AE149" s="281">
        <f>AD149*(1+'R&amp;C-Painel de Controle'!$D$27)</f>
        <v>1.8399813995775856</v>
      </c>
      <c r="AF149" s="281">
        <f>AE149*(1+'R&amp;C-Painel de Controle'!$D$27)</f>
        <v>1.8486293121556001</v>
      </c>
      <c r="AG149" s="281">
        <f>AF149*(1+'R&amp;C-Painel de Controle'!$D$27)</f>
        <v>1.8573178699227313</v>
      </c>
      <c r="AH149" s="281">
        <f>AG149*(1+'R&amp;C-Painel de Controle'!$D$27)</f>
        <v>1.8660472639113679</v>
      </c>
      <c r="AI149" s="281">
        <f>AH149*(1+'R&amp;C-Painel de Controle'!$D$27)</f>
        <v>1.8748176860517511</v>
      </c>
      <c r="AJ149" s="281">
        <f>AI149*(1+'R&amp;C-Painel de Controle'!$D$27)</f>
        <v>1.8836293291761943</v>
      </c>
      <c r="AK149" s="281">
        <f>AJ149*(1+'R&amp;C-Painel de Controle'!$D$27)</f>
        <v>1.8924823870233223</v>
      </c>
      <c r="AL149" s="281">
        <f>AK149*(1+'R&amp;C-Painel de Controle'!$D$27)</f>
        <v>1.9013770542423318</v>
      </c>
      <c r="AM149" s="281">
        <f>AL149*(1+'R&amp;C-Painel de Controle'!$D$27)</f>
        <v>1.9103135263972706</v>
      </c>
      <c r="AN149" s="281">
        <f>AM149*(1+'R&amp;C-Painel de Controle'!$D$27)</f>
        <v>1.9192919999713376</v>
      </c>
      <c r="AO149" s="281">
        <f>AN149*(1+'R&amp;C-Painel de Controle'!$D$27)</f>
        <v>1.9283126723712027</v>
      </c>
      <c r="AP149" s="281">
        <f>AO149*(1+'R&amp;C-Painel de Controle'!$D$27)</f>
        <v>1.9373757419313473</v>
      </c>
      <c r="AQ149" s="281">
        <f>AP149*(1+'R&amp;C-Painel de Controle'!$D$27)</f>
        <v>1.9464814079184245</v>
      </c>
      <c r="AR149" s="281">
        <f>AQ149*(1+'R&amp;C-Painel de Controle'!$D$27)</f>
        <v>1.955629870535641</v>
      </c>
      <c r="AS149" s="281">
        <f>AR149*(1+'R&amp;C-Painel de Controle'!$D$27)</f>
        <v>1.9648213309271583</v>
      </c>
      <c r="AT149" s="281">
        <f>AS149*(1+'R&amp;C-Painel de Controle'!$D$27)</f>
        <v>1.9740559911825157</v>
      </c>
      <c r="AU149" s="281">
        <f>AT149*(1+'R&amp;C-Painel de Controle'!$D$27)</f>
        <v>1.9833340543410733</v>
      </c>
      <c r="AV149" s="281">
        <f>AU149*(1+'R&amp;C-Painel de Controle'!$D$27)</f>
        <v>1.9926557243964762</v>
      </c>
      <c r="AW149" s="281">
        <f>AV149*(1+'R&amp;C-Painel de Controle'!$D$27)</f>
        <v>2.0020212063011393</v>
      </c>
      <c r="AX149" s="281">
        <f>AW149*(1+'R&amp;C-Painel de Controle'!$D$27)</f>
        <v>2.0114307059707546</v>
      </c>
      <c r="AY149" s="281">
        <f>AX149*(1+'R&amp;C-Painel de Controle'!$D$27)</f>
        <v>2.0208844302888171</v>
      </c>
      <c r="AZ149" s="281">
        <f>AY149*(1+'R&amp;C-Painel de Controle'!$D$27)</f>
        <v>2.0303825871111743</v>
      </c>
      <c r="BA149" s="281">
        <f>AZ149*(1+'R&amp;C-Painel de Controle'!$D$27)</f>
        <v>2.0399253852705965</v>
      </c>
      <c r="BB149" s="281">
        <f>BA149*(1+'R&amp;C-Painel de Controle'!$D$27)</f>
        <v>2.0495130345813681</v>
      </c>
      <c r="BC149" s="281">
        <f>BB149*(1+'R&amp;C-Painel de Controle'!$D$27)</f>
        <v>2.0591457458439004</v>
      </c>
    </row>
    <row r="150" spans="2:58" s="192" customFormat="1" ht="25.15" customHeight="1" x14ac:dyDescent="0.25">
      <c r="B150" s="739" t="s">
        <v>625</v>
      </c>
      <c r="R150" s="274"/>
    </row>
    <row r="151" spans="2:58" s="192" customFormat="1" ht="16.899999999999999" customHeight="1" outlineLevel="1" x14ac:dyDescent="0.25">
      <c r="B151" s="192" t="s">
        <v>626</v>
      </c>
      <c r="C151" s="282">
        <f t="shared" ref="C151:BC151" si="53">C148+C121-C119</f>
        <v>34.735024890497698</v>
      </c>
      <c r="D151" s="282">
        <f t="shared" si="53"/>
        <v>34.914981831683029</v>
      </c>
      <c r="E151" s="282">
        <f t="shared" si="53"/>
        <v>35.095784570491929</v>
      </c>
      <c r="F151" s="282">
        <f t="shared" si="53"/>
        <v>6.8070283191809722</v>
      </c>
      <c r="G151" s="282">
        <f t="shared" si="53"/>
        <v>6.9895345976671805</v>
      </c>
      <c r="H151" s="282">
        <f t="shared" si="53"/>
        <v>7.17289865566228</v>
      </c>
      <c r="I151" s="282">
        <f t="shared" si="53"/>
        <v>7.3571245247299544</v>
      </c>
      <c r="J151" s="282">
        <f t="shared" si="53"/>
        <v>7.5422162553822432</v>
      </c>
      <c r="K151" s="282">
        <f t="shared" si="53"/>
        <v>7.7281779171686082</v>
      </c>
      <c r="L151" s="282">
        <f t="shared" si="53"/>
        <v>7.9150135987653556</v>
      </c>
      <c r="M151" s="282">
        <f t="shared" si="53"/>
        <v>8.1027274080656184</v>
      </c>
      <c r="N151" s="282">
        <f t="shared" si="53"/>
        <v>8.2913234722695819</v>
      </c>
      <c r="O151" s="282">
        <f t="shared" si="53"/>
        <v>8.4808059379753118</v>
      </c>
      <c r="P151" s="282">
        <f t="shared" si="53"/>
        <v>8.6711789712698533</v>
      </c>
      <c r="Q151" s="282">
        <f t="shared" si="53"/>
        <v>8.8624467578208765</v>
      </c>
      <c r="R151" s="282">
        <f t="shared" si="53"/>
        <v>9.0546135029686994</v>
      </c>
      <c r="S151" s="282">
        <f t="shared" si="53"/>
        <v>9.2476834318187144</v>
      </c>
      <c r="T151" s="282">
        <f t="shared" si="53"/>
        <v>9.4416607893343212</v>
      </c>
      <c r="U151" s="282">
        <f t="shared" si="53"/>
        <v>9.6365498404302556</v>
      </c>
      <c r="V151" s="282">
        <f t="shared" si="53"/>
        <v>9.8323548700663324</v>
      </c>
      <c r="W151" s="282">
        <f t="shared" si="53"/>
        <v>10.029080183341705</v>
      </c>
      <c r="X151" s="282">
        <f t="shared" si="53"/>
        <v>10.226730105589475</v>
      </c>
      <c r="Y151" s="282">
        <f t="shared" si="53"/>
        <v>10.425308982471797</v>
      </c>
      <c r="Z151" s="282">
        <f t="shared" si="53"/>
        <v>10.624821180075479</v>
      </c>
      <c r="AA151" s="282">
        <f t="shared" si="53"/>
        <v>10.825271085007898</v>
      </c>
      <c r="AB151" s="282">
        <f t="shared" si="53"/>
        <v>11.026663104493494</v>
      </c>
      <c r="AC151" s="282">
        <f t="shared" si="53"/>
        <v>11.229001666470673</v>
      </c>
      <c r="AD151" s="282">
        <f t="shared" si="53"/>
        <v>11.432291219689141</v>
      </c>
      <c r="AE151" s="282">
        <f t="shared" si="53"/>
        <v>11.636536233807746</v>
      </c>
      <c r="AF151" s="282">
        <f t="shared" si="53"/>
        <v>11.841741199492695</v>
      </c>
      <c r="AG151" s="282">
        <f t="shared" si="53"/>
        <v>12.04791062851637</v>
      </c>
      <c r="AH151" s="282">
        <f t="shared" si="53"/>
        <v>12.255049053856467</v>
      </c>
      <c r="AI151" s="282">
        <f t="shared" si="53"/>
        <v>12.46316102979565</v>
      </c>
      <c r="AJ151" s="282">
        <f t="shared" si="53"/>
        <v>12.672251132021749</v>
      </c>
      <c r="AK151" s="282">
        <f t="shared" si="53"/>
        <v>12.88232395772831</v>
      </c>
      <c r="AL151" s="282">
        <f t="shared" si="53"/>
        <v>13.093384125715694</v>
      </c>
      <c r="AM151" s="282">
        <f t="shared" si="53"/>
        <v>13.305436276492614</v>
      </c>
      <c r="AN151" s="282">
        <f t="shared" si="53"/>
        <v>13.518485072378205</v>
      </c>
      <c r="AO151" s="282">
        <f t="shared" si="53"/>
        <v>13.732535197604435</v>
      </c>
      <c r="AP151" s="282">
        <f t="shared" si="53"/>
        <v>13.947591358419238</v>
      </c>
      <c r="AQ151" s="282">
        <f t="shared" si="53"/>
        <v>14.163658283189868</v>
      </c>
      <c r="AR151" s="282">
        <f t="shared" si="53"/>
        <v>14.380740722506914</v>
      </c>
      <c r="AS151" s="282">
        <f t="shared" si="53"/>
        <v>14.598843449288765</v>
      </c>
      <c r="AT151" s="282">
        <f t="shared" si="53"/>
        <v>14.817971258886487</v>
      </c>
      <c r="AU151" s="282">
        <f t="shared" si="53"/>
        <v>15.038128969189316</v>
      </c>
      <c r="AV151" s="282">
        <f t="shared" si="53"/>
        <v>15.259321420730565</v>
      </c>
      <c r="AW151" s="282">
        <f t="shared" si="53"/>
        <v>15.481553476794055</v>
      </c>
      <c r="AX151" s="282">
        <f t="shared" si="53"/>
        <v>15.704830023521055</v>
      </c>
      <c r="AY151" s="282">
        <f t="shared" si="53"/>
        <v>15.929155970017668</v>
      </c>
      <c r="AZ151" s="282">
        <f t="shared" si="53"/>
        <v>16.154536248462804</v>
      </c>
      <c r="BA151" s="282">
        <f t="shared" si="53"/>
        <v>16.380975814216647</v>
      </c>
      <c r="BB151" s="282">
        <f t="shared" si="53"/>
        <v>16.608479645929528</v>
      </c>
      <c r="BC151" s="282">
        <f t="shared" si="53"/>
        <v>16.837052745651462</v>
      </c>
    </row>
    <row r="152" spans="2:58" s="192" customFormat="1" ht="16.899999999999999" customHeight="1" outlineLevel="1" x14ac:dyDescent="0.25">
      <c r="B152" s="192" t="s">
        <v>364</v>
      </c>
      <c r="C152" s="282">
        <f>C63</f>
        <v>79.308724236660794</v>
      </c>
      <c r="D152" s="282">
        <f>IF(SUM($C$152:C152)&lt;'R&amp;C-Painel de Controle'!$H$24,D63,0)</f>
        <v>121.06304957243202</v>
      </c>
      <c r="E152" s="282">
        <f>IF(SUM($C$152:D152)&lt;'R&amp;C-Painel de Controle'!$H$24,E63,0)</f>
        <v>111.3935103955976</v>
      </c>
      <c r="F152" s="282">
        <f>IF(SUM($C$152:E152)&lt;'R&amp;C-Painel de Controle'!$H$24,F63,0)</f>
        <v>0</v>
      </c>
      <c r="G152" s="282">
        <f>IF(SUM($C$152:F152)&lt;'R&amp;C-Painel de Controle'!$H$24,G63,0)</f>
        <v>0</v>
      </c>
      <c r="H152" s="282">
        <f>IF(SUM($C$152:G152)&lt;'R&amp;C-Painel de Controle'!$H$24,H63,0)</f>
        <v>0</v>
      </c>
      <c r="I152" s="282">
        <f>IF(SUM($C$152:H152)&lt;'R&amp;C-Painel de Controle'!$H$24,I63,0)</f>
        <v>0</v>
      </c>
      <c r="J152" s="282">
        <f>IF(SUM($C$152:I152)&lt;'R&amp;C-Painel de Controle'!$H$24,J63,0)</f>
        <v>0</v>
      </c>
      <c r="K152" s="282">
        <f>IF(SUM($C$152:J152)&lt;'R&amp;C-Painel de Controle'!$H$24,K63,0)</f>
        <v>0</v>
      </c>
      <c r="L152" s="282">
        <f>IF(SUM($C$152:K152)&lt;'R&amp;C-Painel de Controle'!$H$24,L63,0)</f>
        <v>0</v>
      </c>
      <c r="M152" s="282">
        <f>IF(SUM($C$152:L152)&lt;'R&amp;C-Painel de Controle'!$H$24,M63,0)</f>
        <v>0</v>
      </c>
      <c r="N152" s="282">
        <f>IF(SUM($C$152:M152)&lt;'R&amp;C-Painel de Controle'!$H$24,N63,0)</f>
        <v>0</v>
      </c>
      <c r="O152" s="282">
        <f>IF(SUM($C$152:N152)&lt;'R&amp;C-Painel de Controle'!$H$24,O63,0)</f>
        <v>0</v>
      </c>
      <c r="P152" s="282">
        <f>IF(SUM($C$152:O152)&lt;'R&amp;C-Painel de Controle'!$H$24,P63,0)</f>
        <v>0</v>
      </c>
      <c r="Q152" s="282">
        <f>IF(SUM($C$152:P152)&lt;'R&amp;C-Painel de Controle'!$H$24,Q63,0)</f>
        <v>0</v>
      </c>
      <c r="R152" s="282">
        <f>IF(SUM($C$152:Q152)&lt;'R&amp;C-Painel de Controle'!$H$24,R63,0)</f>
        <v>0</v>
      </c>
      <c r="S152" s="282">
        <f>IF(SUM($C$152:R152)&lt;'R&amp;C-Painel de Controle'!$H$24,S63,0)</f>
        <v>0</v>
      </c>
      <c r="T152" s="282">
        <f>IF(SUM($C$152:S152)&lt;'R&amp;C-Painel de Controle'!$H$24,T63,0)</f>
        <v>0</v>
      </c>
      <c r="U152" s="282">
        <f>IF(SUM($C$152:T152)&lt;'R&amp;C-Painel de Controle'!$H$24,U63,0)</f>
        <v>0</v>
      </c>
      <c r="V152" s="282">
        <f>IF(SUM($C$152:U152)&lt;'R&amp;C-Painel de Controle'!$H$24,V63,0)</f>
        <v>0</v>
      </c>
      <c r="W152" s="282">
        <f>IF(SUM($C$152:V152)&lt;'R&amp;C-Painel de Controle'!$H$24,W63,0)</f>
        <v>0</v>
      </c>
      <c r="X152" s="282">
        <f>IF(SUM($C$152:W152)&lt;'R&amp;C-Painel de Controle'!$H$24,X63,0)</f>
        <v>0</v>
      </c>
      <c r="Y152" s="282">
        <f>IF(SUM($C$152:X152)&lt;'R&amp;C-Painel de Controle'!$H$24,Y63,0)</f>
        <v>0</v>
      </c>
      <c r="Z152" s="282">
        <f>IF(SUM($C$152:Y152)&lt;'R&amp;C-Painel de Controle'!$H$24,Z63,0)</f>
        <v>0</v>
      </c>
      <c r="AA152" s="282">
        <f>IF(SUM($C$152:Z152)&lt;'R&amp;C-Painel de Controle'!$H$24,AA63,0)</f>
        <v>0</v>
      </c>
      <c r="AB152" s="282">
        <f>IF(SUM($C$152:AA152)&lt;'R&amp;C-Painel de Controle'!$H$24,AB63,0)</f>
        <v>0</v>
      </c>
      <c r="AC152" s="282">
        <f>IF(SUM($C$152:AB152)&lt;'R&amp;C-Painel de Controle'!$H$24,AC63,0)</f>
        <v>0</v>
      </c>
      <c r="AD152" s="282">
        <f>IF(SUM($C$152:AC152)&lt;'R&amp;C-Painel de Controle'!$H$24,AD63,0)</f>
        <v>0</v>
      </c>
      <c r="AE152" s="282">
        <f>IF(SUM($C$152:AD152)&lt;'R&amp;C-Painel de Controle'!$H$24,AE63,0)</f>
        <v>0</v>
      </c>
      <c r="AF152" s="282">
        <f>IF(SUM($C$152:AE152)&lt;'R&amp;C-Painel de Controle'!$H$24,AF63,0)</f>
        <v>0</v>
      </c>
      <c r="AG152" s="282">
        <f>IF(SUM($C$152:AF152)&lt;'R&amp;C-Painel de Controle'!$H$24,AG63,0)</f>
        <v>0</v>
      </c>
      <c r="AH152" s="282">
        <f>IF(SUM($C$152:AG152)&lt;'R&amp;C-Painel de Controle'!$H$24,AH63,0)</f>
        <v>0</v>
      </c>
      <c r="AI152" s="282">
        <f>IF(SUM($C$152:AH152)&lt;'R&amp;C-Painel de Controle'!$H$24,AI63,0)</f>
        <v>0</v>
      </c>
      <c r="AJ152" s="282">
        <f>IF(SUM($C$152:AI152)&lt;'R&amp;C-Painel de Controle'!$H$24,AJ63,0)</f>
        <v>0</v>
      </c>
      <c r="AK152" s="282">
        <f>IF(SUM($C$152:AJ152)&lt;'R&amp;C-Painel de Controle'!$H$24,AK63,0)</f>
        <v>0</v>
      </c>
      <c r="AL152" s="282">
        <f>IF(SUM($C$152:AK152)&lt;'R&amp;C-Painel de Controle'!$H$24,AL63,0)</f>
        <v>0</v>
      </c>
      <c r="AM152" s="282">
        <f>IF(SUM($C$152:AL152)&lt;'R&amp;C-Painel de Controle'!$H$24,AM63,0)</f>
        <v>0</v>
      </c>
      <c r="AN152" s="282">
        <f>IF(SUM($C$152:AM152)&lt;'R&amp;C-Painel de Controle'!$H$24,AN63,0)</f>
        <v>0</v>
      </c>
      <c r="AO152" s="282">
        <f>IF(SUM($C$152:AN152)&lt;'R&amp;C-Painel de Controle'!$H$24,AO63,0)</f>
        <v>0</v>
      </c>
      <c r="AP152" s="282">
        <f>IF(SUM($C$152:AO152)&lt;'R&amp;C-Painel de Controle'!$H$24,AP63,0)</f>
        <v>0</v>
      </c>
      <c r="AQ152" s="282">
        <f>IF(SUM($C$152:AP152)&lt;'R&amp;C-Painel de Controle'!$H$24,AQ63,0)</f>
        <v>0</v>
      </c>
      <c r="AR152" s="282">
        <f>IF(SUM($C$152:AQ152)&lt;'R&amp;C-Painel de Controle'!$H$24,AR63,0)</f>
        <v>0</v>
      </c>
      <c r="AS152" s="282">
        <f>IF(SUM($C$152:AR152)&lt;'R&amp;C-Painel de Controle'!$H$24,AS63,0)</f>
        <v>0</v>
      </c>
      <c r="AT152" s="282">
        <f>IF(SUM($C$152:AS152)&lt;'R&amp;C-Painel de Controle'!$H$24,AT63,0)</f>
        <v>0</v>
      </c>
      <c r="AU152" s="282">
        <f>IF(SUM($C$152:AT152)&lt;'R&amp;C-Painel de Controle'!$H$24,AU63,0)</f>
        <v>0</v>
      </c>
      <c r="AV152" s="282">
        <f>IF(SUM($C$152:AU152)&lt;'R&amp;C-Painel de Controle'!$H$24,AV63,0)</f>
        <v>0</v>
      </c>
      <c r="AW152" s="282">
        <f>IF(SUM($C$152:AV152)&lt;'R&amp;C-Painel de Controle'!$H$24,AW63,0)</f>
        <v>0</v>
      </c>
      <c r="AX152" s="282">
        <f>IF(SUM($C$152:AW152)&lt;'R&amp;C-Painel de Controle'!$H$24,AX63,0)</f>
        <v>0</v>
      </c>
      <c r="AY152" s="282">
        <f>IF(SUM($C$152:AX152)&lt;'R&amp;C-Painel de Controle'!$H$24,AY63,0)</f>
        <v>0</v>
      </c>
      <c r="AZ152" s="282">
        <f>IF(SUM($C$152:AY152)&lt;'R&amp;C-Painel de Controle'!$H$24,AZ63,0)</f>
        <v>0</v>
      </c>
      <c r="BA152" s="282">
        <f>IF(SUM($C$152:AZ152)&lt;'R&amp;C-Painel de Controle'!$H$24,BA63,0)</f>
        <v>0</v>
      </c>
      <c r="BB152" s="282">
        <f>IF(SUM($C$152:BA152)&lt;'R&amp;C-Painel de Controle'!$H$24,BB63,0)</f>
        <v>0</v>
      </c>
      <c r="BC152" s="282">
        <f>IF(SUM($C$152:BB152)&lt;'R&amp;C-Painel de Controle'!$H$24,BC63,0)</f>
        <v>0</v>
      </c>
    </row>
    <row r="153" spans="2:58" s="192" customFormat="1" ht="16.899999999999999" customHeight="1" outlineLevel="1" x14ac:dyDescent="0.25">
      <c r="B153" s="192" t="s">
        <v>365</v>
      </c>
      <c r="C153" s="282">
        <f t="shared" ref="C153:BC153" si="54">C151-C152</f>
        <v>-44.573699346163096</v>
      </c>
      <c r="D153" s="282">
        <f t="shared" si="54"/>
        <v>-86.148067740748985</v>
      </c>
      <c r="E153" s="282">
        <f t="shared" si="54"/>
        <v>-76.297725825105672</v>
      </c>
      <c r="F153" s="282">
        <f t="shared" si="54"/>
        <v>6.8070283191809722</v>
      </c>
      <c r="G153" s="282">
        <f t="shared" si="54"/>
        <v>6.9895345976671805</v>
      </c>
      <c r="H153" s="282">
        <f t="shared" si="54"/>
        <v>7.17289865566228</v>
      </c>
      <c r="I153" s="282">
        <f t="shared" si="54"/>
        <v>7.3571245247299544</v>
      </c>
      <c r="J153" s="282">
        <f t="shared" si="54"/>
        <v>7.5422162553822432</v>
      </c>
      <c r="K153" s="282">
        <f t="shared" si="54"/>
        <v>7.7281779171686082</v>
      </c>
      <c r="L153" s="282">
        <f t="shared" si="54"/>
        <v>7.9150135987653556</v>
      </c>
      <c r="M153" s="282">
        <f t="shared" si="54"/>
        <v>8.1027274080656184</v>
      </c>
      <c r="N153" s="282">
        <f t="shared" si="54"/>
        <v>8.2913234722695819</v>
      </c>
      <c r="O153" s="282">
        <f t="shared" si="54"/>
        <v>8.4808059379753118</v>
      </c>
      <c r="P153" s="282">
        <f t="shared" si="54"/>
        <v>8.6711789712698533</v>
      </c>
      <c r="Q153" s="282">
        <f t="shared" si="54"/>
        <v>8.8624467578208765</v>
      </c>
      <c r="R153" s="282">
        <f t="shared" si="54"/>
        <v>9.0546135029686994</v>
      </c>
      <c r="S153" s="282">
        <f t="shared" si="54"/>
        <v>9.2476834318187144</v>
      </c>
      <c r="T153" s="282">
        <f t="shared" si="54"/>
        <v>9.4416607893343212</v>
      </c>
      <c r="U153" s="282">
        <f t="shared" si="54"/>
        <v>9.6365498404302556</v>
      </c>
      <c r="V153" s="282">
        <f t="shared" si="54"/>
        <v>9.8323548700663324</v>
      </c>
      <c r="W153" s="282">
        <f t="shared" si="54"/>
        <v>10.029080183341705</v>
      </c>
      <c r="X153" s="282">
        <f t="shared" si="54"/>
        <v>10.226730105589475</v>
      </c>
      <c r="Y153" s="282">
        <f t="shared" si="54"/>
        <v>10.425308982471797</v>
      </c>
      <c r="Z153" s="282">
        <f t="shared" si="54"/>
        <v>10.624821180075479</v>
      </c>
      <c r="AA153" s="282">
        <f t="shared" si="54"/>
        <v>10.825271085007898</v>
      </c>
      <c r="AB153" s="282">
        <f t="shared" si="54"/>
        <v>11.026663104493494</v>
      </c>
      <c r="AC153" s="282">
        <f t="shared" si="54"/>
        <v>11.229001666470673</v>
      </c>
      <c r="AD153" s="282">
        <f t="shared" si="54"/>
        <v>11.432291219689141</v>
      </c>
      <c r="AE153" s="282">
        <f t="shared" si="54"/>
        <v>11.636536233807746</v>
      </c>
      <c r="AF153" s="282">
        <f t="shared" si="54"/>
        <v>11.841741199492695</v>
      </c>
      <c r="AG153" s="282">
        <f t="shared" si="54"/>
        <v>12.04791062851637</v>
      </c>
      <c r="AH153" s="282">
        <f t="shared" si="54"/>
        <v>12.255049053856467</v>
      </c>
      <c r="AI153" s="282">
        <f t="shared" si="54"/>
        <v>12.46316102979565</v>
      </c>
      <c r="AJ153" s="282">
        <f t="shared" si="54"/>
        <v>12.672251132021749</v>
      </c>
      <c r="AK153" s="282">
        <f t="shared" si="54"/>
        <v>12.88232395772831</v>
      </c>
      <c r="AL153" s="282">
        <f t="shared" si="54"/>
        <v>13.093384125715694</v>
      </c>
      <c r="AM153" s="282">
        <f t="shared" si="54"/>
        <v>13.305436276492614</v>
      </c>
      <c r="AN153" s="282">
        <f t="shared" si="54"/>
        <v>13.518485072378205</v>
      </c>
      <c r="AO153" s="282">
        <f t="shared" si="54"/>
        <v>13.732535197604435</v>
      </c>
      <c r="AP153" s="282">
        <f t="shared" si="54"/>
        <v>13.947591358419238</v>
      </c>
      <c r="AQ153" s="282">
        <f t="shared" si="54"/>
        <v>14.163658283189868</v>
      </c>
      <c r="AR153" s="282">
        <f t="shared" si="54"/>
        <v>14.380740722506914</v>
      </c>
      <c r="AS153" s="282">
        <f t="shared" si="54"/>
        <v>14.598843449288765</v>
      </c>
      <c r="AT153" s="282">
        <f t="shared" si="54"/>
        <v>14.817971258886487</v>
      </c>
      <c r="AU153" s="282">
        <f t="shared" si="54"/>
        <v>15.038128969189316</v>
      </c>
      <c r="AV153" s="282">
        <f t="shared" si="54"/>
        <v>15.259321420730565</v>
      </c>
      <c r="AW153" s="282">
        <f t="shared" si="54"/>
        <v>15.481553476794055</v>
      </c>
      <c r="AX153" s="282">
        <f t="shared" si="54"/>
        <v>15.704830023521055</v>
      </c>
      <c r="AY153" s="282">
        <f t="shared" si="54"/>
        <v>15.929155970017668</v>
      </c>
      <c r="AZ153" s="282">
        <f t="shared" si="54"/>
        <v>16.154536248462804</v>
      </c>
      <c r="BA153" s="282">
        <f t="shared" si="54"/>
        <v>16.380975814216647</v>
      </c>
      <c r="BB153" s="282">
        <f t="shared" si="54"/>
        <v>16.608479645929528</v>
      </c>
      <c r="BC153" s="282">
        <f t="shared" si="54"/>
        <v>16.837052745651462</v>
      </c>
    </row>
    <row r="154" spans="2:58" s="192" customFormat="1" ht="16.899999999999999" customHeight="1" outlineLevel="1" x14ac:dyDescent="0.25">
      <c r="B154" s="276" t="s">
        <v>366</v>
      </c>
      <c r="C154" s="282">
        <f>IF((C153&gt;0),C153*(1-($C$26+$C$25)),C153)</f>
        <v>-44.573699346163096</v>
      </c>
      <c r="D154" s="282">
        <f t="shared" ref="D154:BC154" si="55">IF((D153&gt;0),D153*(1-($C$26+$C$25)),D153)</f>
        <v>-86.148067740748985</v>
      </c>
      <c r="E154" s="282">
        <f t="shared" si="55"/>
        <v>-76.297725825105672</v>
      </c>
      <c r="F154" s="282">
        <f t="shared" si="55"/>
        <v>4.492638690659442</v>
      </c>
      <c r="G154" s="282">
        <f t="shared" si="55"/>
        <v>4.613092834460339</v>
      </c>
      <c r="H154" s="282">
        <f t="shared" si="55"/>
        <v>4.7341131127371048</v>
      </c>
      <c r="I154" s="282">
        <f t="shared" si="55"/>
        <v>4.8557021863217704</v>
      </c>
      <c r="J154" s="282">
        <f t="shared" si="55"/>
        <v>4.9778627285522807</v>
      </c>
      <c r="K154" s="282">
        <f t="shared" si="55"/>
        <v>5.1005974253312818</v>
      </c>
      <c r="L154" s="282">
        <f t="shared" si="55"/>
        <v>5.2239089751851351</v>
      </c>
      <c r="M154" s="282">
        <f t="shared" si="55"/>
        <v>5.3478000893233082</v>
      </c>
      <c r="N154" s="282">
        <f t="shared" si="55"/>
        <v>5.4722734916979245</v>
      </c>
      <c r="O154" s="282">
        <f t="shared" si="55"/>
        <v>5.5973319190637056</v>
      </c>
      <c r="P154" s="282">
        <f t="shared" si="55"/>
        <v>5.7229781210381034</v>
      </c>
      <c r="Q154" s="282">
        <f t="shared" si="55"/>
        <v>5.8492148601617791</v>
      </c>
      <c r="R154" s="282">
        <f t="shared" si="55"/>
        <v>5.9760449119593417</v>
      </c>
      <c r="S154" s="282">
        <f t="shared" si="55"/>
        <v>6.1034710650003516</v>
      </c>
      <c r="T154" s="282">
        <f t="shared" si="55"/>
        <v>6.2314961209606521</v>
      </c>
      <c r="U154" s="282">
        <f t="shared" si="55"/>
        <v>6.3601228946839692</v>
      </c>
      <c r="V154" s="282">
        <f t="shared" si="55"/>
        <v>6.4893542142437797</v>
      </c>
      <c r="W154" s="282">
        <f t="shared" si="55"/>
        <v>6.6191929210055251</v>
      </c>
      <c r="X154" s="282">
        <f t="shared" si="55"/>
        <v>6.7496418696890537</v>
      </c>
      <c r="Y154" s="282">
        <f t="shared" si="55"/>
        <v>6.8807039284313865</v>
      </c>
      <c r="Z154" s="282">
        <f t="shared" si="55"/>
        <v>7.0123819788498167</v>
      </c>
      <c r="AA154" s="282">
        <f t="shared" si="55"/>
        <v>7.1446789161052129</v>
      </c>
      <c r="AB154" s="282">
        <f t="shared" si="55"/>
        <v>7.2775976489657062</v>
      </c>
      <c r="AC154" s="282">
        <f t="shared" si="55"/>
        <v>7.411141099870644</v>
      </c>
      <c r="AD154" s="282">
        <f t="shared" si="55"/>
        <v>7.5453122049948336</v>
      </c>
      <c r="AE154" s="282">
        <f t="shared" si="55"/>
        <v>7.6801139143131127</v>
      </c>
      <c r="AF154" s="282">
        <f t="shared" si="55"/>
        <v>7.8155491916651787</v>
      </c>
      <c r="AG154" s="282">
        <f t="shared" si="55"/>
        <v>7.9516210148208044</v>
      </c>
      <c r="AH154" s="282">
        <f t="shared" si="55"/>
        <v>8.088332375545269</v>
      </c>
      <c r="AI154" s="282">
        <f t="shared" si="55"/>
        <v>8.2256862796651298</v>
      </c>
      <c r="AJ154" s="282">
        <f t="shared" si="55"/>
        <v>8.3636857471343546</v>
      </c>
      <c r="AK154" s="282">
        <f t="shared" si="55"/>
        <v>8.5023338121006855</v>
      </c>
      <c r="AL154" s="282">
        <f t="shared" si="55"/>
        <v>8.6416335229723593</v>
      </c>
      <c r="AM154" s="282">
        <f t="shared" si="55"/>
        <v>8.7815879424851264</v>
      </c>
      <c r="AN154" s="282">
        <f t="shared" si="55"/>
        <v>8.9222001477696153</v>
      </c>
      <c r="AO154" s="282">
        <f t="shared" si="55"/>
        <v>9.0634732304189267</v>
      </c>
      <c r="AP154" s="282">
        <f t="shared" si="55"/>
        <v>9.205410296556698</v>
      </c>
      <c r="AQ154" s="282">
        <f t="shared" si="55"/>
        <v>9.3480144669053136</v>
      </c>
      <c r="AR154" s="282">
        <f t="shared" si="55"/>
        <v>9.4912888768545631</v>
      </c>
      <c r="AS154" s="282">
        <f t="shared" si="55"/>
        <v>9.6352366765305852</v>
      </c>
      <c r="AT154" s="282">
        <f t="shared" si="55"/>
        <v>9.7798610308650815</v>
      </c>
      <c r="AU154" s="282">
        <f t="shared" si="55"/>
        <v>9.9251651196649497</v>
      </c>
      <c r="AV154" s="282">
        <f t="shared" si="55"/>
        <v>10.071152137682173</v>
      </c>
      <c r="AW154" s="282">
        <f t="shared" si="55"/>
        <v>10.217825294684078</v>
      </c>
      <c r="AX154" s="282">
        <f t="shared" si="55"/>
        <v>10.365187815523896</v>
      </c>
      <c r="AY154" s="282">
        <f t="shared" si="55"/>
        <v>10.513242940211661</v>
      </c>
      <c r="AZ154" s="282">
        <f t="shared" si="55"/>
        <v>10.661993923985451</v>
      </c>
      <c r="BA154" s="282">
        <f t="shared" si="55"/>
        <v>10.811444037382987</v>
      </c>
      <c r="BB154" s="282">
        <f t="shared" si="55"/>
        <v>10.961596566313489</v>
      </c>
      <c r="BC154" s="282">
        <f t="shared" si="55"/>
        <v>11.112454812129966</v>
      </c>
    </row>
    <row r="155" spans="2:58" s="192" customFormat="1" ht="16.899999999999999" customHeight="1" outlineLevel="1" x14ac:dyDescent="0.25">
      <c r="C155" s="283"/>
      <c r="D155" s="283"/>
      <c r="E155" s="283"/>
      <c r="F155" s="283"/>
      <c r="G155" s="283"/>
      <c r="H155" s="283"/>
      <c r="I155" s="283"/>
      <c r="J155" s="283"/>
      <c r="K155" s="283"/>
      <c r="L155" s="283"/>
      <c r="M155" s="283"/>
      <c r="N155" s="283"/>
      <c r="O155" s="283"/>
      <c r="P155" s="283"/>
      <c r="Q155" s="283"/>
      <c r="R155" s="282"/>
      <c r="S155" s="283"/>
      <c r="T155" s="283"/>
      <c r="U155" s="283"/>
      <c r="V155" s="283"/>
      <c r="W155" s="283"/>
      <c r="X155" s="283"/>
      <c r="Y155" s="283"/>
      <c r="Z155" s="283"/>
      <c r="AA155" s="283"/>
      <c r="AB155" s="283"/>
      <c r="AC155" s="283"/>
      <c r="AD155" s="283"/>
      <c r="AE155" s="283"/>
      <c r="AF155" s="283"/>
      <c r="AG155" s="283"/>
      <c r="AH155" s="283"/>
      <c r="AI155" s="283"/>
      <c r="AJ155" s="283"/>
      <c r="AK155" s="283"/>
      <c r="AL155" s="283"/>
      <c r="AM155" s="283"/>
      <c r="AN155" s="283"/>
      <c r="AO155" s="283"/>
      <c r="AP155" s="283"/>
      <c r="AQ155" s="283"/>
      <c r="AR155" s="283"/>
      <c r="AS155" s="283"/>
      <c r="AT155" s="283"/>
      <c r="AU155" s="283"/>
      <c r="AV155" s="283"/>
      <c r="AW155" s="283"/>
      <c r="AX155" s="283"/>
      <c r="AY155" s="283"/>
      <c r="AZ155" s="283"/>
      <c r="BA155" s="283"/>
      <c r="BB155" s="283"/>
      <c r="BC155" s="283"/>
    </row>
    <row r="156" spans="2:58" s="192" customFormat="1" ht="16.899999999999999" customHeight="1" outlineLevel="1" x14ac:dyDescent="0.25">
      <c r="B156" s="192" t="s">
        <v>415</v>
      </c>
      <c r="C156" s="282">
        <f>C154</f>
        <v>-44.573699346163096</v>
      </c>
      <c r="D156" s="282">
        <f t="shared" ref="D156:BC156" si="56">D154</f>
        <v>-86.148067740748985</v>
      </c>
      <c r="E156" s="282">
        <f t="shared" si="56"/>
        <v>-76.297725825105672</v>
      </c>
      <c r="F156" s="282">
        <f t="shared" si="56"/>
        <v>4.492638690659442</v>
      </c>
      <c r="G156" s="282">
        <f t="shared" si="56"/>
        <v>4.613092834460339</v>
      </c>
      <c r="H156" s="282">
        <f t="shared" si="56"/>
        <v>4.7341131127371048</v>
      </c>
      <c r="I156" s="282">
        <f t="shared" si="56"/>
        <v>4.8557021863217704</v>
      </c>
      <c r="J156" s="282">
        <f t="shared" si="56"/>
        <v>4.9778627285522807</v>
      </c>
      <c r="K156" s="282">
        <f t="shared" si="56"/>
        <v>5.1005974253312818</v>
      </c>
      <c r="L156" s="282">
        <f t="shared" si="56"/>
        <v>5.2239089751851351</v>
      </c>
      <c r="M156" s="282">
        <f t="shared" si="56"/>
        <v>5.3478000893233082</v>
      </c>
      <c r="N156" s="282">
        <f t="shared" si="56"/>
        <v>5.4722734916979245</v>
      </c>
      <c r="O156" s="282">
        <f t="shared" si="56"/>
        <v>5.5973319190637056</v>
      </c>
      <c r="P156" s="282">
        <f t="shared" si="56"/>
        <v>5.7229781210381034</v>
      </c>
      <c r="Q156" s="282">
        <f t="shared" si="56"/>
        <v>5.8492148601617791</v>
      </c>
      <c r="R156" s="282">
        <f t="shared" si="56"/>
        <v>5.9760449119593417</v>
      </c>
      <c r="S156" s="282">
        <f t="shared" si="56"/>
        <v>6.1034710650003516</v>
      </c>
      <c r="T156" s="282">
        <f t="shared" si="56"/>
        <v>6.2314961209606521</v>
      </c>
      <c r="U156" s="282">
        <f t="shared" si="56"/>
        <v>6.3601228946839692</v>
      </c>
      <c r="V156" s="282">
        <f t="shared" si="56"/>
        <v>6.4893542142437797</v>
      </c>
      <c r="W156" s="282">
        <f t="shared" si="56"/>
        <v>6.6191929210055251</v>
      </c>
      <c r="X156" s="282">
        <f t="shared" si="56"/>
        <v>6.7496418696890537</v>
      </c>
      <c r="Y156" s="282">
        <f t="shared" si="56"/>
        <v>6.8807039284313865</v>
      </c>
      <c r="Z156" s="282">
        <f t="shared" si="56"/>
        <v>7.0123819788498167</v>
      </c>
      <c r="AA156" s="282">
        <f t="shared" si="56"/>
        <v>7.1446789161052129</v>
      </c>
      <c r="AB156" s="282">
        <f t="shared" si="56"/>
        <v>7.2775976489657062</v>
      </c>
      <c r="AC156" s="282">
        <f t="shared" si="56"/>
        <v>7.411141099870644</v>
      </c>
      <c r="AD156" s="282">
        <f t="shared" si="56"/>
        <v>7.5453122049948336</v>
      </c>
      <c r="AE156" s="282">
        <f t="shared" si="56"/>
        <v>7.6801139143131127</v>
      </c>
      <c r="AF156" s="282">
        <f t="shared" si="56"/>
        <v>7.8155491916651787</v>
      </c>
      <c r="AG156" s="282">
        <f t="shared" si="56"/>
        <v>7.9516210148208044</v>
      </c>
      <c r="AH156" s="282">
        <f t="shared" si="56"/>
        <v>8.088332375545269</v>
      </c>
      <c r="AI156" s="282">
        <f t="shared" si="56"/>
        <v>8.2256862796651298</v>
      </c>
      <c r="AJ156" s="282">
        <f t="shared" si="56"/>
        <v>8.3636857471343546</v>
      </c>
      <c r="AK156" s="282">
        <f t="shared" si="56"/>
        <v>8.5023338121006855</v>
      </c>
      <c r="AL156" s="282">
        <f t="shared" si="56"/>
        <v>8.6416335229723593</v>
      </c>
      <c r="AM156" s="282">
        <f t="shared" si="56"/>
        <v>8.7815879424851264</v>
      </c>
      <c r="AN156" s="282">
        <f t="shared" si="56"/>
        <v>8.9222001477696153</v>
      </c>
      <c r="AO156" s="282">
        <f t="shared" si="56"/>
        <v>9.0634732304189267</v>
      </c>
      <c r="AP156" s="282">
        <f t="shared" si="56"/>
        <v>9.205410296556698</v>
      </c>
      <c r="AQ156" s="282">
        <f t="shared" si="56"/>
        <v>9.3480144669053136</v>
      </c>
      <c r="AR156" s="282">
        <f t="shared" si="56"/>
        <v>9.4912888768545631</v>
      </c>
      <c r="AS156" s="282">
        <f t="shared" si="56"/>
        <v>9.6352366765305852</v>
      </c>
      <c r="AT156" s="282">
        <f t="shared" si="56"/>
        <v>9.7798610308650815</v>
      </c>
      <c r="AU156" s="282">
        <f t="shared" si="56"/>
        <v>9.9251651196649497</v>
      </c>
      <c r="AV156" s="282">
        <f t="shared" si="56"/>
        <v>10.071152137682173</v>
      </c>
      <c r="AW156" s="282">
        <f t="shared" si="56"/>
        <v>10.217825294684078</v>
      </c>
      <c r="AX156" s="282">
        <f t="shared" si="56"/>
        <v>10.365187815523896</v>
      </c>
      <c r="AY156" s="282">
        <f t="shared" si="56"/>
        <v>10.513242940211661</v>
      </c>
      <c r="AZ156" s="282">
        <f t="shared" si="56"/>
        <v>10.661993923985451</v>
      </c>
      <c r="BA156" s="282">
        <f t="shared" si="56"/>
        <v>10.811444037382987</v>
      </c>
      <c r="BB156" s="282">
        <f t="shared" si="56"/>
        <v>10.961596566313489</v>
      </c>
      <c r="BC156" s="282">
        <f t="shared" si="56"/>
        <v>11.112454812129966</v>
      </c>
    </row>
    <row r="157" spans="2:58" s="192" customFormat="1" ht="16.899999999999999" customHeight="1" outlineLevel="1" x14ac:dyDescent="0.25">
      <c r="B157" s="192" t="s">
        <v>416</v>
      </c>
      <c r="C157" s="282">
        <f>C156</f>
        <v>-44.573699346163096</v>
      </c>
      <c r="D157" s="282">
        <f t="shared" ref="D157:BC157" si="57">C157+D156</f>
        <v>-130.72176708691208</v>
      </c>
      <c r="E157" s="282">
        <f t="shared" si="57"/>
        <v>-207.01949291201777</v>
      </c>
      <c r="F157" s="282">
        <f t="shared" si="57"/>
        <v>-202.52685422135832</v>
      </c>
      <c r="G157" s="282">
        <f t="shared" si="57"/>
        <v>-197.91376138689799</v>
      </c>
      <c r="H157" s="282">
        <f t="shared" si="57"/>
        <v>-193.17964827416088</v>
      </c>
      <c r="I157" s="282">
        <f t="shared" si="57"/>
        <v>-188.32394608783912</v>
      </c>
      <c r="J157" s="282">
        <f t="shared" si="57"/>
        <v>-183.34608335928684</v>
      </c>
      <c r="K157" s="282">
        <f t="shared" si="57"/>
        <v>-178.24548593395556</v>
      </c>
      <c r="L157" s="282">
        <f t="shared" si="57"/>
        <v>-173.02157695877042</v>
      </c>
      <c r="M157" s="282">
        <f t="shared" si="57"/>
        <v>-167.67377686944712</v>
      </c>
      <c r="N157" s="282">
        <f t="shared" si="57"/>
        <v>-162.20150337774919</v>
      </c>
      <c r="O157" s="282">
        <f t="shared" si="57"/>
        <v>-156.60417145868547</v>
      </c>
      <c r="P157" s="282">
        <f t="shared" si="57"/>
        <v>-150.88119333764737</v>
      </c>
      <c r="Q157" s="282">
        <f t="shared" si="57"/>
        <v>-145.03197847748561</v>
      </c>
      <c r="R157" s="282">
        <f t="shared" si="57"/>
        <v>-139.05593356552626</v>
      </c>
      <c r="S157" s="282">
        <f t="shared" si="57"/>
        <v>-132.95246250052591</v>
      </c>
      <c r="T157" s="282">
        <f t="shared" si="57"/>
        <v>-126.72096637956525</v>
      </c>
      <c r="U157" s="282">
        <f t="shared" si="57"/>
        <v>-120.36084348488129</v>
      </c>
      <c r="V157" s="282">
        <f t="shared" si="57"/>
        <v>-113.87148927063751</v>
      </c>
      <c r="W157" s="282">
        <f t="shared" si="57"/>
        <v>-107.25229634963199</v>
      </c>
      <c r="X157" s="282">
        <f t="shared" si="57"/>
        <v>-100.50265447994293</v>
      </c>
      <c r="Y157" s="282">
        <f t="shared" si="57"/>
        <v>-93.621950551511546</v>
      </c>
      <c r="Z157" s="282">
        <f t="shared" si="57"/>
        <v>-86.609568572661729</v>
      </c>
      <c r="AA157" s="282">
        <f t="shared" si="57"/>
        <v>-79.464889656556522</v>
      </c>
      <c r="AB157" s="282">
        <f t="shared" si="57"/>
        <v>-72.187292007590813</v>
      </c>
      <c r="AC157" s="282">
        <f t="shared" si="57"/>
        <v>-64.776150907720165</v>
      </c>
      <c r="AD157" s="282">
        <f t="shared" si="57"/>
        <v>-57.230838702725329</v>
      </c>
      <c r="AE157" s="282">
        <f t="shared" si="57"/>
        <v>-49.550724788412218</v>
      </c>
      <c r="AF157" s="282">
        <f t="shared" si="57"/>
        <v>-41.735175596747041</v>
      </c>
      <c r="AG157" s="282">
        <f t="shared" si="57"/>
        <v>-33.783554581926239</v>
      </c>
      <c r="AH157" s="282">
        <f t="shared" si="57"/>
        <v>-25.695222206380969</v>
      </c>
      <c r="AI157" s="282">
        <f t="shared" si="57"/>
        <v>-17.469535926715839</v>
      </c>
      <c r="AJ157" s="282">
        <f t="shared" si="57"/>
        <v>-9.1058501795814841</v>
      </c>
      <c r="AK157" s="282">
        <f t="shared" si="57"/>
        <v>-0.60351636748079862</v>
      </c>
      <c r="AL157" s="282">
        <f t="shared" si="57"/>
        <v>8.0381171554915607</v>
      </c>
      <c r="AM157" s="282">
        <f t="shared" si="57"/>
        <v>16.819705097976687</v>
      </c>
      <c r="AN157" s="282">
        <f t="shared" si="57"/>
        <v>25.741905245746302</v>
      </c>
      <c r="AO157" s="282">
        <f t="shared" si="57"/>
        <v>34.805378476165231</v>
      </c>
      <c r="AP157" s="282">
        <f t="shared" si="57"/>
        <v>44.010788772721931</v>
      </c>
      <c r="AQ157" s="282">
        <f t="shared" si="57"/>
        <v>53.358803239627242</v>
      </c>
      <c r="AR157" s="282">
        <f t="shared" si="57"/>
        <v>62.850092116481804</v>
      </c>
      <c r="AS157" s="282">
        <f t="shared" si="57"/>
        <v>72.485328793012386</v>
      </c>
      <c r="AT157" s="282">
        <f t="shared" si="57"/>
        <v>82.265189823877463</v>
      </c>
      <c r="AU157" s="282">
        <f t="shared" si="57"/>
        <v>92.190354943542417</v>
      </c>
      <c r="AV157" s="282">
        <f t="shared" si="57"/>
        <v>102.26150708122459</v>
      </c>
      <c r="AW157" s="282">
        <f t="shared" si="57"/>
        <v>112.47933237590867</v>
      </c>
      <c r="AX157" s="282">
        <f t="shared" si="57"/>
        <v>122.84452019143257</v>
      </c>
      <c r="AY157" s="282">
        <f t="shared" si="57"/>
        <v>133.35776313164422</v>
      </c>
      <c r="AZ157" s="282">
        <f t="shared" si="57"/>
        <v>144.01975705562967</v>
      </c>
      <c r="BA157" s="282">
        <f t="shared" si="57"/>
        <v>154.83120109301265</v>
      </c>
      <c r="BB157" s="282">
        <f t="shared" si="57"/>
        <v>165.79279765932614</v>
      </c>
      <c r="BC157" s="282">
        <f t="shared" si="57"/>
        <v>176.90525247145609</v>
      </c>
    </row>
    <row r="158" spans="2:58" s="192" customFormat="1" ht="16.899999999999999" customHeight="1" outlineLevel="1" x14ac:dyDescent="0.25">
      <c r="C158" s="282"/>
      <c r="D158" s="282"/>
      <c r="E158" s="282"/>
      <c r="F158" s="282"/>
      <c r="G158" s="282"/>
      <c r="H158" s="282"/>
      <c r="I158" s="282"/>
      <c r="J158" s="282"/>
      <c r="K158" s="282"/>
      <c r="L158" s="282"/>
      <c r="M158" s="282"/>
      <c r="N158" s="282"/>
      <c r="O158" s="282"/>
      <c r="P158" s="282"/>
      <c r="Q158" s="282"/>
      <c r="R158" s="282"/>
      <c r="S158" s="282"/>
      <c r="T158" s="282"/>
      <c r="U158" s="282"/>
      <c r="V158" s="282"/>
      <c r="W158" s="282"/>
      <c r="X158" s="282"/>
      <c r="Y158" s="282"/>
      <c r="Z158" s="282"/>
      <c r="AA158" s="282"/>
      <c r="AB158" s="282"/>
      <c r="AC158" s="282"/>
      <c r="AD158" s="282"/>
      <c r="AE158" s="282"/>
      <c r="AF158" s="282"/>
      <c r="AG158" s="282"/>
      <c r="AH158" s="282"/>
      <c r="AI158" s="282"/>
      <c r="AJ158" s="282"/>
      <c r="AK158" s="282"/>
      <c r="AL158" s="282"/>
      <c r="AM158" s="282"/>
      <c r="AN158" s="282"/>
      <c r="AO158" s="282"/>
      <c r="AP158" s="282"/>
      <c r="AQ158" s="282"/>
      <c r="AR158" s="282"/>
      <c r="AS158" s="282"/>
      <c r="AT158" s="282"/>
      <c r="AU158" s="282"/>
      <c r="AV158" s="282"/>
      <c r="AW158" s="282"/>
      <c r="AX158" s="282"/>
      <c r="AY158" s="282"/>
      <c r="AZ158" s="282"/>
      <c r="BA158" s="282"/>
      <c r="BB158" s="282"/>
      <c r="BC158" s="282"/>
    </row>
    <row r="159" spans="2:58" s="192" customFormat="1" ht="16.899999999999999" customHeight="1" outlineLevel="1" x14ac:dyDescent="0.25">
      <c r="B159" s="284" t="s">
        <v>417</v>
      </c>
      <c r="C159" s="285">
        <f>NPV($C$28,C156)</f>
        <v>-40.617549978278745</v>
      </c>
      <c r="D159" s="285">
        <f t="shared" ref="D159:BC159" si="58">NPV($C$28,D156)</f>
        <v>-78.501975342399305</v>
      </c>
      <c r="E159" s="285">
        <f t="shared" si="58"/>
        <v>-69.525902884185967</v>
      </c>
      <c r="F159" s="285">
        <f t="shared" si="58"/>
        <v>4.0938934669759819</v>
      </c>
      <c r="G159" s="285">
        <f t="shared" si="58"/>
        <v>4.2036566743761066</v>
      </c>
      <c r="H159" s="285">
        <f t="shared" si="58"/>
        <v>4.3139357688510165</v>
      </c>
      <c r="I159" s="285">
        <f t="shared" si="58"/>
        <v>4.4247331750699566</v>
      </c>
      <c r="J159" s="285">
        <f t="shared" si="58"/>
        <v>4.5360513290981235</v>
      </c>
      <c r="K159" s="285">
        <f t="shared" si="58"/>
        <v>4.6478926784502299</v>
      </c>
      <c r="L159" s="285">
        <f t="shared" si="58"/>
        <v>4.760259682144282</v>
      </c>
      <c r="M159" s="285">
        <f t="shared" si="58"/>
        <v>4.873154810755703</v>
      </c>
      <c r="N159" s="285">
        <f t="shared" si="58"/>
        <v>4.9865805464715915</v>
      </c>
      <c r="O159" s="285">
        <f t="shared" si="58"/>
        <v>5.1005393831453487</v>
      </c>
      <c r="P159" s="285">
        <f t="shared" si="58"/>
        <v>5.2150338263514708</v>
      </c>
      <c r="Q159" s="285">
        <f t="shared" si="58"/>
        <v>5.3300663934406591</v>
      </c>
      <c r="R159" s="285">
        <f t="shared" si="58"/>
        <v>5.4456396135951719</v>
      </c>
      <c r="S159" s="285">
        <f t="shared" si="58"/>
        <v>5.5617560278844103</v>
      </c>
      <c r="T159" s="285">
        <f t="shared" si="58"/>
        <v>5.6784181893208059</v>
      </c>
      <c r="U159" s="285">
        <f t="shared" si="58"/>
        <v>5.7956286629159557</v>
      </c>
      <c r="V159" s="285">
        <f t="shared" si="58"/>
        <v>5.9133900257369962</v>
      </c>
      <c r="W159" s="285">
        <f t="shared" si="58"/>
        <v>6.0317048669632998</v>
      </c>
      <c r="X159" s="285">
        <f t="shared" si="58"/>
        <v>6.15057578794337</v>
      </c>
      <c r="Y159" s="285">
        <f t="shared" si="58"/>
        <v>6.2700054022520382</v>
      </c>
      <c r="Z159" s="285">
        <f t="shared" si="58"/>
        <v>6.3899963357479654</v>
      </c>
      <c r="AA159" s="285">
        <f t="shared" si="58"/>
        <v>6.5105512266313221</v>
      </c>
      <c r="AB159" s="285">
        <f t="shared" si="58"/>
        <v>6.6316727255018284</v>
      </c>
      <c r="AC159" s="285">
        <f t="shared" si="58"/>
        <v>6.7533634954170259</v>
      </c>
      <c r="AD159" s="285">
        <f t="shared" si="58"/>
        <v>6.8756262119508236</v>
      </c>
      <c r="AE159" s="285">
        <f t="shared" si="58"/>
        <v>6.9984635632523355</v>
      </c>
      <c r="AF159" s="285">
        <f t="shared" si="58"/>
        <v>7.121878250104956</v>
      </c>
      <c r="AG159" s="285">
        <f t="shared" si="58"/>
        <v>7.2458729859857893</v>
      </c>
      <c r="AH159" s="285">
        <f t="shared" si="58"/>
        <v>7.370450497125268</v>
      </c>
      <c r="AI159" s="285">
        <f t="shared" si="58"/>
        <v>7.495613522567095</v>
      </c>
      <c r="AJ159" s="285">
        <f t="shared" si="58"/>
        <v>7.6213648142284995</v>
      </c>
      <c r="AK159" s="285">
        <f t="shared" si="58"/>
        <v>7.7477071369607122</v>
      </c>
      <c r="AL159" s="285">
        <f t="shared" si="58"/>
        <v>7.874643268609768</v>
      </c>
      <c r="AM159" s="285">
        <f t="shared" si="58"/>
        <v>8.0021760000775721</v>
      </c>
      <c r="AN159" s="285">
        <f t="shared" si="58"/>
        <v>8.1303081353832845</v>
      </c>
      <c r="AO159" s="285">
        <f t="shared" si="58"/>
        <v>8.2590424917249194</v>
      </c>
      <c r="AP159" s="285">
        <f t="shared" si="58"/>
        <v>8.3883818995413684</v>
      </c>
      <c r="AQ159" s="285">
        <f t="shared" si="58"/>
        <v>8.5183292025745523</v>
      </c>
      <c r="AR159" s="285">
        <f t="shared" si="58"/>
        <v>8.6488872579319889</v>
      </c>
      <c r="AS159" s="285">
        <f t="shared" si="58"/>
        <v>8.7800589361496133</v>
      </c>
      <c r="AT159" s="285">
        <f t="shared" si="58"/>
        <v>8.9118471212548585</v>
      </c>
      <c r="AU159" s="285">
        <f t="shared" si="58"/>
        <v>9.0442547108300992</v>
      </c>
      <c r="AV159" s="285">
        <f t="shared" si="58"/>
        <v>9.1772846160763386</v>
      </c>
      <c r="AW159" s="285">
        <f t="shared" si="58"/>
        <v>9.3109397618772363</v>
      </c>
      <c r="AX159" s="285">
        <f t="shared" si="58"/>
        <v>9.4452230868634022</v>
      </c>
      <c r="AY159" s="285">
        <f t="shared" si="58"/>
        <v>9.5801375434770026</v>
      </c>
      <c r="AZ159" s="285">
        <f t="shared" si="58"/>
        <v>9.715686098036679</v>
      </c>
      <c r="BA159" s="285">
        <f t="shared" si="58"/>
        <v>9.8518717308027952</v>
      </c>
      <c r="BB159" s="285">
        <f t="shared" si="58"/>
        <v>9.9886974360429104</v>
      </c>
      <c r="BC159" s="285">
        <f t="shared" si="58"/>
        <v>10.126166222097655</v>
      </c>
    </row>
    <row r="160" spans="2:58" s="192" customFormat="1" ht="16.899999999999999" customHeight="1" outlineLevel="1" x14ac:dyDescent="0.25">
      <c r="B160" s="286" t="s">
        <v>418</v>
      </c>
      <c r="C160" s="285">
        <f>C159</f>
        <v>-40.617549978278745</v>
      </c>
      <c r="D160" s="285">
        <f t="shared" ref="D160:BC160" si="59">C160+D159</f>
        <v>-119.11952532067805</v>
      </c>
      <c r="E160" s="285">
        <f t="shared" si="59"/>
        <v>-188.645428204864</v>
      </c>
      <c r="F160" s="285">
        <f t="shared" si="59"/>
        <v>-184.55153473788803</v>
      </c>
      <c r="G160" s="285">
        <f t="shared" si="59"/>
        <v>-180.34787806351193</v>
      </c>
      <c r="H160" s="285">
        <f t="shared" si="59"/>
        <v>-176.0339422946609</v>
      </c>
      <c r="I160" s="285">
        <f t="shared" si="59"/>
        <v>-171.60920911959096</v>
      </c>
      <c r="J160" s="285">
        <f t="shared" si="59"/>
        <v>-167.07315779049284</v>
      </c>
      <c r="K160" s="285">
        <f t="shared" si="59"/>
        <v>-162.42526511204261</v>
      </c>
      <c r="L160" s="285">
        <f t="shared" si="59"/>
        <v>-157.66500542989832</v>
      </c>
      <c r="M160" s="285">
        <f t="shared" si="59"/>
        <v>-152.79185061914262</v>
      </c>
      <c r="N160" s="285">
        <f t="shared" si="59"/>
        <v>-147.80527007267102</v>
      </c>
      <c r="O160" s="285">
        <f t="shared" si="59"/>
        <v>-142.70473068952566</v>
      </c>
      <c r="P160" s="285">
        <f t="shared" si="59"/>
        <v>-137.4896968631742</v>
      </c>
      <c r="Q160" s="285">
        <f t="shared" si="59"/>
        <v>-132.15963046973354</v>
      </c>
      <c r="R160" s="285">
        <f t="shared" si="59"/>
        <v>-126.71399085613837</v>
      </c>
      <c r="S160" s="285">
        <f t="shared" si="59"/>
        <v>-121.15223482825395</v>
      </c>
      <c r="T160" s="285">
        <f t="shared" si="59"/>
        <v>-115.47381663893314</v>
      </c>
      <c r="U160" s="285">
        <f t="shared" si="59"/>
        <v>-109.67818797601718</v>
      </c>
      <c r="V160" s="285">
        <f t="shared" si="59"/>
        <v>-103.76479795028018</v>
      </c>
      <c r="W160" s="285">
        <f t="shared" si="59"/>
        <v>-97.733093083316888</v>
      </c>
      <c r="X160" s="285">
        <f t="shared" si="59"/>
        <v>-91.58251729537352</v>
      </c>
      <c r="Y160" s="285">
        <f t="shared" si="59"/>
        <v>-85.312511893121481</v>
      </c>
      <c r="Z160" s="285">
        <f t="shared" si="59"/>
        <v>-78.922515557373515</v>
      </c>
      <c r="AA160" s="285">
        <f t="shared" si="59"/>
        <v>-72.411964330742194</v>
      </c>
      <c r="AB160" s="285">
        <f t="shared" si="59"/>
        <v>-65.780291605240365</v>
      </c>
      <c r="AC160" s="285">
        <f t="shared" si="59"/>
        <v>-59.026928109823338</v>
      </c>
      <c r="AD160" s="285">
        <f t="shared" si="59"/>
        <v>-52.151301897872514</v>
      </c>
      <c r="AE160" s="285">
        <f t="shared" si="59"/>
        <v>-45.152838334620178</v>
      </c>
      <c r="AF160" s="285">
        <f t="shared" si="59"/>
        <v>-38.030960084515222</v>
      </c>
      <c r="AG160" s="285">
        <f t="shared" si="59"/>
        <v>-30.785087098529431</v>
      </c>
      <c r="AH160" s="285">
        <f t="shared" si="59"/>
        <v>-23.414636601404162</v>
      </c>
      <c r="AI160" s="285">
        <f t="shared" si="59"/>
        <v>-15.919023078837068</v>
      </c>
      <c r="AJ160" s="285">
        <f t="shared" si="59"/>
        <v>-8.2976582646085681</v>
      </c>
      <c r="AK160" s="285">
        <f t="shared" si="59"/>
        <v>-0.54995112764785592</v>
      </c>
      <c r="AL160" s="285">
        <f t="shared" si="59"/>
        <v>7.3246921409619121</v>
      </c>
      <c r="AM160" s="285">
        <f t="shared" si="59"/>
        <v>15.326868141039483</v>
      </c>
      <c r="AN160" s="285">
        <f t="shared" si="59"/>
        <v>23.457176276422768</v>
      </c>
      <c r="AO160" s="285">
        <f t="shared" si="59"/>
        <v>31.716218768147687</v>
      </c>
      <c r="AP160" s="285">
        <f t="shared" si="59"/>
        <v>40.104600667689056</v>
      </c>
      <c r="AQ160" s="285">
        <f t="shared" si="59"/>
        <v>48.622929870263604</v>
      </c>
      <c r="AR160" s="285">
        <f t="shared" si="59"/>
        <v>57.271817128195593</v>
      </c>
      <c r="AS160" s="285">
        <f t="shared" si="59"/>
        <v>66.051876064345208</v>
      </c>
      <c r="AT160" s="285">
        <f t="shared" si="59"/>
        <v>74.96372318560006</v>
      </c>
      <c r="AU160" s="285">
        <f t="shared" si="59"/>
        <v>84.007977896430162</v>
      </c>
      <c r="AV160" s="285">
        <f t="shared" si="59"/>
        <v>93.185262512506498</v>
      </c>
      <c r="AW160" s="285">
        <f t="shared" si="59"/>
        <v>102.49620227438373</v>
      </c>
      <c r="AX160" s="285">
        <f t="shared" si="59"/>
        <v>111.94142536124714</v>
      </c>
      <c r="AY160" s="285">
        <f t="shared" si="59"/>
        <v>121.52156290472415</v>
      </c>
      <c r="AZ160" s="285">
        <f t="shared" si="59"/>
        <v>131.23724900276082</v>
      </c>
      <c r="BA160" s="285">
        <f t="shared" si="59"/>
        <v>141.08912073356362</v>
      </c>
      <c r="BB160" s="285">
        <f t="shared" si="59"/>
        <v>151.07781816960653</v>
      </c>
      <c r="BC160" s="285">
        <f t="shared" si="59"/>
        <v>161.20398439170418</v>
      </c>
    </row>
    <row r="161" spans="1:58" s="192" customFormat="1" ht="16.899999999999999" customHeight="1" outlineLevel="1" x14ac:dyDescent="0.25">
      <c r="B161" s="192" t="s">
        <v>367</v>
      </c>
      <c r="C161" s="282">
        <f t="shared" ref="C161:AH161" si="60">C156/(1+$C$28)^C32</f>
        <v>-44.573699346163096</v>
      </c>
      <c r="D161" s="282">
        <f t="shared" si="60"/>
        <v>-78.501975342399305</v>
      </c>
      <c r="E161" s="282">
        <f t="shared" si="60"/>
        <v>-63.355114711304878</v>
      </c>
      <c r="F161" s="282">
        <f t="shared" si="60"/>
        <v>3.3994340907442862</v>
      </c>
      <c r="G161" s="282">
        <f t="shared" si="60"/>
        <v>3.1807707649335488</v>
      </c>
      <c r="H161" s="282">
        <f t="shared" si="60"/>
        <v>2.9744991630907998</v>
      </c>
      <c r="I161" s="282">
        <f t="shared" si="60"/>
        <v>2.7801120954915728</v>
      </c>
      <c r="J161" s="282">
        <f t="shared" si="60"/>
        <v>2.597097326380521</v>
      </c>
      <c r="K161" s="282">
        <f t="shared" si="60"/>
        <v>2.4249422506709677</v>
      </c>
      <c r="L161" s="282">
        <f t="shared" si="60"/>
        <v>2.2631377983428056</v>
      </c>
      <c r="M161" s="282">
        <f t="shared" si="60"/>
        <v>2.1111816652598661</v>
      </c>
      <c r="N161" s="282">
        <f t="shared" si="60"/>
        <v>1.9685809578167073</v>
      </c>
      <c r="O161" s="282">
        <f t="shared" si="60"/>
        <v>1.8348543287332417</v>
      </c>
      <c r="P161" s="282">
        <f t="shared" si="60"/>
        <v>1.7095336723164889</v>
      </c>
      <c r="Q161" s="282">
        <f t="shared" si="60"/>
        <v>1.5921654394891311</v>
      </c>
      <c r="R161" s="282">
        <f t="shared" si="60"/>
        <v>1.482311625741745</v>
      </c>
      <c r="S161" s="282">
        <f t="shared" si="60"/>
        <v>1.3795504788081121</v>
      </c>
      <c r="T161" s="282">
        <f t="shared" si="60"/>
        <v>1.2834769672082913</v>
      </c>
      <c r="U161" s="282">
        <f t="shared" si="60"/>
        <v>1.1937030457780469</v>
      </c>
      <c r="V161" s="282">
        <f t="shared" si="60"/>
        <v>1.1098577498393647</v>
      </c>
      <c r="W161" s="282">
        <f t="shared" si="60"/>
        <v>1.0315871457053976</v>
      </c>
      <c r="X161" s="282">
        <f t="shared" si="60"/>
        <v>0.95855416170063457</v>
      </c>
      <c r="Y161" s="282">
        <f t="shared" si="60"/>
        <v>0.89043832076545903</v>
      </c>
      <c r="Z161" s="282">
        <f t="shared" si="60"/>
        <v>0.82693539296029506</v>
      </c>
      <c r="AA161" s="282">
        <f t="shared" si="60"/>
        <v>0.76775698374970247</v>
      </c>
      <c r="AB161" s="282">
        <f t="shared" si="60"/>
        <v>0.71263007179642357</v>
      </c>
      <c r="AC161" s="282">
        <f t="shared" si="60"/>
        <v>0.66129650809843221</v>
      </c>
      <c r="AD161" s="282">
        <f t="shared" si="60"/>
        <v>0.61351248663076918</v>
      </c>
      <c r="AE161" s="282">
        <f t="shared" si="60"/>
        <v>0.5690479951834827</v>
      </c>
      <c r="AF161" s="282">
        <f t="shared" si="60"/>
        <v>0.52768625379504364</v>
      </c>
      <c r="AG161" s="282">
        <f t="shared" si="60"/>
        <v>0.4892231470473164</v>
      </c>
      <c r="AH161" s="282">
        <f t="shared" si="60"/>
        <v>0.45346665549569587</v>
      </c>
      <c r="AI161" s="282">
        <f t="shared" ref="AI161:BC161" si="61">AI156/(1+$C$28)^AI32</f>
        <v>0.42023629064052537</v>
      </c>
      <c r="AJ161" s="282">
        <f t="shared" si="61"/>
        <v>0.38936253708912266</v>
      </c>
      <c r="AK161" s="282">
        <f t="shared" si="61"/>
        <v>0.36068630489902431</v>
      </c>
      <c r="AL161" s="282">
        <f t="shared" si="61"/>
        <v>0.33405839452110159</v>
      </c>
      <c r="AM161" s="282">
        <f t="shared" si="61"/>
        <v>0.30933897626588286</v>
      </c>
      <c r="AN161" s="282">
        <f t="shared" si="61"/>
        <v>0.2863970857887817</v>
      </c>
      <c r="AO161" s="282">
        <f t="shared" si="61"/>
        <v>0.26511013672194222</v>
      </c>
      <c r="AP161" s="282">
        <f t="shared" si="61"/>
        <v>0.24536345126497255</v>
      </c>
      <c r="AQ161" s="282">
        <f t="shared" si="61"/>
        <v>0.22704980927756097</v>
      </c>
      <c r="AR161" s="282">
        <f t="shared" si="61"/>
        <v>0.21006901618827753</v>
      </c>
      <c r="AS161" s="282">
        <f t="shared" si="61"/>
        <v>0.19432748984069367</v>
      </c>
      <c r="AT161" s="282">
        <f t="shared" si="61"/>
        <v>0.17973786623589763</v>
      </c>
      <c r="AU161" s="282">
        <f t="shared" si="61"/>
        <v>0.16621862399559831</v>
      </c>
      <c r="AV161" s="282">
        <f t="shared" si="61"/>
        <v>0.15369372725878402</v>
      </c>
      <c r="AW161" s="282">
        <f t="shared" si="61"/>
        <v>0.14209228663427509</v>
      </c>
      <c r="AX161" s="282">
        <f t="shared" si="61"/>
        <v>0.13134823775872387</v>
      </c>
      <c r="AY161" s="282">
        <f t="shared" si="61"/>
        <v>0.12140003695227719</v>
      </c>
      <c r="AZ161" s="282">
        <f t="shared" si="61"/>
        <v>0.11219037342008119</v>
      </c>
      <c r="BA161" s="282">
        <f t="shared" si="61"/>
        <v>0.10366589741521368</v>
      </c>
      <c r="BB161" s="282">
        <f t="shared" si="61"/>
        <v>9.5776963755813127E-2</v>
      </c>
      <c r="BC161" s="282">
        <f t="shared" si="61"/>
        <v>8.8477390074697779E-2</v>
      </c>
    </row>
    <row r="162" spans="1:58" s="192" customFormat="1" ht="16.899999999999999" customHeight="1" outlineLevel="1" x14ac:dyDescent="0.25">
      <c r="B162" s="275" t="s">
        <v>368</v>
      </c>
      <c r="C162" s="282">
        <f>C161</f>
        <v>-44.573699346163096</v>
      </c>
      <c r="D162" s="282">
        <f t="shared" ref="D162:BC162" si="62">C162+D161</f>
        <v>-123.0756746885624</v>
      </c>
      <c r="E162" s="282">
        <f t="shared" si="62"/>
        <v>-186.43078939986728</v>
      </c>
      <c r="F162" s="282">
        <f t="shared" si="62"/>
        <v>-183.031355309123</v>
      </c>
      <c r="G162" s="282">
        <f t="shared" si="62"/>
        <v>-179.85058454418945</v>
      </c>
      <c r="H162" s="282">
        <f t="shared" si="62"/>
        <v>-176.87608538109865</v>
      </c>
      <c r="I162" s="282">
        <f t="shared" si="62"/>
        <v>-174.09597328560707</v>
      </c>
      <c r="J162" s="282">
        <f t="shared" si="62"/>
        <v>-171.49887595922655</v>
      </c>
      <c r="K162" s="282">
        <f t="shared" si="62"/>
        <v>-169.07393370855559</v>
      </c>
      <c r="L162" s="282">
        <f t="shared" si="62"/>
        <v>-166.81079591021279</v>
      </c>
      <c r="M162" s="282">
        <f t="shared" si="62"/>
        <v>-164.69961424495293</v>
      </c>
      <c r="N162" s="282">
        <f t="shared" si="62"/>
        <v>-162.73103328713623</v>
      </c>
      <c r="O162" s="282">
        <f t="shared" si="62"/>
        <v>-160.896178958403</v>
      </c>
      <c r="P162" s="282">
        <f t="shared" si="62"/>
        <v>-159.1866452860865</v>
      </c>
      <c r="Q162" s="282">
        <f t="shared" si="62"/>
        <v>-157.59447984659738</v>
      </c>
      <c r="R162" s="282">
        <f t="shared" si="62"/>
        <v>-156.11216822085564</v>
      </c>
      <c r="S162" s="282">
        <f t="shared" si="62"/>
        <v>-154.73261774204752</v>
      </c>
      <c r="T162" s="282">
        <f t="shared" si="62"/>
        <v>-153.44914077483924</v>
      </c>
      <c r="U162" s="282">
        <f t="shared" si="62"/>
        <v>-152.25543772906119</v>
      </c>
      <c r="V162" s="282">
        <f t="shared" si="62"/>
        <v>-151.14557997922182</v>
      </c>
      <c r="W162" s="282">
        <f t="shared" si="62"/>
        <v>-150.11399283351642</v>
      </c>
      <c r="X162" s="282">
        <f t="shared" si="62"/>
        <v>-149.15543867181577</v>
      </c>
      <c r="Y162" s="282">
        <f t="shared" si="62"/>
        <v>-148.2650003510503</v>
      </c>
      <c r="Z162" s="282">
        <f t="shared" si="62"/>
        <v>-147.43806495809</v>
      </c>
      <c r="AA162" s="282">
        <f t="shared" si="62"/>
        <v>-146.67030797434029</v>
      </c>
      <c r="AB162" s="282">
        <f t="shared" si="62"/>
        <v>-145.95767790254388</v>
      </c>
      <c r="AC162" s="282">
        <f t="shared" si="62"/>
        <v>-145.29638139444543</v>
      </c>
      <c r="AD162" s="282">
        <f t="shared" si="62"/>
        <v>-144.68286890781465</v>
      </c>
      <c r="AE162" s="282">
        <f t="shared" si="62"/>
        <v>-144.11382091263116</v>
      </c>
      <c r="AF162" s="282">
        <f t="shared" si="62"/>
        <v>-143.5861346588361</v>
      </c>
      <c r="AG162" s="282">
        <f t="shared" si="62"/>
        <v>-143.09691151178879</v>
      </c>
      <c r="AH162" s="282">
        <f t="shared" si="62"/>
        <v>-142.64344485629309</v>
      </c>
      <c r="AI162" s="282">
        <f t="shared" si="62"/>
        <v>-142.22320856565256</v>
      </c>
      <c r="AJ162" s="282">
        <f t="shared" si="62"/>
        <v>-141.83384602856344</v>
      </c>
      <c r="AK162" s="282">
        <f t="shared" si="62"/>
        <v>-141.47315972366442</v>
      </c>
      <c r="AL162" s="282">
        <f t="shared" si="62"/>
        <v>-141.13910132914333</v>
      </c>
      <c r="AM162" s="282">
        <f t="shared" si="62"/>
        <v>-140.82976235287745</v>
      </c>
      <c r="AN162" s="282">
        <f t="shared" si="62"/>
        <v>-140.54336526708866</v>
      </c>
      <c r="AO162" s="282">
        <f t="shared" si="62"/>
        <v>-140.27825513036672</v>
      </c>
      <c r="AP162" s="282">
        <f t="shared" si="62"/>
        <v>-140.03289167910174</v>
      </c>
      <c r="AQ162" s="282">
        <f t="shared" si="62"/>
        <v>-139.80584186982418</v>
      </c>
      <c r="AR162" s="282">
        <f t="shared" si="62"/>
        <v>-139.59577285363591</v>
      </c>
      <c r="AS162" s="282">
        <f t="shared" si="62"/>
        <v>-139.4014453637952</v>
      </c>
      <c r="AT162" s="282">
        <f t="shared" si="62"/>
        <v>-139.22170749755929</v>
      </c>
      <c r="AU162" s="282">
        <f t="shared" si="62"/>
        <v>-139.05548887356369</v>
      </c>
      <c r="AV162" s="282">
        <f t="shared" si="62"/>
        <v>-138.90179514630489</v>
      </c>
      <c r="AW162" s="282">
        <f t="shared" si="62"/>
        <v>-138.75970285967063</v>
      </c>
      <c r="AX162" s="282">
        <f t="shared" si="62"/>
        <v>-138.62835462191191</v>
      </c>
      <c r="AY162" s="282">
        <f t="shared" si="62"/>
        <v>-138.50695458495963</v>
      </c>
      <c r="AZ162" s="282">
        <f t="shared" si="62"/>
        <v>-138.39476421153955</v>
      </c>
      <c r="BA162" s="282">
        <f t="shared" si="62"/>
        <v>-138.29109831412433</v>
      </c>
      <c r="BB162" s="282">
        <f t="shared" si="62"/>
        <v>-138.19532135036852</v>
      </c>
      <c r="BC162" s="282">
        <f t="shared" si="62"/>
        <v>-138.10684396029382</v>
      </c>
    </row>
    <row r="163" spans="1:58" s="192" customFormat="1" ht="16.899999999999999" customHeight="1" outlineLevel="1" x14ac:dyDescent="0.25">
      <c r="B163" s="275" t="s">
        <v>369</v>
      </c>
      <c r="C163" s="282">
        <f t="shared" ref="C163:AH163" si="63">C63/(1+$C$28)^C32</f>
        <v>79.308724236660794</v>
      </c>
      <c r="D163" s="282">
        <f t="shared" si="63"/>
        <v>110.31806959397852</v>
      </c>
      <c r="E163" s="282">
        <f t="shared" si="63"/>
        <v>92.497496522836158</v>
      </c>
      <c r="F163" s="282">
        <f t="shared" si="63"/>
        <v>0</v>
      </c>
      <c r="G163" s="282">
        <f t="shared" si="63"/>
        <v>0</v>
      </c>
      <c r="H163" s="282">
        <f t="shared" si="63"/>
        <v>0</v>
      </c>
      <c r="I163" s="282">
        <f t="shared" si="63"/>
        <v>0</v>
      </c>
      <c r="J163" s="282">
        <f t="shared" si="63"/>
        <v>0</v>
      </c>
      <c r="K163" s="282">
        <f t="shared" si="63"/>
        <v>0</v>
      </c>
      <c r="L163" s="282">
        <f t="shared" si="63"/>
        <v>0</v>
      </c>
      <c r="M163" s="282">
        <f t="shared" si="63"/>
        <v>0</v>
      </c>
      <c r="N163" s="282">
        <f t="shared" si="63"/>
        <v>0</v>
      </c>
      <c r="O163" s="282">
        <f t="shared" si="63"/>
        <v>0</v>
      </c>
      <c r="P163" s="282">
        <f t="shared" si="63"/>
        <v>0</v>
      </c>
      <c r="Q163" s="282">
        <f t="shared" si="63"/>
        <v>0</v>
      </c>
      <c r="R163" s="282">
        <f t="shared" si="63"/>
        <v>0</v>
      </c>
      <c r="S163" s="282">
        <f t="shared" si="63"/>
        <v>0</v>
      </c>
      <c r="T163" s="282">
        <f t="shared" si="63"/>
        <v>0</v>
      </c>
      <c r="U163" s="282">
        <f t="shared" si="63"/>
        <v>0</v>
      </c>
      <c r="V163" s="282">
        <f t="shared" si="63"/>
        <v>0</v>
      </c>
      <c r="W163" s="282">
        <f t="shared" si="63"/>
        <v>0</v>
      </c>
      <c r="X163" s="282">
        <f t="shared" si="63"/>
        <v>0</v>
      </c>
      <c r="Y163" s="282">
        <f t="shared" si="63"/>
        <v>0</v>
      </c>
      <c r="Z163" s="282">
        <f t="shared" si="63"/>
        <v>0</v>
      </c>
      <c r="AA163" s="282">
        <f t="shared" si="63"/>
        <v>0</v>
      </c>
      <c r="AB163" s="282">
        <f t="shared" si="63"/>
        <v>0</v>
      </c>
      <c r="AC163" s="282">
        <f t="shared" si="63"/>
        <v>0</v>
      </c>
      <c r="AD163" s="282">
        <f t="shared" si="63"/>
        <v>0</v>
      </c>
      <c r="AE163" s="282">
        <f t="shared" si="63"/>
        <v>0</v>
      </c>
      <c r="AF163" s="282">
        <f t="shared" si="63"/>
        <v>0</v>
      </c>
      <c r="AG163" s="282">
        <f t="shared" si="63"/>
        <v>0</v>
      </c>
      <c r="AH163" s="282">
        <f t="shared" si="63"/>
        <v>0</v>
      </c>
      <c r="AI163" s="282">
        <f t="shared" ref="AI163:BC163" si="64">AI63/(1+$C$28)^AI32</f>
        <v>0</v>
      </c>
      <c r="AJ163" s="282">
        <f t="shared" si="64"/>
        <v>0</v>
      </c>
      <c r="AK163" s="282">
        <f t="shared" si="64"/>
        <v>0</v>
      </c>
      <c r="AL163" s="282">
        <f t="shared" si="64"/>
        <v>0</v>
      </c>
      <c r="AM163" s="282">
        <f t="shared" si="64"/>
        <v>0</v>
      </c>
      <c r="AN163" s="282">
        <f t="shared" si="64"/>
        <v>0</v>
      </c>
      <c r="AO163" s="282">
        <f t="shared" si="64"/>
        <v>0</v>
      </c>
      <c r="AP163" s="282">
        <f t="shared" si="64"/>
        <v>0</v>
      </c>
      <c r="AQ163" s="282">
        <f t="shared" si="64"/>
        <v>0</v>
      </c>
      <c r="AR163" s="282">
        <f t="shared" si="64"/>
        <v>0</v>
      </c>
      <c r="AS163" s="282">
        <f t="shared" si="64"/>
        <v>0</v>
      </c>
      <c r="AT163" s="282">
        <f t="shared" si="64"/>
        <v>0</v>
      </c>
      <c r="AU163" s="282">
        <f t="shared" si="64"/>
        <v>0</v>
      </c>
      <c r="AV163" s="282">
        <f t="shared" si="64"/>
        <v>0</v>
      </c>
      <c r="AW163" s="282">
        <f t="shared" si="64"/>
        <v>0</v>
      </c>
      <c r="AX163" s="282">
        <f t="shared" si="64"/>
        <v>0</v>
      </c>
      <c r="AY163" s="282">
        <f t="shared" si="64"/>
        <v>0</v>
      </c>
      <c r="AZ163" s="282">
        <f t="shared" si="64"/>
        <v>0</v>
      </c>
      <c r="BA163" s="282">
        <f t="shared" si="64"/>
        <v>0</v>
      </c>
      <c r="BB163" s="282">
        <f t="shared" si="64"/>
        <v>0</v>
      </c>
      <c r="BC163" s="282">
        <f t="shared" si="64"/>
        <v>0</v>
      </c>
    </row>
    <row r="164" spans="1:58" s="192" customFormat="1" ht="16.899999999999999" customHeight="1" outlineLevel="1" x14ac:dyDescent="0.25">
      <c r="B164" s="275" t="s">
        <v>370</v>
      </c>
      <c r="C164" s="287">
        <f t="shared" ref="C164:BC164" si="65">IF(C$32&lt;=3,1,IF(C157&lt;0,1,IF(B164=1,1-(C157/C156),0)))</f>
        <v>1</v>
      </c>
      <c r="D164" s="287">
        <f t="shared" si="65"/>
        <v>1</v>
      </c>
      <c r="E164" s="287">
        <f t="shared" si="65"/>
        <v>1</v>
      </c>
      <c r="F164" s="287">
        <f t="shared" si="65"/>
        <v>1</v>
      </c>
      <c r="G164" s="287">
        <f t="shared" si="65"/>
        <v>1</v>
      </c>
      <c r="H164" s="287">
        <f t="shared" si="65"/>
        <v>1</v>
      </c>
      <c r="I164" s="287">
        <f t="shared" si="65"/>
        <v>1</v>
      </c>
      <c r="J164" s="287">
        <f t="shared" si="65"/>
        <v>1</v>
      </c>
      <c r="K164" s="287">
        <f t="shared" si="65"/>
        <v>1</v>
      </c>
      <c r="L164" s="287">
        <f t="shared" si="65"/>
        <v>1</v>
      </c>
      <c r="M164" s="287">
        <f t="shared" si="65"/>
        <v>1</v>
      </c>
      <c r="N164" s="287">
        <f t="shared" si="65"/>
        <v>1</v>
      </c>
      <c r="O164" s="287">
        <f t="shared" si="65"/>
        <v>1</v>
      </c>
      <c r="P164" s="287">
        <f t="shared" si="65"/>
        <v>1</v>
      </c>
      <c r="Q164" s="287">
        <f t="shared" si="65"/>
        <v>1</v>
      </c>
      <c r="R164" s="287">
        <f t="shared" si="65"/>
        <v>1</v>
      </c>
      <c r="S164" s="287">
        <f t="shared" si="65"/>
        <v>1</v>
      </c>
      <c r="T164" s="287">
        <f t="shared" si="65"/>
        <v>1</v>
      </c>
      <c r="U164" s="287">
        <f t="shared" si="65"/>
        <v>1</v>
      </c>
      <c r="V164" s="287">
        <f t="shared" si="65"/>
        <v>1</v>
      </c>
      <c r="W164" s="287">
        <f t="shared" si="65"/>
        <v>1</v>
      </c>
      <c r="X164" s="287">
        <f t="shared" si="65"/>
        <v>1</v>
      </c>
      <c r="Y164" s="287">
        <f t="shared" si="65"/>
        <v>1</v>
      </c>
      <c r="Z164" s="287">
        <f t="shared" si="65"/>
        <v>1</v>
      </c>
      <c r="AA164" s="287">
        <f t="shared" si="65"/>
        <v>1</v>
      </c>
      <c r="AB164" s="287">
        <f t="shared" si="65"/>
        <v>1</v>
      </c>
      <c r="AC164" s="287">
        <f t="shared" si="65"/>
        <v>1</v>
      </c>
      <c r="AD164" s="287">
        <f t="shared" si="65"/>
        <v>1</v>
      </c>
      <c r="AE164" s="287">
        <f t="shared" si="65"/>
        <v>1</v>
      </c>
      <c r="AF164" s="287">
        <f t="shared" si="65"/>
        <v>1</v>
      </c>
      <c r="AG164" s="287">
        <f t="shared" si="65"/>
        <v>1</v>
      </c>
      <c r="AH164" s="287">
        <f t="shared" si="65"/>
        <v>1</v>
      </c>
      <c r="AI164" s="287">
        <f t="shared" si="65"/>
        <v>1</v>
      </c>
      <c r="AJ164" s="287">
        <f t="shared" si="65"/>
        <v>1</v>
      </c>
      <c r="AK164" s="287">
        <f t="shared" si="65"/>
        <v>1</v>
      </c>
      <c r="AL164" s="287">
        <f t="shared" si="65"/>
        <v>6.9838227445823686E-2</v>
      </c>
      <c r="AM164" s="287">
        <f t="shared" si="65"/>
        <v>0</v>
      </c>
      <c r="AN164" s="287">
        <f t="shared" si="65"/>
        <v>0</v>
      </c>
      <c r="AO164" s="287">
        <f t="shared" si="65"/>
        <v>0</v>
      </c>
      <c r="AP164" s="287">
        <f t="shared" si="65"/>
        <v>0</v>
      </c>
      <c r="AQ164" s="287">
        <f t="shared" si="65"/>
        <v>0</v>
      </c>
      <c r="AR164" s="287">
        <f t="shared" si="65"/>
        <v>0</v>
      </c>
      <c r="AS164" s="287">
        <f t="shared" si="65"/>
        <v>0</v>
      </c>
      <c r="AT164" s="287">
        <f t="shared" si="65"/>
        <v>0</v>
      </c>
      <c r="AU164" s="287">
        <f t="shared" si="65"/>
        <v>0</v>
      </c>
      <c r="AV164" s="287">
        <f t="shared" si="65"/>
        <v>0</v>
      </c>
      <c r="AW164" s="287">
        <f t="shared" si="65"/>
        <v>0</v>
      </c>
      <c r="AX164" s="287">
        <f t="shared" si="65"/>
        <v>0</v>
      </c>
      <c r="AY164" s="287">
        <f t="shared" si="65"/>
        <v>0</v>
      </c>
      <c r="AZ164" s="287">
        <f t="shared" si="65"/>
        <v>0</v>
      </c>
      <c r="BA164" s="287">
        <f t="shared" si="65"/>
        <v>0</v>
      </c>
      <c r="BB164" s="287">
        <f t="shared" si="65"/>
        <v>0</v>
      </c>
      <c r="BC164" s="287">
        <f t="shared" si="65"/>
        <v>0</v>
      </c>
    </row>
    <row r="165" spans="1:58" s="192" customFormat="1" ht="16.899999999999999" customHeight="1" outlineLevel="1" x14ac:dyDescent="0.25">
      <c r="B165" s="275" t="s">
        <v>371</v>
      </c>
      <c r="C165" s="272" t="str">
        <f>IF(C31=1,IRR($C156:C156),"-")</f>
        <v>-</v>
      </c>
      <c r="D165" s="272" t="str">
        <f>IF(D31=1,IRR($C156:D156),"-")</f>
        <v>-</v>
      </c>
      <c r="E165" s="272" t="str">
        <f>IF(E31=1,IRR($C156:E156),"-")</f>
        <v>-</v>
      </c>
      <c r="F165" s="272" t="str">
        <f>IF(F31=1,IRR($C156:F156),"-")</f>
        <v>-</v>
      </c>
      <c r="G165" s="272" t="str">
        <f>IF(G31=1,IRR($C156:G156),"-")</f>
        <v>-</v>
      </c>
      <c r="H165" s="272" t="str">
        <f>IF(H31=1,IRR($C156:H156),"-")</f>
        <v>-</v>
      </c>
      <c r="I165" s="272" t="str">
        <f>IF(I31=1,IRR($C156:I156),"-")</f>
        <v>-</v>
      </c>
      <c r="J165" s="272" t="str">
        <f>IF(J31=1,IRR($C156:J156),"-")</f>
        <v>-</v>
      </c>
      <c r="K165" s="272" t="str">
        <f>IF(K31=1,IRR($C156:K156),"-")</f>
        <v>-</v>
      </c>
      <c r="L165" s="272" t="str">
        <f>IF(L31=1,IRR($C156:L156),"-")</f>
        <v>-</v>
      </c>
      <c r="M165" s="272" t="str">
        <f>IF(M31=1,IRR($C156:M156),"-")</f>
        <v>-</v>
      </c>
      <c r="N165" s="272" t="str">
        <f>IF(N31=1,IRR($C156:N156),"-")</f>
        <v>-</v>
      </c>
      <c r="O165" s="272" t="str">
        <f>IF(O31=1,IRR($C156:O156),"-")</f>
        <v>-</v>
      </c>
      <c r="P165" s="272" t="str">
        <f>IF(P31=1,IRR($C156:P156),"-")</f>
        <v>-</v>
      </c>
      <c r="Q165" s="272" t="str">
        <f>IF(Q31=1,IRR($C156:Q156),"-")</f>
        <v>-</v>
      </c>
      <c r="R165" s="272" t="str">
        <f>IF(R31=1,IRR($C156:R156),"-")</f>
        <v>-</v>
      </c>
      <c r="S165" s="272" t="str">
        <f>IF(S31=1,IRR($C156:S156),"-")</f>
        <v>-</v>
      </c>
      <c r="T165" s="272" t="str">
        <f>IF(T31=1,IRR($C156:T156),"-")</f>
        <v>-</v>
      </c>
      <c r="U165" s="272" t="str">
        <f>IF(U31=1,IRR($C156:U156),"-")</f>
        <v>-</v>
      </c>
      <c r="V165" s="272" t="str">
        <f>IF(V31=1,IRR($C156:V156),"-")</f>
        <v>-</v>
      </c>
      <c r="W165" s="272" t="str">
        <f>IF(W31=1,IRR($C156:W156),"-")</f>
        <v>-</v>
      </c>
      <c r="X165" s="272" t="str">
        <f>IF(X31=1,IRR($C156:X156),"-")</f>
        <v>-</v>
      </c>
      <c r="Y165" s="272" t="str">
        <f>IF(Y31=1,IRR($C156:Y156),"-")</f>
        <v>-</v>
      </c>
      <c r="Z165" s="272" t="str">
        <f>IF(Z31=1,IRR($C156:Z156),"-")</f>
        <v>-</v>
      </c>
      <c r="AA165" s="272" t="str">
        <f>IF(AA31=1,IRR($C156:AA156),"-")</f>
        <v>-</v>
      </c>
      <c r="AB165" s="272" t="str">
        <f>IF(AB31=1,IRR($C156:AB156),"-")</f>
        <v>-</v>
      </c>
      <c r="AC165" s="272" t="str">
        <f>IF(AC31=1,IRR($C156:AC156),"-")</f>
        <v>-</v>
      </c>
      <c r="AD165" s="272" t="str">
        <f>IF(AD31=1,IRR($C156:AD156),"-")</f>
        <v>-</v>
      </c>
      <c r="AE165" s="272" t="str">
        <f>IF(AE31=1,IRR($C156:AE156),"-")</f>
        <v>-</v>
      </c>
      <c r="AF165" s="272" t="str">
        <f>IF(AF31=1,IRR($C156:AF156),"-")</f>
        <v>-</v>
      </c>
      <c r="AG165" s="272" t="str">
        <f>IF(AG31=1,IRR($C156:AG156),"-")</f>
        <v>-</v>
      </c>
      <c r="AH165" s="272" t="str">
        <f>IF(AH31=1,IRR($C156:AH156),"-")</f>
        <v>-</v>
      </c>
      <c r="AI165" s="272" t="str">
        <f>IF(AI31=1,IRR($C156:AI156),"-")</f>
        <v>-</v>
      </c>
      <c r="AJ165" s="272" t="str">
        <f>IF(AJ31=1,IRR($C156:AJ156),"-")</f>
        <v>-</v>
      </c>
      <c r="AK165" s="272">
        <f>IF(AK31=1,IRR($C156:AK156),"-")</f>
        <v>-1.5314811262756578E-4</v>
      </c>
      <c r="AL165" s="272" t="str">
        <f>IF(AL31=1,IRR($C156:AL156),"-")</f>
        <v>-</v>
      </c>
      <c r="AM165" s="272" t="str">
        <f>IF(AM31=1,IRR($C156:AM156),"-")</f>
        <v>-</v>
      </c>
      <c r="AN165" s="272" t="str">
        <f>IF(AN31=1,IRR($C156:AN156),"-")</f>
        <v>-</v>
      </c>
      <c r="AO165" s="272" t="str">
        <f>IF(AO31=1,IRR($C156:AO156),"-")</f>
        <v>-</v>
      </c>
      <c r="AP165" s="272" t="str">
        <f>IF(AP31=1,IRR($C156:AP156),"-")</f>
        <v>-</v>
      </c>
      <c r="AQ165" s="272" t="str">
        <f>IF(AQ31=1,IRR($C156:AQ156),"-")</f>
        <v>-</v>
      </c>
      <c r="AR165" s="272" t="str">
        <f>IF(AR31=1,IRR($C156:AR156),"-")</f>
        <v>-</v>
      </c>
      <c r="AS165" s="272" t="str">
        <f>IF(AS31=1,IRR($C156:AS156),"-")</f>
        <v>-</v>
      </c>
      <c r="AT165" s="272" t="str">
        <f>IF(AT31=1,IRR($C156:AT156),"-")</f>
        <v>-</v>
      </c>
      <c r="AU165" s="272" t="str">
        <f>IF(AU31=1,IRR($C156:AU156),"-")</f>
        <v>-</v>
      </c>
      <c r="AV165" s="272" t="str">
        <f>IF(AV31=1,IRR($C156:AV156),"-")</f>
        <v>-</v>
      </c>
      <c r="AW165" s="272" t="str">
        <f>IF(AW31=1,IRR($C156:AW156),"-")</f>
        <v>-</v>
      </c>
      <c r="AX165" s="272" t="str">
        <f>IF(AX31=1,IRR($C156:AX156),"-")</f>
        <v>-</v>
      </c>
      <c r="AY165" s="272" t="str">
        <f>IF(AY31=1,IRR($C156:AY156),"-")</f>
        <v>-</v>
      </c>
      <c r="AZ165" s="272" t="str">
        <f>IF(AZ31=1,IRR($C156:AZ156),"-")</f>
        <v>-</v>
      </c>
      <c r="BA165" s="272" t="str">
        <f>IF(BA31=1,IRR($C156:BA156),"-")</f>
        <v>-</v>
      </c>
      <c r="BB165" s="272" t="str">
        <f>IF(BB31=1,IRR($C156:BB156),"-")</f>
        <v>-</v>
      </c>
      <c r="BC165" s="272" t="str">
        <f>IF(BC31=1,IRR($C156:BC156),"-")</f>
        <v>-</v>
      </c>
    </row>
    <row r="166" spans="1:58" s="192" customFormat="1" ht="16.899999999999999" customHeight="1" outlineLevel="1" x14ac:dyDescent="0.25">
      <c r="C166" s="282"/>
      <c r="D166" s="282"/>
      <c r="E166" s="282"/>
      <c r="F166" s="282"/>
      <c r="G166" s="282"/>
      <c r="H166" s="282"/>
      <c r="I166" s="282"/>
      <c r="J166" s="282"/>
      <c r="K166" s="282"/>
      <c r="L166" s="282"/>
      <c r="M166" s="282"/>
      <c r="N166" s="282"/>
      <c r="O166" s="282"/>
      <c r="P166" s="282"/>
      <c r="Q166" s="282"/>
      <c r="R166" s="282"/>
      <c r="S166" s="282"/>
      <c r="T166" s="282"/>
      <c r="U166" s="282"/>
      <c r="V166" s="282"/>
      <c r="W166" s="282"/>
      <c r="X166" s="282"/>
      <c r="Y166" s="282"/>
      <c r="Z166" s="282"/>
      <c r="AA166" s="282"/>
      <c r="AB166" s="282"/>
      <c r="AC166" s="282"/>
      <c r="AD166" s="282"/>
      <c r="AE166" s="282"/>
      <c r="AF166" s="282"/>
      <c r="AG166" s="282"/>
      <c r="AH166" s="282"/>
      <c r="AI166" s="282"/>
      <c r="AJ166" s="282"/>
      <c r="AK166" s="282"/>
      <c r="AL166" s="282"/>
      <c r="AM166" s="282"/>
      <c r="AN166" s="282"/>
      <c r="AO166" s="282"/>
      <c r="AP166" s="282"/>
      <c r="AQ166" s="282"/>
      <c r="AR166" s="282"/>
      <c r="AS166" s="282"/>
      <c r="AT166" s="282"/>
      <c r="AU166" s="282"/>
      <c r="AV166" s="282"/>
      <c r="AW166" s="282"/>
      <c r="AX166" s="282"/>
      <c r="AY166" s="282"/>
      <c r="AZ166" s="282"/>
      <c r="BA166" s="282"/>
      <c r="BB166" s="282"/>
      <c r="BC166" s="282"/>
    </row>
    <row r="167" spans="1:58" s="192" customFormat="1" ht="16.899999999999999" customHeight="1" outlineLevel="1" x14ac:dyDescent="0.25">
      <c r="B167" s="110" t="s">
        <v>372</v>
      </c>
      <c r="C167" s="282">
        <f>C63*(1-$D$14)</f>
        <v>55.516106965662551</v>
      </c>
      <c r="D167" s="282">
        <f t="shared" ref="D167:BC167" si="66">D63*(1-$D$14)</f>
        <v>84.744134700702404</v>
      </c>
      <c r="E167" s="282">
        <f t="shared" si="66"/>
        <v>77.97545727691832</v>
      </c>
      <c r="F167" s="282">
        <f t="shared" si="66"/>
        <v>0</v>
      </c>
      <c r="G167" s="282">
        <f t="shared" si="66"/>
        <v>0</v>
      </c>
      <c r="H167" s="282">
        <f t="shared" si="66"/>
        <v>0</v>
      </c>
      <c r="I167" s="282">
        <f t="shared" si="66"/>
        <v>0</v>
      </c>
      <c r="J167" s="282">
        <f t="shared" si="66"/>
        <v>0</v>
      </c>
      <c r="K167" s="282">
        <f t="shared" si="66"/>
        <v>0</v>
      </c>
      <c r="L167" s="282">
        <f t="shared" si="66"/>
        <v>0</v>
      </c>
      <c r="M167" s="282">
        <f t="shared" si="66"/>
        <v>0</v>
      </c>
      <c r="N167" s="282">
        <f t="shared" si="66"/>
        <v>0</v>
      </c>
      <c r="O167" s="282">
        <f t="shared" si="66"/>
        <v>0</v>
      </c>
      <c r="P167" s="282">
        <f t="shared" si="66"/>
        <v>0</v>
      </c>
      <c r="Q167" s="282">
        <f t="shared" si="66"/>
        <v>0</v>
      </c>
      <c r="R167" s="282">
        <f t="shared" si="66"/>
        <v>0</v>
      </c>
      <c r="S167" s="282">
        <f t="shared" si="66"/>
        <v>0</v>
      </c>
      <c r="T167" s="282">
        <f t="shared" si="66"/>
        <v>0</v>
      </c>
      <c r="U167" s="282">
        <f t="shared" si="66"/>
        <v>0</v>
      </c>
      <c r="V167" s="282">
        <f t="shared" si="66"/>
        <v>0</v>
      </c>
      <c r="W167" s="282">
        <f t="shared" si="66"/>
        <v>0</v>
      </c>
      <c r="X167" s="282">
        <f t="shared" si="66"/>
        <v>0</v>
      </c>
      <c r="Y167" s="282">
        <f t="shared" si="66"/>
        <v>0</v>
      </c>
      <c r="Z167" s="282">
        <f t="shared" si="66"/>
        <v>0</v>
      </c>
      <c r="AA167" s="282">
        <f t="shared" si="66"/>
        <v>0</v>
      </c>
      <c r="AB167" s="282">
        <f t="shared" si="66"/>
        <v>0</v>
      </c>
      <c r="AC167" s="282">
        <f t="shared" si="66"/>
        <v>0</v>
      </c>
      <c r="AD167" s="282">
        <f t="shared" si="66"/>
        <v>0</v>
      </c>
      <c r="AE167" s="282">
        <f t="shared" si="66"/>
        <v>0</v>
      </c>
      <c r="AF167" s="282">
        <f t="shared" si="66"/>
        <v>0</v>
      </c>
      <c r="AG167" s="282">
        <f t="shared" si="66"/>
        <v>0</v>
      </c>
      <c r="AH167" s="282">
        <f t="shared" si="66"/>
        <v>0</v>
      </c>
      <c r="AI167" s="282">
        <f t="shared" si="66"/>
        <v>0</v>
      </c>
      <c r="AJ167" s="282">
        <f t="shared" si="66"/>
        <v>0</v>
      </c>
      <c r="AK167" s="282">
        <f t="shared" si="66"/>
        <v>0</v>
      </c>
      <c r="AL167" s="282">
        <f t="shared" si="66"/>
        <v>0</v>
      </c>
      <c r="AM167" s="282">
        <f t="shared" si="66"/>
        <v>0</v>
      </c>
      <c r="AN167" s="282">
        <f t="shared" si="66"/>
        <v>0</v>
      </c>
      <c r="AO167" s="282">
        <f t="shared" si="66"/>
        <v>0</v>
      </c>
      <c r="AP167" s="282">
        <f t="shared" si="66"/>
        <v>0</v>
      </c>
      <c r="AQ167" s="282">
        <f t="shared" si="66"/>
        <v>0</v>
      </c>
      <c r="AR167" s="282">
        <f t="shared" si="66"/>
        <v>0</v>
      </c>
      <c r="AS167" s="282">
        <f t="shared" si="66"/>
        <v>0</v>
      </c>
      <c r="AT167" s="282">
        <f t="shared" si="66"/>
        <v>0</v>
      </c>
      <c r="AU167" s="282">
        <f t="shared" si="66"/>
        <v>0</v>
      </c>
      <c r="AV167" s="282">
        <f t="shared" si="66"/>
        <v>0</v>
      </c>
      <c r="AW167" s="282">
        <f t="shared" si="66"/>
        <v>0</v>
      </c>
      <c r="AX167" s="282">
        <f t="shared" si="66"/>
        <v>0</v>
      </c>
      <c r="AY167" s="282">
        <f t="shared" si="66"/>
        <v>0</v>
      </c>
      <c r="AZ167" s="282">
        <f t="shared" si="66"/>
        <v>0</v>
      </c>
      <c r="BA167" s="282">
        <f t="shared" si="66"/>
        <v>0</v>
      </c>
      <c r="BB167" s="282">
        <f t="shared" si="66"/>
        <v>0</v>
      </c>
      <c r="BC167" s="282">
        <f t="shared" si="66"/>
        <v>0</v>
      </c>
    </row>
    <row r="168" spans="1:58" s="192" customFormat="1" ht="16.899999999999999" customHeight="1" outlineLevel="1" x14ac:dyDescent="0.25">
      <c r="B168" s="276" t="s">
        <v>627</v>
      </c>
      <c r="C168" s="282">
        <f>C167</f>
        <v>55.516106965662551</v>
      </c>
      <c r="D168" s="282">
        <f t="shared" ref="D168:BC168" si="67">C173+D167</f>
        <v>140.26024166636495</v>
      </c>
      <c r="E168" s="282">
        <f t="shared" si="67"/>
        <v>218.23569894328327</v>
      </c>
      <c r="F168" s="282">
        <f t="shared" si="67"/>
        <v>218.23569894328327</v>
      </c>
      <c r="G168" s="282">
        <f t="shared" si="67"/>
        <v>207.3239139961191</v>
      </c>
      <c r="H168" s="282">
        <f t="shared" si="67"/>
        <v>196.41212904895494</v>
      </c>
      <c r="I168" s="282">
        <f t="shared" si="67"/>
        <v>185.50034410179077</v>
      </c>
      <c r="J168" s="282">
        <f t="shared" si="67"/>
        <v>174.58855915462661</v>
      </c>
      <c r="K168" s="282">
        <f t="shared" si="67"/>
        <v>163.67677420746244</v>
      </c>
      <c r="L168" s="282">
        <f t="shared" si="67"/>
        <v>152.76498926029828</v>
      </c>
      <c r="M168" s="282">
        <f t="shared" si="67"/>
        <v>141.85320431313411</v>
      </c>
      <c r="N168" s="282">
        <f t="shared" si="67"/>
        <v>130.94141936596995</v>
      </c>
      <c r="O168" s="282">
        <f t="shared" si="67"/>
        <v>120.02963441880578</v>
      </c>
      <c r="P168" s="282">
        <f t="shared" si="67"/>
        <v>109.11784947164162</v>
      </c>
      <c r="Q168" s="282">
        <f t="shared" si="67"/>
        <v>98.206064524477455</v>
      </c>
      <c r="R168" s="282">
        <f t="shared" si="67"/>
        <v>87.29427957731329</v>
      </c>
      <c r="S168" s="282">
        <f t="shared" si="67"/>
        <v>76.382494630149125</v>
      </c>
      <c r="T168" s="282">
        <f t="shared" si="67"/>
        <v>65.47070968298496</v>
      </c>
      <c r="U168" s="282">
        <f t="shared" si="67"/>
        <v>54.558924735820796</v>
      </c>
      <c r="V168" s="282">
        <f t="shared" si="67"/>
        <v>43.647139788656631</v>
      </c>
      <c r="W168" s="282">
        <f t="shared" si="67"/>
        <v>32.735354841492466</v>
      </c>
      <c r="X168" s="282">
        <f t="shared" si="67"/>
        <v>21.823569894328301</v>
      </c>
      <c r="Y168" s="282">
        <f t="shared" si="67"/>
        <v>10.911784947164138</v>
      </c>
      <c r="Z168" s="282">
        <f t="shared" si="67"/>
        <v>-2.4868995751603507E-14</v>
      </c>
      <c r="AA168" s="282">
        <f t="shared" si="67"/>
        <v>-2.4868995751603507E-14</v>
      </c>
      <c r="AB168" s="282">
        <f t="shared" si="67"/>
        <v>-2.4868995751603507E-14</v>
      </c>
      <c r="AC168" s="282">
        <f t="shared" si="67"/>
        <v>-2.4868995751603507E-14</v>
      </c>
      <c r="AD168" s="282">
        <f t="shared" si="67"/>
        <v>-2.4868995751603507E-14</v>
      </c>
      <c r="AE168" s="282">
        <f t="shared" si="67"/>
        <v>-2.4868995751603507E-14</v>
      </c>
      <c r="AF168" s="282">
        <f t="shared" si="67"/>
        <v>-2.4868995751603507E-14</v>
      </c>
      <c r="AG168" s="282">
        <f t="shared" si="67"/>
        <v>-2.4868995751603507E-14</v>
      </c>
      <c r="AH168" s="282">
        <f t="shared" si="67"/>
        <v>-2.4868995751603507E-14</v>
      </c>
      <c r="AI168" s="282">
        <f t="shared" si="67"/>
        <v>-2.4868995751603507E-14</v>
      </c>
      <c r="AJ168" s="282">
        <f t="shared" si="67"/>
        <v>-2.4868995751603507E-14</v>
      </c>
      <c r="AK168" s="282">
        <f t="shared" si="67"/>
        <v>-2.4868995751603507E-14</v>
      </c>
      <c r="AL168" s="282">
        <f t="shared" si="67"/>
        <v>-2.4868995751603507E-14</v>
      </c>
      <c r="AM168" s="282">
        <f t="shared" si="67"/>
        <v>-2.4868995751603507E-14</v>
      </c>
      <c r="AN168" s="282">
        <f t="shared" si="67"/>
        <v>-2.4868995751603507E-14</v>
      </c>
      <c r="AO168" s="282">
        <f t="shared" si="67"/>
        <v>-2.4868995751603507E-14</v>
      </c>
      <c r="AP168" s="282">
        <f t="shared" si="67"/>
        <v>-2.4868995751603507E-14</v>
      </c>
      <c r="AQ168" s="282">
        <f t="shared" si="67"/>
        <v>-2.4868995751603507E-14</v>
      </c>
      <c r="AR168" s="282">
        <f t="shared" si="67"/>
        <v>-2.4868995751603507E-14</v>
      </c>
      <c r="AS168" s="282">
        <f t="shared" si="67"/>
        <v>-2.4868995751603507E-14</v>
      </c>
      <c r="AT168" s="282">
        <f t="shared" si="67"/>
        <v>-2.4868995751603507E-14</v>
      </c>
      <c r="AU168" s="282">
        <f t="shared" si="67"/>
        <v>-2.4868995751603507E-14</v>
      </c>
      <c r="AV168" s="282">
        <f t="shared" si="67"/>
        <v>-2.4868995751603507E-14</v>
      </c>
      <c r="AW168" s="282">
        <f t="shared" si="67"/>
        <v>-2.4868995751603507E-14</v>
      </c>
      <c r="AX168" s="282">
        <f t="shared" si="67"/>
        <v>-2.4868995751603507E-14</v>
      </c>
      <c r="AY168" s="282">
        <f t="shared" si="67"/>
        <v>-2.4868995751603507E-14</v>
      </c>
      <c r="AZ168" s="282">
        <f t="shared" si="67"/>
        <v>-2.4868995751603507E-14</v>
      </c>
      <c r="BA168" s="282">
        <f t="shared" si="67"/>
        <v>-2.4868995751603507E-14</v>
      </c>
      <c r="BB168" s="282">
        <f t="shared" si="67"/>
        <v>-2.4868995751603507E-14</v>
      </c>
      <c r="BC168" s="282">
        <f t="shared" si="67"/>
        <v>-2.4868995751603507E-14</v>
      </c>
    </row>
    <row r="169" spans="1:58" s="192" customFormat="1" ht="16.899999999999999" customHeight="1" outlineLevel="1" x14ac:dyDescent="0.25">
      <c r="A169" s="275"/>
      <c r="B169" s="288" t="s">
        <v>373</v>
      </c>
      <c r="C169" s="277">
        <v>0</v>
      </c>
      <c r="D169" s="277">
        <v>1</v>
      </c>
      <c r="E169" s="277">
        <v>2</v>
      </c>
      <c r="F169" s="277">
        <v>3</v>
      </c>
      <c r="G169" s="277">
        <v>4</v>
      </c>
      <c r="H169" s="277">
        <v>5</v>
      </c>
      <c r="I169" s="277">
        <v>6</v>
      </c>
      <c r="J169" s="277">
        <v>7</v>
      </c>
      <c r="K169" s="277">
        <v>8</v>
      </c>
      <c r="L169" s="277">
        <v>9</v>
      </c>
      <c r="M169" s="277">
        <v>10</v>
      </c>
      <c r="N169" s="277">
        <v>11</v>
      </c>
      <c r="O169" s="277">
        <v>12</v>
      </c>
      <c r="P169" s="277">
        <v>13</v>
      </c>
      <c r="Q169" s="277">
        <v>14</v>
      </c>
      <c r="R169" s="277">
        <v>15</v>
      </c>
      <c r="S169" s="277">
        <v>16</v>
      </c>
      <c r="T169" s="277">
        <v>17</v>
      </c>
      <c r="U169" s="277">
        <v>18</v>
      </c>
      <c r="V169" s="277">
        <v>19</v>
      </c>
      <c r="W169" s="277">
        <v>20</v>
      </c>
      <c r="X169" s="277">
        <v>21</v>
      </c>
      <c r="Y169" s="277">
        <v>22</v>
      </c>
      <c r="Z169" s="277">
        <v>23</v>
      </c>
      <c r="AA169" s="277">
        <v>24</v>
      </c>
      <c r="AB169" s="277">
        <v>25</v>
      </c>
      <c r="AC169" s="277">
        <v>26</v>
      </c>
      <c r="AD169" s="277">
        <v>27</v>
      </c>
      <c r="AE169" s="277">
        <v>28</v>
      </c>
      <c r="AF169" s="277">
        <v>29</v>
      </c>
      <c r="AG169" s="277">
        <v>30</v>
      </c>
      <c r="AH169" s="277">
        <v>31</v>
      </c>
      <c r="AI169" s="277">
        <v>32</v>
      </c>
      <c r="AJ169" s="277">
        <v>33</v>
      </c>
      <c r="AK169" s="277">
        <v>34</v>
      </c>
      <c r="AL169" s="277">
        <v>35</v>
      </c>
      <c r="AM169" s="277">
        <v>36</v>
      </c>
      <c r="AN169" s="277">
        <v>37</v>
      </c>
      <c r="AO169" s="277">
        <v>38</v>
      </c>
      <c r="AP169" s="277">
        <v>39</v>
      </c>
      <c r="AQ169" s="277">
        <v>40</v>
      </c>
      <c r="AR169" s="277">
        <v>41</v>
      </c>
      <c r="AS169" s="277">
        <v>42</v>
      </c>
      <c r="AT169" s="277">
        <v>43</v>
      </c>
      <c r="AU169" s="277">
        <v>44</v>
      </c>
      <c r="AV169" s="277">
        <v>45</v>
      </c>
      <c r="AW169" s="277">
        <v>46</v>
      </c>
      <c r="AX169" s="277">
        <v>47</v>
      </c>
      <c r="AY169" s="277">
        <v>48</v>
      </c>
      <c r="AZ169" s="277">
        <v>49</v>
      </c>
      <c r="BA169" s="277">
        <v>50</v>
      </c>
      <c r="BB169" s="277">
        <v>51</v>
      </c>
      <c r="BC169" s="277">
        <v>52</v>
      </c>
      <c r="BD169" s="275"/>
      <c r="BE169" s="275"/>
      <c r="BF169" s="275"/>
    </row>
    <row r="170" spans="1:58" s="192" customFormat="1" ht="16.899999999999999" customHeight="1" outlineLevel="1" x14ac:dyDescent="0.25">
      <c r="B170" s="192" t="s">
        <v>628</v>
      </c>
      <c r="C170" s="274">
        <f t="shared" ref="C170:AH170" si="68">IF(C169&lt;=$C$23,0,IF(C169&lt;($C$23+$C$22+1),1,2))</f>
        <v>0</v>
      </c>
      <c r="D170" s="274">
        <f t="shared" si="68"/>
        <v>0</v>
      </c>
      <c r="E170" s="274">
        <f t="shared" si="68"/>
        <v>0</v>
      </c>
      <c r="F170" s="274">
        <f t="shared" si="68"/>
        <v>1</v>
      </c>
      <c r="G170" s="274">
        <f t="shared" si="68"/>
        <v>1</v>
      </c>
      <c r="H170" s="274">
        <f t="shared" si="68"/>
        <v>1</v>
      </c>
      <c r="I170" s="274">
        <f t="shared" si="68"/>
        <v>1</v>
      </c>
      <c r="J170" s="274">
        <f t="shared" si="68"/>
        <v>1</v>
      </c>
      <c r="K170" s="274">
        <f t="shared" si="68"/>
        <v>1</v>
      </c>
      <c r="L170" s="274">
        <f t="shared" si="68"/>
        <v>1</v>
      </c>
      <c r="M170" s="274">
        <f t="shared" si="68"/>
        <v>1</v>
      </c>
      <c r="N170" s="274">
        <f t="shared" si="68"/>
        <v>1</v>
      </c>
      <c r="O170" s="274">
        <f t="shared" si="68"/>
        <v>1</v>
      </c>
      <c r="P170" s="274">
        <f t="shared" si="68"/>
        <v>1</v>
      </c>
      <c r="Q170" s="274">
        <f t="shared" si="68"/>
        <v>1</v>
      </c>
      <c r="R170" s="274">
        <f t="shared" si="68"/>
        <v>1</v>
      </c>
      <c r="S170" s="274">
        <f t="shared" si="68"/>
        <v>1</v>
      </c>
      <c r="T170" s="274">
        <f t="shared" si="68"/>
        <v>1</v>
      </c>
      <c r="U170" s="274">
        <f t="shared" si="68"/>
        <v>1</v>
      </c>
      <c r="V170" s="274">
        <f t="shared" si="68"/>
        <v>1</v>
      </c>
      <c r="W170" s="274">
        <f t="shared" si="68"/>
        <v>1</v>
      </c>
      <c r="X170" s="274">
        <f t="shared" si="68"/>
        <v>1</v>
      </c>
      <c r="Y170" s="274">
        <f t="shared" si="68"/>
        <v>1</v>
      </c>
      <c r="Z170" s="274">
        <f t="shared" si="68"/>
        <v>2</v>
      </c>
      <c r="AA170" s="274">
        <f t="shared" si="68"/>
        <v>2</v>
      </c>
      <c r="AB170" s="274">
        <f t="shared" si="68"/>
        <v>2</v>
      </c>
      <c r="AC170" s="274">
        <f t="shared" si="68"/>
        <v>2</v>
      </c>
      <c r="AD170" s="274">
        <f t="shared" si="68"/>
        <v>2</v>
      </c>
      <c r="AE170" s="274">
        <f t="shared" si="68"/>
        <v>2</v>
      </c>
      <c r="AF170" s="274">
        <f t="shared" si="68"/>
        <v>2</v>
      </c>
      <c r="AG170" s="274">
        <f t="shared" si="68"/>
        <v>2</v>
      </c>
      <c r="AH170" s="274">
        <f t="shared" si="68"/>
        <v>2</v>
      </c>
      <c r="AI170" s="274">
        <f t="shared" ref="AI170:BC170" si="69">IF(AI169&lt;=$C$23,0,IF(AI169&lt;($C$23+$C$22+1),1,2))</f>
        <v>2</v>
      </c>
      <c r="AJ170" s="274">
        <f t="shared" si="69"/>
        <v>2</v>
      </c>
      <c r="AK170" s="274">
        <f t="shared" si="69"/>
        <v>2</v>
      </c>
      <c r="AL170" s="274">
        <f t="shared" si="69"/>
        <v>2</v>
      </c>
      <c r="AM170" s="274">
        <f t="shared" si="69"/>
        <v>2</v>
      </c>
      <c r="AN170" s="274">
        <f t="shared" si="69"/>
        <v>2</v>
      </c>
      <c r="AO170" s="274">
        <f t="shared" si="69"/>
        <v>2</v>
      </c>
      <c r="AP170" s="274">
        <f t="shared" si="69"/>
        <v>2</v>
      </c>
      <c r="AQ170" s="274">
        <f t="shared" si="69"/>
        <v>2</v>
      </c>
      <c r="AR170" s="274">
        <f t="shared" si="69"/>
        <v>2</v>
      </c>
      <c r="AS170" s="274">
        <f t="shared" si="69"/>
        <v>2</v>
      </c>
      <c r="AT170" s="274">
        <f t="shared" si="69"/>
        <v>2</v>
      </c>
      <c r="AU170" s="274">
        <f t="shared" si="69"/>
        <v>2</v>
      </c>
      <c r="AV170" s="274">
        <f t="shared" si="69"/>
        <v>2</v>
      </c>
      <c r="AW170" s="274">
        <f t="shared" si="69"/>
        <v>2</v>
      </c>
      <c r="AX170" s="274">
        <f t="shared" si="69"/>
        <v>2</v>
      </c>
      <c r="AY170" s="274">
        <f t="shared" si="69"/>
        <v>2</v>
      </c>
      <c r="AZ170" s="274">
        <f t="shared" si="69"/>
        <v>2</v>
      </c>
      <c r="BA170" s="274">
        <f t="shared" si="69"/>
        <v>2</v>
      </c>
      <c r="BB170" s="274">
        <f t="shared" si="69"/>
        <v>2</v>
      </c>
      <c r="BC170" s="274">
        <f t="shared" si="69"/>
        <v>2</v>
      </c>
    </row>
    <row r="171" spans="1:58" s="192" customFormat="1" ht="16.899999999999999" customHeight="1" outlineLevel="1" x14ac:dyDescent="0.25">
      <c r="B171" s="110" t="s">
        <v>374</v>
      </c>
      <c r="C171" s="282">
        <v>0</v>
      </c>
      <c r="D171" s="282">
        <f t="shared" ref="D171:AI171" si="70">IF(D170=0,0,IF(D170=1,-1*SUM($C167:$BC167)/$C$22,0))</f>
        <v>0</v>
      </c>
      <c r="E171" s="282">
        <f t="shared" si="70"/>
        <v>0</v>
      </c>
      <c r="F171" s="282">
        <f t="shared" si="70"/>
        <v>-10.911784947164163</v>
      </c>
      <c r="G171" s="282">
        <f t="shared" si="70"/>
        <v>-10.911784947164163</v>
      </c>
      <c r="H171" s="282">
        <f t="shared" si="70"/>
        <v>-10.911784947164163</v>
      </c>
      <c r="I171" s="282">
        <f t="shared" si="70"/>
        <v>-10.911784947164163</v>
      </c>
      <c r="J171" s="282">
        <f t="shared" si="70"/>
        <v>-10.911784947164163</v>
      </c>
      <c r="K171" s="282">
        <f t="shared" si="70"/>
        <v>-10.911784947164163</v>
      </c>
      <c r="L171" s="282">
        <f t="shared" si="70"/>
        <v>-10.911784947164163</v>
      </c>
      <c r="M171" s="282">
        <f t="shared" si="70"/>
        <v>-10.911784947164163</v>
      </c>
      <c r="N171" s="282">
        <f t="shared" si="70"/>
        <v>-10.911784947164163</v>
      </c>
      <c r="O171" s="282">
        <f t="shared" si="70"/>
        <v>-10.911784947164163</v>
      </c>
      <c r="P171" s="282">
        <f t="shared" si="70"/>
        <v>-10.911784947164163</v>
      </c>
      <c r="Q171" s="282">
        <f t="shared" si="70"/>
        <v>-10.911784947164163</v>
      </c>
      <c r="R171" s="282">
        <f t="shared" si="70"/>
        <v>-10.911784947164163</v>
      </c>
      <c r="S171" s="282">
        <f t="shared" si="70"/>
        <v>-10.911784947164163</v>
      </c>
      <c r="T171" s="282">
        <f t="shared" si="70"/>
        <v>-10.911784947164163</v>
      </c>
      <c r="U171" s="282">
        <f t="shared" si="70"/>
        <v>-10.911784947164163</v>
      </c>
      <c r="V171" s="282">
        <f t="shared" si="70"/>
        <v>-10.911784947164163</v>
      </c>
      <c r="W171" s="282">
        <f t="shared" si="70"/>
        <v>-10.911784947164163</v>
      </c>
      <c r="X171" s="282">
        <f t="shared" si="70"/>
        <v>-10.911784947164163</v>
      </c>
      <c r="Y171" s="282">
        <f t="shared" si="70"/>
        <v>-10.911784947164163</v>
      </c>
      <c r="Z171" s="282">
        <f t="shared" si="70"/>
        <v>0</v>
      </c>
      <c r="AA171" s="282">
        <f t="shared" si="70"/>
        <v>0</v>
      </c>
      <c r="AB171" s="282">
        <f t="shared" si="70"/>
        <v>0</v>
      </c>
      <c r="AC171" s="282">
        <f t="shared" si="70"/>
        <v>0</v>
      </c>
      <c r="AD171" s="282">
        <f t="shared" si="70"/>
        <v>0</v>
      </c>
      <c r="AE171" s="282">
        <f t="shared" si="70"/>
        <v>0</v>
      </c>
      <c r="AF171" s="282">
        <f t="shared" si="70"/>
        <v>0</v>
      </c>
      <c r="AG171" s="282">
        <f t="shared" si="70"/>
        <v>0</v>
      </c>
      <c r="AH171" s="282">
        <f t="shared" si="70"/>
        <v>0</v>
      </c>
      <c r="AI171" s="282">
        <f t="shared" si="70"/>
        <v>0</v>
      </c>
      <c r="AJ171" s="282">
        <f t="shared" ref="AJ171:BC171" si="71">IF(AJ170=0,0,IF(AJ170=1,-1*SUM($C167:$BC167)/$C$22,0))</f>
        <v>0</v>
      </c>
      <c r="AK171" s="282">
        <f t="shared" si="71"/>
        <v>0</v>
      </c>
      <c r="AL171" s="282">
        <f t="shared" si="71"/>
        <v>0</v>
      </c>
      <c r="AM171" s="282">
        <f t="shared" si="71"/>
        <v>0</v>
      </c>
      <c r="AN171" s="282">
        <f t="shared" si="71"/>
        <v>0</v>
      </c>
      <c r="AO171" s="282">
        <f t="shared" si="71"/>
        <v>0</v>
      </c>
      <c r="AP171" s="282">
        <f t="shared" si="71"/>
        <v>0</v>
      </c>
      <c r="AQ171" s="282">
        <f t="shared" si="71"/>
        <v>0</v>
      </c>
      <c r="AR171" s="282">
        <f t="shared" si="71"/>
        <v>0</v>
      </c>
      <c r="AS171" s="282">
        <f t="shared" si="71"/>
        <v>0</v>
      </c>
      <c r="AT171" s="282">
        <f t="shared" si="71"/>
        <v>0</v>
      </c>
      <c r="AU171" s="282">
        <f t="shared" si="71"/>
        <v>0</v>
      </c>
      <c r="AV171" s="282">
        <f t="shared" si="71"/>
        <v>0</v>
      </c>
      <c r="AW171" s="282">
        <f t="shared" si="71"/>
        <v>0</v>
      </c>
      <c r="AX171" s="282">
        <f t="shared" si="71"/>
        <v>0</v>
      </c>
      <c r="AY171" s="282">
        <f t="shared" si="71"/>
        <v>0</v>
      </c>
      <c r="AZ171" s="282">
        <f t="shared" si="71"/>
        <v>0</v>
      </c>
      <c r="BA171" s="282">
        <f t="shared" si="71"/>
        <v>0</v>
      </c>
      <c r="BB171" s="282">
        <f t="shared" si="71"/>
        <v>0</v>
      </c>
      <c r="BC171" s="282">
        <f t="shared" si="71"/>
        <v>0</v>
      </c>
    </row>
    <row r="172" spans="1:58" s="192" customFormat="1" ht="16.899999999999999" customHeight="1" outlineLevel="1" x14ac:dyDescent="0.25">
      <c r="B172" s="110" t="s">
        <v>375</v>
      </c>
      <c r="C172" s="282">
        <v>0</v>
      </c>
      <c r="D172" s="282">
        <f t="shared" ref="D172:AI172" si="72">IF(D170=0,-1*$C$24*C173,IF(D170=1,-1*$C$21*C173,0))</f>
        <v>-2.4149506530063207</v>
      </c>
      <c r="E172" s="282">
        <f t="shared" si="72"/>
        <v>-6.1013205124868746</v>
      </c>
      <c r="F172" s="282">
        <f t="shared" si="72"/>
        <v>-10.911784947164165</v>
      </c>
      <c r="G172" s="282">
        <f t="shared" si="72"/>
        <v>-10.366195699805957</v>
      </c>
      <c r="H172" s="282">
        <f t="shared" si="72"/>
        <v>-9.8206064524477483</v>
      </c>
      <c r="I172" s="282">
        <f t="shared" si="72"/>
        <v>-9.2750172050895383</v>
      </c>
      <c r="J172" s="282">
        <f t="shared" si="72"/>
        <v>-8.7294279577313301</v>
      </c>
      <c r="K172" s="282">
        <f t="shared" si="72"/>
        <v>-8.1838387103731218</v>
      </c>
      <c r="L172" s="282">
        <f t="shared" si="72"/>
        <v>-7.6382494630149145</v>
      </c>
      <c r="M172" s="282">
        <f t="shared" si="72"/>
        <v>-7.0926602156567062</v>
      </c>
      <c r="N172" s="282">
        <f t="shared" si="72"/>
        <v>-6.547070968298498</v>
      </c>
      <c r="O172" s="282">
        <f t="shared" si="72"/>
        <v>-6.0014817209402898</v>
      </c>
      <c r="P172" s="282">
        <f t="shared" si="72"/>
        <v>-5.4558924735820815</v>
      </c>
      <c r="Q172" s="282">
        <f t="shared" si="72"/>
        <v>-4.9103032262238733</v>
      </c>
      <c r="R172" s="282">
        <f t="shared" si="72"/>
        <v>-4.364713978865665</v>
      </c>
      <c r="S172" s="282">
        <f t="shared" si="72"/>
        <v>-3.8191247315074563</v>
      </c>
      <c r="T172" s="282">
        <f t="shared" si="72"/>
        <v>-3.2735354841492481</v>
      </c>
      <c r="U172" s="282">
        <f t="shared" si="72"/>
        <v>-2.7279462367910399</v>
      </c>
      <c r="V172" s="282">
        <f t="shared" si="72"/>
        <v>-2.1823569894328316</v>
      </c>
      <c r="W172" s="282">
        <f t="shared" si="72"/>
        <v>-1.6367677420746234</v>
      </c>
      <c r="X172" s="282">
        <f t="shared" si="72"/>
        <v>-1.0911784947164151</v>
      </c>
      <c r="Y172" s="282">
        <f t="shared" si="72"/>
        <v>-0.54558924735820691</v>
      </c>
      <c r="Z172" s="282">
        <f t="shared" si="72"/>
        <v>0</v>
      </c>
      <c r="AA172" s="282">
        <f t="shared" si="72"/>
        <v>0</v>
      </c>
      <c r="AB172" s="282">
        <f t="shared" si="72"/>
        <v>0</v>
      </c>
      <c r="AC172" s="282">
        <f t="shared" si="72"/>
        <v>0</v>
      </c>
      <c r="AD172" s="282">
        <f t="shared" si="72"/>
        <v>0</v>
      </c>
      <c r="AE172" s="282">
        <f t="shared" si="72"/>
        <v>0</v>
      </c>
      <c r="AF172" s="282">
        <f t="shared" si="72"/>
        <v>0</v>
      </c>
      <c r="AG172" s="282">
        <f t="shared" si="72"/>
        <v>0</v>
      </c>
      <c r="AH172" s="282">
        <f t="shared" si="72"/>
        <v>0</v>
      </c>
      <c r="AI172" s="282">
        <f t="shared" si="72"/>
        <v>0</v>
      </c>
      <c r="AJ172" s="282">
        <f t="shared" ref="AJ172:BC172" si="73">IF(AJ170=0,-1*$C$24*AI173,IF(AJ170=1,-1*$C$21*AI173,0))</f>
        <v>0</v>
      </c>
      <c r="AK172" s="282">
        <f t="shared" si="73"/>
        <v>0</v>
      </c>
      <c r="AL172" s="282">
        <f t="shared" si="73"/>
        <v>0</v>
      </c>
      <c r="AM172" s="282">
        <f t="shared" si="73"/>
        <v>0</v>
      </c>
      <c r="AN172" s="282">
        <f t="shared" si="73"/>
        <v>0</v>
      </c>
      <c r="AO172" s="282">
        <f t="shared" si="73"/>
        <v>0</v>
      </c>
      <c r="AP172" s="282">
        <f t="shared" si="73"/>
        <v>0</v>
      </c>
      <c r="AQ172" s="282">
        <f t="shared" si="73"/>
        <v>0</v>
      </c>
      <c r="AR172" s="282">
        <f t="shared" si="73"/>
        <v>0</v>
      </c>
      <c r="AS172" s="282">
        <f t="shared" si="73"/>
        <v>0</v>
      </c>
      <c r="AT172" s="282">
        <f t="shared" si="73"/>
        <v>0</v>
      </c>
      <c r="AU172" s="282">
        <f t="shared" si="73"/>
        <v>0</v>
      </c>
      <c r="AV172" s="282">
        <f t="shared" si="73"/>
        <v>0</v>
      </c>
      <c r="AW172" s="282">
        <f t="shared" si="73"/>
        <v>0</v>
      </c>
      <c r="AX172" s="282">
        <f t="shared" si="73"/>
        <v>0</v>
      </c>
      <c r="AY172" s="282">
        <f t="shared" si="73"/>
        <v>0</v>
      </c>
      <c r="AZ172" s="282">
        <f t="shared" si="73"/>
        <v>0</v>
      </c>
      <c r="BA172" s="282">
        <f t="shared" si="73"/>
        <v>0</v>
      </c>
      <c r="BB172" s="282">
        <f t="shared" si="73"/>
        <v>0</v>
      </c>
      <c r="BC172" s="282">
        <f t="shared" si="73"/>
        <v>0</v>
      </c>
    </row>
    <row r="173" spans="1:58" s="192" customFormat="1" ht="16.899999999999999" customHeight="1" outlineLevel="1" x14ac:dyDescent="0.25">
      <c r="B173" s="278" t="s">
        <v>629</v>
      </c>
      <c r="C173" s="282">
        <f>C168+C171</f>
        <v>55.516106965662551</v>
      </c>
      <c r="D173" s="282">
        <f t="shared" ref="D173:BC173" si="74">D168+D171</f>
        <v>140.26024166636495</v>
      </c>
      <c r="E173" s="282">
        <f t="shared" si="74"/>
        <v>218.23569894328327</v>
      </c>
      <c r="F173" s="282">
        <f t="shared" si="74"/>
        <v>207.3239139961191</v>
      </c>
      <c r="G173" s="282">
        <f t="shared" si="74"/>
        <v>196.41212904895494</v>
      </c>
      <c r="H173" s="282">
        <f t="shared" si="74"/>
        <v>185.50034410179077</v>
      </c>
      <c r="I173" s="282">
        <f t="shared" si="74"/>
        <v>174.58855915462661</v>
      </c>
      <c r="J173" s="282">
        <f t="shared" si="74"/>
        <v>163.67677420746244</v>
      </c>
      <c r="K173" s="282">
        <f t="shared" si="74"/>
        <v>152.76498926029828</v>
      </c>
      <c r="L173" s="282">
        <f t="shared" si="74"/>
        <v>141.85320431313411</v>
      </c>
      <c r="M173" s="282">
        <f t="shared" si="74"/>
        <v>130.94141936596995</v>
      </c>
      <c r="N173" s="282">
        <f t="shared" si="74"/>
        <v>120.02963441880578</v>
      </c>
      <c r="O173" s="282">
        <f t="shared" si="74"/>
        <v>109.11784947164162</v>
      </c>
      <c r="P173" s="282">
        <f t="shared" si="74"/>
        <v>98.206064524477455</v>
      </c>
      <c r="Q173" s="282">
        <f t="shared" si="74"/>
        <v>87.29427957731329</v>
      </c>
      <c r="R173" s="282">
        <f t="shared" si="74"/>
        <v>76.382494630149125</v>
      </c>
      <c r="S173" s="282">
        <f t="shared" si="74"/>
        <v>65.47070968298496</v>
      </c>
      <c r="T173" s="282">
        <f t="shared" si="74"/>
        <v>54.558924735820796</v>
      </c>
      <c r="U173" s="282">
        <f t="shared" si="74"/>
        <v>43.647139788656631</v>
      </c>
      <c r="V173" s="282">
        <f t="shared" si="74"/>
        <v>32.735354841492466</v>
      </c>
      <c r="W173" s="282">
        <f t="shared" si="74"/>
        <v>21.823569894328301</v>
      </c>
      <c r="X173" s="282">
        <f t="shared" si="74"/>
        <v>10.911784947164138</v>
      </c>
      <c r="Y173" s="282">
        <f t="shared" si="74"/>
        <v>-2.4868995751603507E-14</v>
      </c>
      <c r="Z173" s="282">
        <f t="shared" si="74"/>
        <v>-2.4868995751603507E-14</v>
      </c>
      <c r="AA173" s="282">
        <f t="shared" si="74"/>
        <v>-2.4868995751603507E-14</v>
      </c>
      <c r="AB173" s="282">
        <f t="shared" si="74"/>
        <v>-2.4868995751603507E-14</v>
      </c>
      <c r="AC173" s="282">
        <f t="shared" si="74"/>
        <v>-2.4868995751603507E-14</v>
      </c>
      <c r="AD173" s="282">
        <f t="shared" si="74"/>
        <v>-2.4868995751603507E-14</v>
      </c>
      <c r="AE173" s="282">
        <f t="shared" si="74"/>
        <v>-2.4868995751603507E-14</v>
      </c>
      <c r="AF173" s="282">
        <f t="shared" si="74"/>
        <v>-2.4868995751603507E-14</v>
      </c>
      <c r="AG173" s="282">
        <f t="shared" si="74"/>
        <v>-2.4868995751603507E-14</v>
      </c>
      <c r="AH173" s="282">
        <f t="shared" si="74"/>
        <v>-2.4868995751603507E-14</v>
      </c>
      <c r="AI173" s="282">
        <f t="shared" si="74"/>
        <v>-2.4868995751603507E-14</v>
      </c>
      <c r="AJ173" s="282">
        <f t="shared" si="74"/>
        <v>-2.4868995751603507E-14</v>
      </c>
      <c r="AK173" s="282">
        <f t="shared" si="74"/>
        <v>-2.4868995751603507E-14</v>
      </c>
      <c r="AL173" s="282">
        <f t="shared" si="74"/>
        <v>-2.4868995751603507E-14</v>
      </c>
      <c r="AM173" s="282">
        <f t="shared" si="74"/>
        <v>-2.4868995751603507E-14</v>
      </c>
      <c r="AN173" s="282">
        <f t="shared" si="74"/>
        <v>-2.4868995751603507E-14</v>
      </c>
      <c r="AO173" s="282">
        <f t="shared" si="74"/>
        <v>-2.4868995751603507E-14</v>
      </c>
      <c r="AP173" s="282">
        <f t="shared" si="74"/>
        <v>-2.4868995751603507E-14</v>
      </c>
      <c r="AQ173" s="282">
        <f t="shared" si="74"/>
        <v>-2.4868995751603507E-14</v>
      </c>
      <c r="AR173" s="282">
        <f t="shared" si="74"/>
        <v>-2.4868995751603507E-14</v>
      </c>
      <c r="AS173" s="282">
        <f t="shared" si="74"/>
        <v>-2.4868995751603507E-14</v>
      </c>
      <c r="AT173" s="282">
        <f t="shared" si="74"/>
        <v>-2.4868995751603507E-14</v>
      </c>
      <c r="AU173" s="282">
        <f t="shared" si="74"/>
        <v>-2.4868995751603507E-14</v>
      </c>
      <c r="AV173" s="282">
        <f t="shared" si="74"/>
        <v>-2.4868995751603507E-14</v>
      </c>
      <c r="AW173" s="282">
        <f t="shared" si="74"/>
        <v>-2.4868995751603507E-14</v>
      </c>
      <c r="AX173" s="282">
        <f t="shared" si="74"/>
        <v>-2.4868995751603507E-14</v>
      </c>
      <c r="AY173" s="282">
        <f t="shared" si="74"/>
        <v>-2.4868995751603507E-14</v>
      </c>
      <c r="AZ173" s="282">
        <f t="shared" si="74"/>
        <v>-2.4868995751603507E-14</v>
      </c>
      <c r="BA173" s="282">
        <f t="shared" si="74"/>
        <v>-2.4868995751603507E-14</v>
      </c>
      <c r="BB173" s="282">
        <f t="shared" si="74"/>
        <v>-2.4868995751603507E-14</v>
      </c>
      <c r="BC173" s="282">
        <f t="shared" si="74"/>
        <v>-2.4868995751603507E-14</v>
      </c>
    </row>
    <row r="174" spans="1:58" s="192" customFormat="1" ht="16.899999999999999" customHeight="1" outlineLevel="1" x14ac:dyDescent="0.25">
      <c r="C174" s="283"/>
      <c r="D174" s="283"/>
      <c r="E174" s="283"/>
      <c r="F174" s="283"/>
      <c r="G174" s="283"/>
      <c r="H174" s="283"/>
      <c r="I174" s="283"/>
      <c r="J174" s="283"/>
      <c r="K174" s="283"/>
      <c r="L174" s="283"/>
      <c r="M174" s="283"/>
      <c r="N174" s="283"/>
      <c r="O174" s="283"/>
      <c r="P174" s="283"/>
      <c r="Q174" s="283"/>
      <c r="R174" s="282"/>
      <c r="S174" s="283"/>
      <c r="T174" s="283"/>
      <c r="U174" s="283"/>
      <c r="V174" s="283"/>
      <c r="W174" s="283"/>
      <c r="X174" s="283"/>
      <c r="Y174" s="283"/>
      <c r="Z174" s="283"/>
      <c r="AA174" s="283"/>
      <c r="AB174" s="283"/>
      <c r="AC174" s="283"/>
      <c r="AD174" s="283"/>
      <c r="AE174" s="283"/>
      <c r="AF174" s="283"/>
      <c r="AG174" s="283"/>
      <c r="AH174" s="283"/>
      <c r="AI174" s="283"/>
      <c r="AJ174" s="283"/>
      <c r="AK174" s="283"/>
      <c r="AL174" s="283"/>
      <c r="AM174" s="283"/>
      <c r="AN174" s="283"/>
      <c r="AO174" s="283"/>
      <c r="AP174" s="283"/>
      <c r="AQ174" s="283"/>
      <c r="AR174" s="283"/>
      <c r="AS174" s="283"/>
      <c r="AT174" s="283"/>
      <c r="AU174" s="283"/>
      <c r="AV174" s="283"/>
      <c r="AW174" s="283"/>
      <c r="AX174" s="283"/>
      <c r="AY174" s="283"/>
      <c r="AZ174" s="283"/>
      <c r="BA174" s="283"/>
      <c r="BB174" s="283"/>
      <c r="BC174" s="283"/>
    </row>
    <row r="175" spans="1:58" s="192" customFormat="1" ht="16.899999999999999" customHeight="1" outlineLevel="1" x14ac:dyDescent="0.25">
      <c r="B175" s="192" t="s">
        <v>421</v>
      </c>
      <c r="C175" s="282">
        <f>C156+C167+C171+C172-C148+C35*$H$29*(1-0.0925-$C$10)/1000000+C149</f>
        <v>14.186170221431897</v>
      </c>
      <c r="D175" s="282">
        <f t="shared" ref="D175:BC175" si="75">D156+D167+D171+D172-D148+D35*$H$29*(1-0.0925-$C$10)/1000000+D149</f>
        <v>-0.55987540689136983</v>
      </c>
      <c r="E175" s="282">
        <f t="shared" si="75"/>
        <v>-1.1492634355677303</v>
      </c>
      <c r="F175" s="282">
        <f t="shared" si="75"/>
        <v>-14.041216248124393</v>
      </c>
      <c r="G175" s="282">
        <f t="shared" si="75"/>
        <v>-13.35971119667424</v>
      </c>
      <c r="H175" s="282">
        <f t="shared" si="75"/>
        <v>-12.677567340944833</v>
      </c>
      <c r="I175" s="282">
        <f t="shared" si="75"/>
        <v>-11.994781678556091</v>
      </c>
      <c r="J175" s="282">
        <f t="shared" si="75"/>
        <v>-11.311351193016705</v>
      </c>
      <c r="K175" s="282">
        <f t="shared" si="75"/>
        <v>-10.627272853657855</v>
      </c>
      <c r="L175" s="282">
        <f t="shared" si="75"/>
        <v>-9.9425436155666098</v>
      </c>
      <c r="M175" s="282">
        <f t="shared" si="75"/>
        <v>-9.257160419518927</v>
      </c>
      <c r="N175" s="282">
        <f t="shared" si="75"/>
        <v>-8.5711201919124047</v>
      </c>
      <c r="O175" s="282">
        <f t="shared" si="75"/>
        <v>-7.8844198446987059</v>
      </c>
      <c r="P175" s="282">
        <f t="shared" si="75"/>
        <v>-7.1970562753156937</v>
      </c>
      <c r="Q175" s="282">
        <f t="shared" si="75"/>
        <v>-6.5090263666191666</v>
      </c>
      <c r="R175" s="282">
        <f t="shared" si="75"/>
        <v>-5.8203269868143499</v>
      </c>
      <c r="S175" s="282">
        <f t="shared" si="75"/>
        <v>-5.1309549893870283</v>
      </c>
      <c r="T175" s="282">
        <f t="shared" si="75"/>
        <v>-4.4409072130343805</v>
      </c>
      <c r="U175" s="282">
        <f t="shared" si="75"/>
        <v>-3.7501804815954625</v>
      </c>
      <c r="V175" s="282">
        <f t="shared" si="75"/>
        <v>-3.0587716039813628</v>
      </c>
      <c r="W175" s="282">
        <f t="shared" si="75"/>
        <v>-2.3666773741050688</v>
      </c>
      <c r="X175" s="282">
        <f t="shared" si="75"/>
        <v>-1.6738945708109261</v>
      </c>
      <c r="Y175" s="282">
        <f t="shared" si="75"/>
        <v>-0.98041995780390012</v>
      </c>
      <c r="Z175" s="282">
        <f t="shared" si="75"/>
        <v>10.62553466358586</v>
      </c>
      <c r="AA175" s="282">
        <f t="shared" si="75"/>
        <v>10.774813418459507</v>
      </c>
      <c r="AB175" s="282">
        <f t="shared" si="75"/>
        <v>10.92479378348107</v>
      </c>
      <c r="AC175" s="282">
        <f t="shared" si="75"/>
        <v>11.075479056218214</v>
      </c>
      <c r="AD175" s="282">
        <f t="shared" si="75"/>
        <v>11.226872549737251</v>
      </c>
      <c r="AE175" s="282">
        <f t="shared" si="75"/>
        <v>11.378977592675813</v>
      </c>
      <c r="AF175" s="282">
        <f t="shared" si="75"/>
        <v>11.531797529316185</v>
      </c>
      <c r="AG175" s="282">
        <f t="shared" si="75"/>
        <v>11.685335719658774</v>
      </c>
      <c r="AH175" s="282">
        <f t="shared" si="75"/>
        <v>11.83959553949598</v>
      </c>
      <c r="AI175" s="282">
        <f t="shared" si="75"/>
        <v>11.994580380486406</v>
      </c>
      <c r="AJ175" s="282">
        <f t="shared" si="75"/>
        <v>12.150293650229486</v>
      </c>
      <c r="AK175" s="282">
        <f t="shared" si="75"/>
        <v>12.306738772340369</v>
      </c>
      <c r="AL175" s="282">
        <f t="shared" si="75"/>
        <v>12.463919186525175</v>
      </c>
      <c r="AM175" s="282">
        <f t="shared" si="75"/>
        <v>12.621838348656635</v>
      </c>
      <c r="AN175" s="282">
        <f t="shared" si="75"/>
        <v>12.780499730850119</v>
      </c>
      <c r="AO175" s="282">
        <f t="shared" si="75"/>
        <v>12.939906821539925</v>
      </c>
      <c r="AP175" s="282">
        <f t="shared" si="75"/>
        <v>13.100063125555955</v>
      </c>
      <c r="AQ175" s="282">
        <f t="shared" si="75"/>
        <v>13.260972164200863</v>
      </c>
      <c r="AR175" s="282">
        <f t="shared" si="75"/>
        <v>13.422637475327409</v>
      </c>
      <c r="AS175" s="282">
        <f t="shared" si="75"/>
        <v>13.585062613416248</v>
      </c>
      <c r="AT175" s="282">
        <f t="shared" si="75"/>
        <v>13.748251149654108</v>
      </c>
      <c r="AU175" s="282">
        <f t="shared" si="75"/>
        <v>13.912206672012291</v>
      </c>
      <c r="AV175" s="282">
        <f t="shared" si="75"/>
        <v>14.07693278532553</v>
      </c>
      <c r="AW175" s="282">
        <f t="shared" si="75"/>
        <v>14.242433111371371</v>
      </c>
      <c r="AX175" s="282">
        <f t="shared" si="75"/>
        <v>14.408711288949613</v>
      </c>
      <c r="AY175" s="282">
        <f t="shared" si="75"/>
        <v>14.575770973962477</v>
      </c>
      <c r="AZ175" s="282">
        <f t="shared" si="75"/>
        <v>14.743615839494904</v>
      </c>
      <c r="BA175" s="282">
        <f t="shared" si="75"/>
        <v>14.912249575895327</v>
      </c>
      <c r="BB175" s="282">
        <f t="shared" si="75"/>
        <v>15.081675890856838</v>
      </c>
      <c r="BC175" s="282">
        <f t="shared" si="75"/>
        <v>15.251898509498666</v>
      </c>
    </row>
    <row r="176" spans="1:58" s="192" customFormat="1" ht="16.899999999999999" customHeight="1" outlineLevel="1" x14ac:dyDescent="0.25">
      <c r="B176" s="192" t="s">
        <v>422</v>
      </c>
      <c r="C176" s="282">
        <f>C175</f>
        <v>14.186170221431897</v>
      </c>
      <c r="D176" s="282">
        <f t="shared" ref="D176:BC176" si="76">C176+D175</f>
        <v>13.626294814540527</v>
      </c>
      <c r="E176" s="282">
        <f t="shared" si="76"/>
        <v>12.477031378972796</v>
      </c>
      <c r="F176" s="282">
        <f t="shared" si="76"/>
        <v>-1.564184869151596</v>
      </c>
      <c r="G176" s="282">
        <f t="shared" si="76"/>
        <v>-14.923896065825836</v>
      </c>
      <c r="H176" s="282">
        <f t="shared" si="76"/>
        <v>-27.601463406770669</v>
      </c>
      <c r="I176" s="282">
        <f t="shared" si="76"/>
        <v>-39.596245085326757</v>
      </c>
      <c r="J176" s="282">
        <f t="shared" si="76"/>
        <v>-50.907596278343462</v>
      </c>
      <c r="K176" s="282">
        <f t="shared" si="76"/>
        <v>-61.534869132001319</v>
      </c>
      <c r="L176" s="282">
        <f t="shared" si="76"/>
        <v>-71.477412747567925</v>
      </c>
      <c r="M176" s="282">
        <f t="shared" si="76"/>
        <v>-80.73457316708685</v>
      </c>
      <c r="N176" s="282">
        <f t="shared" si="76"/>
        <v>-89.30569335899925</v>
      </c>
      <c r="O176" s="282">
        <f t="shared" si="76"/>
        <v>-97.190113203697962</v>
      </c>
      <c r="P176" s="282">
        <f t="shared" si="76"/>
        <v>-104.38716947901365</v>
      </c>
      <c r="Q176" s="282">
        <f t="shared" si="76"/>
        <v>-110.89619584563282</v>
      </c>
      <c r="R176" s="282">
        <f t="shared" si="76"/>
        <v>-116.71652283244717</v>
      </c>
      <c r="S176" s="282">
        <f t="shared" si="76"/>
        <v>-121.84747782183419</v>
      </c>
      <c r="T176" s="282">
        <f t="shared" si="76"/>
        <v>-126.28838503486857</v>
      </c>
      <c r="U176" s="282">
        <f t="shared" si="76"/>
        <v>-130.03856551646402</v>
      </c>
      <c r="V176" s="282">
        <f t="shared" si="76"/>
        <v>-133.09733712044539</v>
      </c>
      <c r="W176" s="282">
        <f t="shared" si="76"/>
        <v>-135.46401449455047</v>
      </c>
      <c r="X176" s="282">
        <f t="shared" si="76"/>
        <v>-137.13790906536138</v>
      </c>
      <c r="Y176" s="282">
        <f t="shared" si="76"/>
        <v>-138.11832902316527</v>
      </c>
      <c r="Z176" s="282">
        <f t="shared" si="76"/>
        <v>-127.49279435957942</v>
      </c>
      <c r="AA176" s="282">
        <f t="shared" si="76"/>
        <v>-116.71798094111992</v>
      </c>
      <c r="AB176" s="282">
        <f t="shared" si="76"/>
        <v>-105.79318715763885</v>
      </c>
      <c r="AC176" s="282">
        <f t="shared" si="76"/>
        <v>-94.717708101420641</v>
      </c>
      <c r="AD176" s="282">
        <f t="shared" si="76"/>
        <v>-83.490835551683389</v>
      </c>
      <c r="AE176" s="282">
        <f t="shared" si="76"/>
        <v>-72.11185795900758</v>
      </c>
      <c r="AF176" s="282">
        <f t="shared" si="76"/>
        <v>-60.580060429691393</v>
      </c>
      <c r="AG176" s="282">
        <f t="shared" si="76"/>
        <v>-48.894724710032619</v>
      </c>
      <c r="AH176" s="282">
        <f t="shared" si="76"/>
        <v>-37.055129170536638</v>
      </c>
      <c r="AI176" s="282">
        <f t="shared" si="76"/>
        <v>-25.060548790050234</v>
      </c>
      <c r="AJ176" s="282">
        <f t="shared" si="76"/>
        <v>-12.910255139820748</v>
      </c>
      <c r="AK176" s="282">
        <f t="shared" si="76"/>
        <v>-0.6035163674803794</v>
      </c>
      <c r="AL176" s="282">
        <f t="shared" si="76"/>
        <v>11.860402819044795</v>
      </c>
      <c r="AM176" s="282">
        <f t="shared" si="76"/>
        <v>24.482241167701432</v>
      </c>
      <c r="AN176" s="282">
        <f t="shared" si="76"/>
        <v>37.262740898551549</v>
      </c>
      <c r="AO176" s="282">
        <f t="shared" si="76"/>
        <v>50.202647720091477</v>
      </c>
      <c r="AP176" s="282">
        <f t="shared" si="76"/>
        <v>63.302710845647432</v>
      </c>
      <c r="AQ176" s="282">
        <f t="shared" si="76"/>
        <v>76.56368300984829</v>
      </c>
      <c r="AR176" s="282">
        <f t="shared" si="76"/>
        <v>89.986320485175696</v>
      </c>
      <c r="AS176" s="282">
        <f t="shared" si="76"/>
        <v>103.57138309859195</v>
      </c>
      <c r="AT176" s="282">
        <f t="shared" si="76"/>
        <v>117.31963424824606</v>
      </c>
      <c r="AU176" s="282">
        <f t="shared" si="76"/>
        <v>131.23184092025835</v>
      </c>
      <c r="AV176" s="282">
        <f t="shared" si="76"/>
        <v>145.30877370558389</v>
      </c>
      <c r="AW176" s="282">
        <f t="shared" si="76"/>
        <v>159.55120681695527</v>
      </c>
      <c r="AX176" s="282">
        <f t="shared" si="76"/>
        <v>173.95991810590488</v>
      </c>
      <c r="AY176" s="282">
        <f t="shared" si="76"/>
        <v>188.53568907986735</v>
      </c>
      <c r="AZ176" s="282">
        <f t="shared" si="76"/>
        <v>203.27930491936226</v>
      </c>
      <c r="BA176" s="282">
        <f t="shared" si="76"/>
        <v>218.19155449525758</v>
      </c>
      <c r="BB176" s="282">
        <f t="shared" si="76"/>
        <v>233.27323038611442</v>
      </c>
      <c r="BC176" s="282">
        <f t="shared" si="76"/>
        <v>248.52512889561308</v>
      </c>
    </row>
    <row r="177" spans="2:55" s="192" customFormat="1" ht="16.899999999999999" customHeight="1" outlineLevel="1" x14ac:dyDescent="0.25">
      <c r="C177" s="283"/>
      <c r="D177" s="283"/>
      <c r="E177" s="283"/>
      <c r="F177" s="283"/>
      <c r="G177" s="283"/>
      <c r="H177" s="283"/>
      <c r="I177" s="283"/>
      <c r="J177" s="283"/>
      <c r="K177" s="283"/>
      <c r="L177" s="283"/>
      <c r="M177" s="283"/>
      <c r="N177" s="283"/>
      <c r="O177" s="283"/>
      <c r="P177" s="283"/>
      <c r="Q177" s="283"/>
      <c r="R177" s="282"/>
      <c r="S177" s="283"/>
      <c r="T177" s="283"/>
      <c r="U177" s="283"/>
      <c r="V177" s="283"/>
      <c r="W177" s="283"/>
      <c r="X177" s="283"/>
      <c r="Y177" s="283"/>
      <c r="Z177" s="283"/>
      <c r="AA177" s="283"/>
      <c r="AB177" s="283"/>
      <c r="AC177" s="283"/>
      <c r="AD177" s="283"/>
      <c r="AE177" s="283"/>
      <c r="AF177" s="283"/>
      <c r="AG177" s="283"/>
      <c r="AH177" s="283"/>
      <c r="AI177" s="283"/>
      <c r="AJ177" s="283"/>
      <c r="AK177" s="283"/>
      <c r="AL177" s="283"/>
      <c r="AM177" s="283"/>
      <c r="AN177" s="283"/>
      <c r="AO177" s="283"/>
      <c r="AP177" s="283"/>
      <c r="AQ177" s="283"/>
      <c r="AR177" s="283"/>
      <c r="AS177" s="283"/>
      <c r="AT177" s="283"/>
      <c r="AU177" s="283"/>
      <c r="AV177" s="283"/>
      <c r="AW177" s="283"/>
      <c r="AX177" s="283"/>
      <c r="AY177" s="283"/>
      <c r="AZ177" s="283"/>
      <c r="BA177" s="283"/>
      <c r="BB177" s="283"/>
      <c r="BC177" s="283"/>
    </row>
    <row r="178" spans="2:55" s="192" customFormat="1" ht="16.899999999999999" customHeight="1" outlineLevel="1" x14ac:dyDescent="0.25">
      <c r="B178" s="284" t="s">
        <v>419</v>
      </c>
      <c r="C178" s="285">
        <f>NPV($D$28,C175)</f>
        <v>13.375608355112105</v>
      </c>
      <c r="D178" s="285">
        <f t="shared" ref="D178:BC178" si="77">NPV($D$28,D175)</f>
        <v>-0.52788554298639434</v>
      </c>
      <c r="E178" s="285">
        <f t="shared" si="77"/>
        <v>-1.0835974312348955</v>
      </c>
      <c r="F178" s="285">
        <f t="shared" si="77"/>
        <v>-13.238936685012627</v>
      </c>
      <c r="G178" s="285">
        <f t="shared" si="77"/>
        <v>-12.596371107556328</v>
      </c>
      <c r="H178" s="285">
        <f t="shared" si="77"/>
        <v>-11.953203225480703</v>
      </c>
      <c r="I178" s="285">
        <f t="shared" si="77"/>
        <v>-11.309430207954074</v>
      </c>
      <c r="J178" s="285">
        <f t="shared" si="77"/>
        <v>-10.665049210839813</v>
      </c>
      <c r="K178" s="285">
        <f t="shared" si="77"/>
        <v>-10.020057376633844</v>
      </c>
      <c r="L178" s="285">
        <f t="shared" si="77"/>
        <v>-9.3744518344018566</v>
      </c>
      <c r="M178" s="285">
        <f t="shared" si="77"/>
        <v>-8.7282296997161293</v>
      </c>
      <c r="N178" s="285">
        <f t="shared" si="77"/>
        <v>-8.0813880745921214</v>
      </c>
      <c r="O178" s="285">
        <f t="shared" si="77"/>
        <v>-7.4339240474247656</v>
      </c>
      <c r="P178" s="285">
        <f t="shared" si="77"/>
        <v>-6.7858346929244711</v>
      </c>
      <c r="Q178" s="285">
        <f t="shared" si="77"/>
        <v>-6.137117072052769</v>
      </c>
      <c r="R178" s="285">
        <f t="shared" si="77"/>
        <v>-5.4877682319577126</v>
      </c>
      <c r="S178" s="285">
        <f t="shared" si="77"/>
        <v>-4.8377852059089461</v>
      </c>
      <c r="T178" s="285">
        <f t="shared" si="77"/>
        <v>-4.1871650132324918</v>
      </c>
      <c r="U178" s="285">
        <f t="shared" si="77"/>
        <v>-3.5359046592452033</v>
      </c>
      <c r="V178" s="285">
        <f t="shared" si="77"/>
        <v>-2.8840011351889148</v>
      </c>
      <c r="W178" s="285">
        <f t="shared" si="77"/>
        <v>-2.2314514181643115</v>
      </c>
      <c r="X178" s="285">
        <f t="shared" si="77"/>
        <v>-1.5782524710644221</v>
      </c>
      <c r="Y178" s="285">
        <f t="shared" si="77"/>
        <v>-0.92440124250792022</v>
      </c>
      <c r="Z178" s="285">
        <f t="shared" si="77"/>
        <v>10.018418502343824</v>
      </c>
      <c r="AA178" s="285">
        <f t="shared" si="77"/>
        <v>10.159167846935231</v>
      </c>
      <c r="AB178" s="285">
        <f t="shared" si="77"/>
        <v>10.300578713446228</v>
      </c>
      <c r="AC178" s="285">
        <f t="shared" si="77"/>
        <v>10.442654211029808</v>
      </c>
      <c r="AD178" s="285">
        <f t="shared" si="77"/>
        <v>10.585397463452058</v>
      </c>
      <c r="AE178" s="285">
        <f t="shared" si="77"/>
        <v>10.728811609160676</v>
      </c>
      <c r="AF178" s="285">
        <f t="shared" si="77"/>
        <v>10.872899801354125</v>
      </c>
      <c r="AG178" s="285">
        <f t="shared" si="77"/>
        <v>11.017665208050889</v>
      </c>
      <c r="AH178" s="285">
        <f t="shared" si="77"/>
        <v>11.163111012159137</v>
      </c>
      <c r="AI178" s="285">
        <f t="shared" si="77"/>
        <v>11.309240411546677</v>
      </c>
      <c r="AJ178" s="285">
        <f t="shared" si="77"/>
        <v>11.456056619111338</v>
      </c>
      <c r="AK178" s="285">
        <f t="shared" si="77"/>
        <v>11.603562862851565</v>
      </c>
      <c r="AL178" s="285">
        <f t="shared" si="77"/>
        <v>11.75176238593737</v>
      </c>
      <c r="AM178" s="285">
        <f t="shared" si="77"/>
        <v>11.900658446781666</v>
      </c>
      <c r="AN178" s="285">
        <f t="shared" si="77"/>
        <v>12.050254319111936</v>
      </c>
      <c r="AO178" s="285">
        <f t="shared" si="77"/>
        <v>12.200553292042169</v>
      </c>
      <c r="AP178" s="285">
        <f t="shared" si="77"/>
        <v>12.35155867014516</v>
      </c>
      <c r="AQ178" s="285">
        <f t="shared" si="77"/>
        <v>12.503273773525235</v>
      </c>
      <c r="AR178" s="285">
        <f t="shared" si="77"/>
        <v>12.655701937891203</v>
      </c>
      <c r="AS178" s="285">
        <f t="shared" si="77"/>
        <v>12.808846514629689</v>
      </c>
      <c r="AT178" s="285">
        <f t="shared" si="77"/>
        <v>12.962710870878849</v>
      </c>
      <c r="AU178" s="285">
        <f t="shared" si="77"/>
        <v>13.117298389602386</v>
      </c>
      <c r="AV178" s="285">
        <f t="shared" si="77"/>
        <v>13.272612469663898</v>
      </c>
      <c r="AW178" s="285">
        <f t="shared" si="77"/>
        <v>13.428656525901726</v>
      </c>
      <c r="AX178" s="285">
        <f t="shared" si="77"/>
        <v>13.585433989203858</v>
      </c>
      <c r="AY178" s="285">
        <f t="shared" si="77"/>
        <v>13.742948306583516</v>
      </c>
      <c r="AZ178" s="285">
        <f t="shared" si="77"/>
        <v>13.90120294125486</v>
      </c>
      <c r="BA178" s="285">
        <f t="shared" si="77"/>
        <v>14.060201372709153</v>
      </c>
      <c r="BB178" s="285">
        <f t="shared" si="77"/>
        <v>14.219947096791286</v>
      </c>
      <c r="BC178" s="285">
        <f t="shared" si="77"/>
        <v>14.380443625776604</v>
      </c>
    </row>
    <row r="179" spans="2:55" s="192" customFormat="1" ht="16.899999999999999" customHeight="1" outlineLevel="1" x14ac:dyDescent="0.25">
      <c r="B179" s="286" t="s">
        <v>420</v>
      </c>
      <c r="C179" s="285">
        <f>C178</f>
        <v>13.375608355112105</v>
      </c>
      <c r="D179" s="285">
        <f t="shared" ref="D179" si="78">C179+D178</f>
        <v>12.84772281212571</v>
      </c>
      <c r="E179" s="285">
        <f t="shared" ref="E179" si="79">D179+E178</f>
        <v>11.764125380890814</v>
      </c>
      <c r="F179" s="285">
        <f t="shared" ref="F179" si="80">E179+F178</f>
        <v>-1.4748113041218129</v>
      </c>
      <c r="G179" s="285">
        <f t="shared" ref="G179" si="81">F179+G178</f>
        <v>-14.071182411678141</v>
      </c>
      <c r="H179" s="285">
        <f t="shared" ref="H179" si="82">G179+H178</f>
        <v>-26.024385637158844</v>
      </c>
      <c r="I179" s="285">
        <f t="shared" ref="I179" si="83">H179+I178</f>
        <v>-37.333815845112916</v>
      </c>
      <c r="J179" s="285">
        <f t="shared" ref="J179" si="84">I179+J178</f>
        <v>-47.998865055952727</v>
      </c>
      <c r="K179" s="285">
        <f t="shared" ref="K179" si="85">J179+K178</f>
        <v>-58.018922432586571</v>
      </c>
      <c r="L179" s="285">
        <f t="shared" ref="L179" si="86">K179+L178</f>
        <v>-67.393374266988431</v>
      </c>
      <c r="M179" s="285">
        <f t="shared" ref="M179" si="87">L179+M178</f>
        <v>-76.121603966704555</v>
      </c>
      <c r="N179" s="285">
        <f t="shared" ref="N179" si="88">M179+N178</f>
        <v>-84.202992041296682</v>
      </c>
      <c r="O179" s="285">
        <f t="shared" ref="O179" si="89">N179+O178</f>
        <v>-91.636916088721449</v>
      </c>
      <c r="P179" s="285">
        <f t="shared" ref="P179" si="90">O179+P178</f>
        <v>-98.422750781645917</v>
      </c>
      <c r="Q179" s="285">
        <f t="shared" ref="Q179" si="91">P179+Q178</f>
        <v>-104.55986785369869</v>
      </c>
      <c r="R179" s="285">
        <f t="shared" ref="R179" si="92">Q179+R178</f>
        <v>-110.04763608565641</v>
      </c>
      <c r="S179" s="285">
        <f t="shared" ref="S179" si="93">R179+S178</f>
        <v>-114.88542129156535</v>
      </c>
      <c r="T179" s="285">
        <f t="shared" ref="T179" si="94">S179+T178</f>
        <v>-119.07258630479784</v>
      </c>
      <c r="U179" s="285">
        <f t="shared" ref="U179" si="95">T179+U178</f>
        <v>-122.60849096404304</v>
      </c>
      <c r="V179" s="285">
        <f t="shared" ref="V179" si="96">U179+V178</f>
        <v>-125.49249209923195</v>
      </c>
      <c r="W179" s="285">
        <f t="shared" ref="W179" si="97">V179+W178</f>
        <v>-127.72394351739626</v>
      </c>
      <c r="X179" s="285">
        <f t="shared" ref="X179" si="98">W179+X178</f>
        <v>-129.30219598846068</v>
      </c>
      <c r="Y179" s="285">
        <f t="shared" ref="Y179" si="99">X179+Y178</f>
        <v>-130.22659723096859</v>
      </c>
      <c r="Z179" s="285">
        <f t="shared" ref="Z179" si="100">Y179+Z178</f>
        <v>-120.20817872862477</v>
      </c>
      <c r="AA179" s="285">
        <f t="shared" ref="AA179" si="101">Z179+AA178</f>
        <v>-110.04901088168954</v>
      </c>
      <c r="AB179" s="285">
        <f t="shared" ref="AB179" si="102">AA179+AB178</f>
        <v>-99.748432168243312</v>
      </c>
      <c r="AC179" s="285">
        <f t="shared" ref="AC179" si="103">AB179+AC178</f>
        <v>-89.305777957213508</v>
      </c>
      <c r="AD179" s="285">
        <f t="shared" ref="AD179" si="104">AC179+AD178</f>
        <v>-78.720380493761454</v>
      </c>
      <c r="AE179" s="285">
        <f t="shared" ref="AE179" si="105">AD179+AE178</f>
        <v>-67.991568884600781</v>
      </c>
      <c r="AF179" s="285">
        <f t="shared" ref="AF179" si="106">AE179+AF178</f>
        <v>-57.118669083246658</v>
      </c>
      <c r="AG179" s="285">
        <f t="shared" ref="AG179" si="107">AF179+AG178</f>
        <v>-46.101003875195772</v>
      </c>
      <c r="AH179" s="285">
        <f t="shared" ref="AH179" si="108">AG179+AH178</f>
        <v>-34.937892863036637</v>
      </c>
      <c r="AI179" s="285">
        <f t="shared" ref="AI179" si="109">AH179+AI178</f>
        <v>-23.628652451489963</v>
      </c>
      <c r="AJ179" s="285">
        <f t="shared" ref="AJ179" si="110">AI179+AJ178</f>
        <v>-12.172595832378624</v>
      </c>
      <c r="AK179" s="285">
        <f t="shared" ref="AK179" si="111">AJ179+AK178</f>
        <v>-0.56903296952705951</v>
      </c>
      <c r="AL179" s="285">
        <f t="shared" ref="AL179" si="112">AK179+AL178</f>
        <v>11.182729416410311</v>
      </c>
      <c r="AM179" s="285">
        <f t="shared" ref="AM179" si="113">AL179+AM178</f>
        <v>23.083387863191977</v>
      </c>
      <c r="AN179" s="285">
        <f t="shared" ref="AN179" si="114">AM179+AN178</f>
        <v>35.133642182303916</v>
      </c>
      <c r="AO179" s="285">
        <f t="shared" ref="AO179" si="115">AN179+AO178</f>
        <v>47.334195474346089</v>
      </c>
      <c r="AP179" s="285">
        <f t="shared" ref="AP179" si="116">AO179+AP178</f>
        <v>59.685754144491248</v>
      </c>
      <c r="AQ179" s="285">
        <f t="shared" ref="AQ179" si="117">AP179+AQ178</f>
        <v>72.189027918016478</v>
      </c>
      <c r="AR179" s="285">
        <f t="shared" ref="AR179" si="118">AQ179+AR178</f>
        <v>84.844729855907687</v>
      </c>
      <c r="AS179" s="285">
        <f t="shared" ref="AS179" si="119">AR179+AS178</f>
        <v>97.65357637053738</v>
      </c>
      <c r="AT179" s="285">
        <f t="shared" ref="AT179" si="120">AS179+AT178</f>
        <v>110.61628724141623</v>
      </c>
      <c r="AU179" s="285">
        <f t="shared" ref="AU179" si="121">AT179+AU178</f>
        <v>123.73358563101861</v>
      </c>
      <c r="AV179" s="285">
        <f t="shared" ref="AV179" si="122">AU179+AV178</f>
        <v>137.00619810068252</v>
      </c>
      <c r="AW179" s="285">
        <f t="shared" ref="AW179" si="123">AV179+AW178</f>
        <v>150.43485462658424</v>
      </c>
      <c r="AX179" s="285">
        <f t="shared" ref="AX179" si="124">AW179+AX178</f>
        <v>164.0202886157881</v>
      </c>
      <c r="AY179" s="285">
        <f t="shared" ref="AY179" si="125">AX179+AY178</f>
        <v>177.76323692237162</v>
      </c>
      <c r="AZ179" s="285">
        <f t="shared" ref="AZ179" si="126">AY179+AZ178</f>
        <v>191.66443986362648</v>
      </c>
      <c r="BA179" s="285">
        <f t="shared" ref="BA179" si="127">AZ179+BA178</f>
        <v>205.72464123633563</v>
      </c>
      <c r="BB179" s="285">
        <f t="shared" ref="BB179" si="128">BA179+BB178</f>
        <v>219.94458833312692</v>
      </c>
      <c r="BC179" s="285">
        <f t="shared" ref="BC179" si="129">BB179+BC178</f>
        <v>234.32503195890351</v>
      </c>
    </row>
    <row r="180" spans="2:55" s="192" customFormat="1" ht="16.899999999999999" customHeight="1" outlineLevel="1" x14ac:dyDescent="0.25">
      <c r="B180" s="192" t="s">
        <v>367</v>
      </c>
      <c r="C180" s="282">
        <f>C175/(1+$D$28)^C32</f>
        <v>14.186170221431897</v>
      </c>
      <c r="D180" s="282">
        <f t="shared" ref="D180:BC180" si="130">D175/(1+$D$28)^D32</f>
        <v>-0.52788554298639434</v>
      </c>
      <c r="E180" s="282">
        <f t="shared" si="130"/>
        <v>-1.0216834162124229</v>
      </c>
      <c r="F180" s="282">
        <f t="shared" si="130"/>
        <v>-11.769279036256727</v>
      </c>
      <c r="G180" s="282">
        <f t="shared" si="130"/>
        <v>-10.558216880170596</v>
      </c>
      <c r="H180" s="282">
        <f t="shared" si="130"/>
        <v>-9.4466497223979857</v>
      </c>
      <c r="I180" s="282">
        <f t="shared" si="130"/>
        <v>-8.4271866093267747</v>
      </c>
      <c r="J180" s="282">
        <f t="shared" si="130"/>
        <v>-7.4929550454493556</v>
      </c>
      <c r="K180" s="282">
        <f t="shared" si="130"/>
        <v>-6.6375659454630567</v>
      </c>
      <c r="L180" s="282">
        <f t="shared" si="130"/>
        <v>-5.8550808951886859</v>
      </c>
      <c r="M180" s="282">
        <f t="shared" si="130"/>
        <v>-5.1399815720812434</v>
      </c>
      <c r="N180" s="282">
        <f t="shared" si="130"/>
        <v>-4.4871411856119989</v>
      </c>
      <c r="O180" s="282">
        <f t="shared" si="130"/>
        <v>-3.8917978067075052</v>
      </c>
      <c r="P180" s="282">
        <f t="shared" si="130"/>
        <v>-3.3495294637765896</v>
      </c>
      <c r="Q180" s="282">
        <f t="shared" si="130"/>
        <v>-2.8562308906755587</v>
      </c>
      <c r="R180" s="282">
        <f t="shared" si="130"/>
        <v>-2.4080918192880159</v>
      </c>
      <c r="S180" s="282">
        <f t="shared" si="130"/>
        <v>-2.0015767162590716</v>
      </c>
      <c r="T180" s="282">
        <f t="shared" si="130"/>
        <v>-1.633405869853868</v>
      </c>
      <c r="U180" s="282">
        <f t="shared" si="130"/>
        <v>-1.3005377389338495</v>
      </c>
      <c r="V180" s="282">
        <f t="shared" si="130"/>
        <v>-1.000152481686839</v>
      </c>
      <c r="W180" s="282">
        <f t="shared" si="130"/>
        <v>-0.72963658703242318</v>
      </c>
      <c r="X180" s="282">
        <f t="shared" si="130"/>
        <v>-0.48656853657477439</v>
      </c>
      <c r="Y180" s="282">
        <f t="shared" si="130"/>
        <v>-0.26870542961202248</v>
      </c>
      <c r="Z180" s="282">
        <f t="shared" si="130"/>
        <v>2.7457656550926481</v>
      </c>
      <c r="AA180" s="282">
        <f t="shared" si="130"/>
        <v>2.6252508736367437</v>
      </c>
      <c r="AB180" s="282">
        <f t="shared" si="130"/>
        <v>2.5097050144841342</v>
      </c>
      <c r="AC180" s="282">
        <f t="shared" si="130"/>
        <v>2.398945202752786</v>
      </c>
      <c r="AD180" s="282">
        <f t="shared" si="130"/>
        <v>2.2927936873234152</v>
      </c>
      <c r="AE180" s="282">
        <f t="shared" si="130"/>
        <v>2.1910778287530723</v>
      </c>
      <c r="AF180" s="282">
        <f t="shared" si="130"/>
        <v>2.0936300730862545</v>
      </c>
      <c r="AG180" s="282">
        <f t="shared" si="130"/>
        <v>2.0002879131488962</v>
      </c>
      <c r="AH180" s="282">
        <f t="shared" si="130"/>
        <v>1.910893838779097</v>
      </c>
      <c r="AI180" s="282">
        <f t="shared" si="130"/>
        <v>1.82529527732635</v>
      </c>
      <c r="AJ180" s="282">
        <f t="shared" si="130"/>
        <v>1.7433445256381053</v>
      </c>
      <c r="AK180" s="282">
        <f t="shared" si="130"/>
        <v>1.6648986746479024</v>
      </c>
      <c r="AL180" s="282">
        <f t="shared" si="130"/>
        <v>1.5898195275825651</v>
      </c>
      <c r="AM180" s="282">
        <f t="shared" si="130"/>
        <v>1.5179735127164751</v>
      </c>
      <c r="AN180" s="282">
        <f t="shared" si="130"/>
        <v>1.4492315915182092</v>
      </c>
      <c r="AO180" s="282">
        <f t="shared" si="130"/>
        <v>1.3834691629583789</v>
      </c>
      <c r="AP180" s="282">
        <f t="shared" si="130"/>
        <v>1.3205659646769743</v>
      </c>
      <c r="AQ180" s="282">
        <f t="shared" si="130"/>
        <v>1.2604059716433567</v>
      </c>
      <c r="AR180" s="282">
        <f t="shared" si="130"/>
        <v>1.2028772928819234</v>
      </c>
      <c r="AS180" s="282">
        <f t="shared" si="130"/>
        <v>1.1478720667811224</v>
      </c>
      <c r="AT180" s="282">
        <f t="shared" si="130"/>
        <v>1.0952863554524359</v>
      </c>
      <c r="AU180" s="282">
        <f t="shared" si="130"/>
        <v>1.045020038558953</v>
      </c>
      <c r="AV180" s="282">
        <f t="shared" si="130"/>
        <v>0.99697670698993435</v>
      </c>
      <c r="AW180" s="282">
        <f t="shared" si="130"/>
        <v>0.95106355671803378</v>
      </c>
      <c r="AX180" s="282">
        <f t="shared" si="130"/>
        <v>0.90719128313927477</v>
      </c>
      <c r="AY180" s="282">
        <f t="shared" si="130"/>
        <v>0.86527397616245083</v>
      </c>
      <c r="AZ180" s="282">
        <f t="shared" si="130"/>
        <v>0.82522901628378142</v>
      </c>
      <c r="BA180" s="282">
        <f t="shared" si="130"/>
        <v>0.78697697185456139</v>
      </c>
      <c r="BB180" s="282">
        <f t="shared" si="130"/>
        <v>0.75044149772372493</v>
      </c>
      <c r="BC180" s="282">
        <f t="shared" si="130"/>
        <v>0.71554923541366966</v>
      </c>
    </row>
    <row r="181" spans="2:55" s="192" customFormat="1" ht="16.899999999999999" customHeight="1" outlineLevel="1" x14ac:dyDescent="0.25">
      <c r="B181" s="275" t="s">
        <v>368</v>
      </c>
      <c r="C181" s="282">
        <f>C180</f>
        <v>14.186170221431897</v>
      </c>
      <c r="D181" s="285">
        <f t="shared" ref="D181" si="131">C181+D180</f>
        <v>13.658284678445503</v>
      </c>
      <c r="E181" s="285">
        <f t="shared" ref="E181" si="132">D181+E180</f>
        <v>12.63660126223308</v>
      </c>
      <c r="F181" s="285">
        <f t="shared" ref="F181" si="133">E181+F180</f>
        <v>0.86732222597635378</v>
      </c>
      <c r="G181" s="285">
        <f t="shared" ref="G181" si="134">F181+G180</f>
        <v>-9.690894654194242</v>
      </c>
      <c r="H181" s="285">
        <f t="shared" ref="H181" si="135">G181+H180</f>
        <v>-19.137544376592228</v>
      </c>
      <c r="I181" s="285">
        <f t="shared" ref="I181" si="136">H181+I180</f>
        <v>-27.564730985919002</v>
      </c>
      <c r="J181" s="285">
        <f t="shared" ref="J181" si="137">I181+J180</f>
        <v>-35.057686031368355</v>
      </c>
      <c r="K181" s="285">
        <f t="shared" ref="K181" si="138">J181+K180</f>
        <v>-41.695251976831415</v>
      </c>
      <c r="L181" s="285">
        <f t="shared" ref="L181" si="139">K181+L180</f>
        <v>-47.5503328720201</v>
      </c>
      <c r="M181" s="285">
        <f t="shared" ref="M181" si="140">L181+M180</f>
        <v>-52.690314444101347</v>
      </c>
      <c r="N181" s="285">
        <f t="shared" ref="N181" si="141">M181+N180</f>
        <v>-57.177455629713343</v>
      </c>
      <c r="O181" s="285">
        <f t="shared" ref="O181" si="142">N181+O180</f>
        <v>-61.069253436420851</v>
      </c>
      <c r="P181" s="285">
        <f t="shared" ref="P181" si="143">O181+P180</f>
        <v>-64.418782900197442</v>
      </c>
      <c r="Q181" s="285">
        <f t="shared" ref="Q181" si="144">P181+Q180</f>
        <v>-67.275013790873004</v>
      </c>
      <c r="R181" s="285">
        <f t="shared" ref="R181" si="145">Q181+R180</f>
        <v>-69.683105610161022</v>
      </c>
      <c r="S181" s="285">
        <f t="shared" ref="S181" si="146">R181+S180</f>
        <v>-71.684682326420088</v>
      </c>
      <c r="T181" s="285">
        <f t="shared" ref="T181" si="147">S181+T180</f>
        <v>-73.318088196273962</v>
      </c>
      <c r="U181" s="285">
        <f t="shared" ref="U181" si="148">T181+U180</f>
        <v>-74.618625935207817</v>
      </c>
      <c r="V181" s="285">
        <f t="shared" ref="V181" si="149">U181+V180</f>
        <v>-75.618778416894656</v>
      </c>
      <c r="W181" s="285">
        <f t="shared" ref="W181" si="150">V181+W180</f>
        <v>-76.348415003927073</v>
      </c>
      <c r="X181" s="285">
        <f t="shared" ref="X181" si="151">W181+X180</f>
        <v>-76.834983540501852</v>
      </c>
      <c r="Y181" s="285">
        <f t="shared" ref="Y181" si="152">X181+Y180</f>
        <v>-77.103688970113879</v>
      </c>
      <c r="Z181" s="285">
        <f t="shared" ref="Z181" si="153">Y181+Z180</f>
        <v>-74.357923315021225</v>
      </c>
      <c r="AA181" s="285">
        <f t="shared" ref="AA181" si="154">Z181+AA180</f>
        <v>-71.73267244138448</v>
      </c>
      <c r="AB181" s="285">
        <f t="shared" ref="AB181" si="155">AA181+AB180</f>
        <v>-69.22296742690034</v>
      </c>
      <c r="AC181" s="285">
        <f t="shared" ref="AC181" si="156">AB181+AC180</f>
        <v>-66.824022224147555</v>
      </c>
      <c r="AD181" s="285">
        <f t="shared" ref="AD181" si="157">AC181+AD180</f>
        <v>-64.531228536824145</v>
      </c>
      <c r="AE181" s="285">
        <f t="shared" ref="AE181" si="158">AD181+AE180</f>
        <v>-62.340150708071072</v>
      </c>
      <c r="AF181" s="285">
        <f t="shared" ref="AF181" si="159">AE181+AF180</f>
        <v>-60.246520634984819</v>
      </c>
      <c r="AG181" s="285">
        <f t="shared" ref="AG181" si="160">AF181+AG180</f>
        <v>-58.246232721835923</v>
      </c>
      <c r="AH181" s="285">
        <f t="shared" ref="AH181" si="161">AG181+AH180</f>
        <v>-56.335338883056828</v>
      </c>
      <c r="AI181" s="285">
        <f t="shared" ref="AI181" si="162">AH181+AI180</f>
        <v>-54.51004360573048</v>
      </c>
      <c r="AJ181" s="285">
        <f t="shared" ref="AJ181" si="163">AI181+AJ180</f>
        <v>-52.766699080092373</v>
      </c>
      <c r="AK181" s="285">
        <f t="shared" ref="AK181" si="164">AJ181+AK180</f>
        <v>-51.101800405444472</v>
      </c>
      <c r="AL181" s="285">
        <f t="shared" ref="AL181" si="165">AK181+AL180</f>
        <v>-49.511980877861909</v>
      </c>
      <c r="AM181" s="285">
        <f t="shared" ref="AM181" si="166">AL181+AM180</f>
        <v>-47.994007365145436</v>
      </c>
      <c r="AN181" s="285">
        <f t="shared" ref="AN181" si="167">AM181+AN180</f>
        <v>-46.544775773627229</v>
      </c>
      <c r="AO181" s="285">
        <f t="shared" ref="AO181" si="168">AN181+AO180</f>
        <v>-45.161306610668852</v>
      </c>
      <c r="AP181" s="285">
        <f t="shared" ref="AP181" si="169">AO181+AP180</f>
        <v>-43.840740645991879</v>
      </c>
      <c r="AQ181" s="285">
        <f t="shared" ref="AQ181" si="170">AP181+AQ180</f>
        <v>-42.580334674348521</v>
      </c>
      <c r="AR181" s="285">
        <f t="shared" ref="AR181" si="171">AQ181+AR180</f>
        <v>-41.377457381466598</v>
      </c>
      <c r="AS181" s="285">
        <f t="shared" ref="AS181" si="172">AR181+AS180</f>
        <v>-40.22958531468548</v>
      </c>
      <c r="AT181" s="285">
        <f t="shared" ref="AT181" si="173">AS181+AT180</f>
        <v>-39.134298959233043</v>
      </c>
      <c r="AU181" s="285">
        <f t="shared" ref="AU181" si="174">AT181+AU180</f>
        <v>-38.08927892067409</v>
      </c>
      <c r="AV181" s="285">
        <f t="shared" ref="AV181" si="175">AU181+AV180</f>
        <v>-37.092302213684157</v>
      </c>
      <c r="AW181" s="285">
        <f t="shared" ref="AW181" si="176">AV181+AW180</f>
        <v>-36.141238656966124</v>
      </c>
      <c r="AX181" s="285">
        <f t="shared" ref="AX181" si="177">AW181+AX180</f>
        <v>-35.234047373826847</v>
      </c>
      <c r="AY181" s="285">
        <f t="shared" ref="AY181" si="178">AX181+AY180</f>
        <v>-34.368773397664398</v>
      </c>
      <c r="AZ181" s="285">
        <f t="shared" ref="AZ181" si="179">AY181+AZ180</f>
        <v>-33.54354438138062</v>
      </c>
      <c r="BA181" s="285">
        <f t="shared" ref="BA181" si="180">AZ181+BA180</f>
        <v>-32.756567409526056</v>
      </c>
      <c r="BB181" s="285">
        <f t="shared" ref="BB181" si="181">BA181+BB180</f>
        <v>-32.006125911802329</v>
      </c>
      <c r="BC181" s="285">
        <f t="shared" ref="BC181" si="182">BB181+BC180</f>
        <v>-31.29057667638866</v>
      </c>
    </row>
    <row r="182" spans="2:55" s="192" customFormat="1" ht="16.899999999999999" customHeight="1" outlineLevel="1" x14ac:dyDescent="0.25">
      <c r="B182" s="275" t="s">
        <v>369</v>
      </c>
      <c r="C182" s="282">
        <f t="shared" ref="C182:AH182" si="183">C167/(1+$C$28)^C32</f>
        <v>55.516106965662551</v>
      </c>
      <c r="D182" s="282">
        <f t="shared" si="183"/>
        <v>77.222648715784956</v>
      </c>
      <c r="E182" s="282">
        <f t="shared" si="183"/>
        <v>64.748247565985309</v>
      </c>
      <c r="F182" s="282">
        <f t="shared" si="183"/>
        <v>0</v>
      </c>
      <c r="G182" s="282">
        <f t="shared" si="183"/>
        <v>0</v>
      </c>
      <c r="H182" s="282">
        <f t="shared" si="183"/>
        <v>0</v>
      </c>
      <c r="I182" s="282">
        <f t="shared" si="183"/>
        <v>0</v>
      </c>
      <c r="J182" s="282">
        <f t="shared" si="183"/>
        <v>0</v>
      </c>
      <c r="K182" s="282">
        <f t="shared" si="183"/>
        <v>0</v>
      </c>
      <c r="L182" s="282">
        <f t="shared" si="183"/>
        <v>0</v>
      </c>
      <c r="M182" s="282">
        <f t="shared" si="183"/>
        <v>0</v>
      </c>
      <c r="N182" s="282">
        <f t="shared" si="183"/>
        <v>0</v>
      </c>
      <c r="O182" s="282">
        <f t="shared" si="183"/>
        <v>0</v>
      </c>
      <c r="P182" s="282">
        <f t="shared" si="183"/>
        <v>0</v>
      </c>
      <c r="Q182" s="282">
        <f t="shared" si="183"/>
        <v>0</v>
      </c>
      <c r="R182" s="282">
        <f t="shared" si="183"/>
        <v>0</v>
      </c>
      <c r="S182" s="282">
        <f t="shared" si="183"/>
        <v>0</v>
      </c>
      <c r="T182" s="282">
        <f t="shared" si="183"/>
        <v>0</v>
      </c>
      <c r="U182" s="282">
        <f t="shared" si="183"/>
        <v>0</v>
      </c>
      <c r="V182" s="282">
        <f t="shared" si="183"/>
        <v>0</v>
      </c>
      <c r="W182" s="282">
        <f t="shared" si="183"/>
        <v>0</v>
      </c>
      <c r="X182" s="282">
        <f t="shared" si="183"/>
        <v>0</v>
      </c>
      <c r="Y182" s="282">
        <f t="shared" si="183"/>
        <v>0</v>
      </c>
      <c r="Z182" s="282">
        <f t="shared" si="183"/>
        <v>0</v>
      </c>
      <c r="AA182" s="282">
        <f t="shared" si="183"/>
        <v>0</v>
      </c>
      <c r="AB182" s="282">
        <f t="shared" si="183"/>
        <v>0</v>
      </c>
      <c r="AC182" s="282">
        <f t="shared" si="183"/>
        <v>0</v>
      </c>
      <c r="AD182" s="282">
        <f t="shared" si="183"/>
        <v>0</v>
      </c>
      <c r="AE182" s="282">
        <f t="shared" si="183"/>
        <v>0</v>
      </c>
      <c r="AF182" s="282">
        <f t="shared" si="183"/>
        <v>0</v>
      </c>
      <c r="AG182" s="282">
        <f t="shared" si="183"/>
        <v>0</v>
      </c>
      <c r="AH182" s="282">
        <f t="shared" si="183"/>
        <v>0</v>
      </c>
      <c r="AI182" s="282">
        <f t="shared" ref="AI182:BC182" si="184">AI167/(1+$C$28)^AI32</f>
        <v>0</v>
      </c>
      <c r="AJ182" s="282">
        <f t="shared" si="184"/>
        <v>0</v>
      </c>
      <c r="AK182" s="282">
        <f t="shared" si="184"/>
        <v>0</v>
      </c>
      <c r="AL182" s="282">
        <f t="shared" si="184"/>
        <v>0</v>
      </c>
      <c r="AM182" s="282">
        <f t="shared" si="184"/>
        <v>0</v>
      </c>
      <c r="AN182" s="282">
        <f t="shared" si="184"/>
        <v>0</v>
      </c>
      <c r="AO182" s="282">
        <f t="shared" si="184"/>
        <v>0</v>
      </c>
      <c r="AP182" s="282">
        <f t="shared" si="184"/>
        <v>0</v>
      </c>
      <c r="AQ182" s="282">
        <f t="shared" si="184"/>
        <v>0</v>
      </c>
      <c r="AR182" s="282">
        <f t="shared" si="184"/>
        <v>0</v>
      </c>
      <c r="AS182" s="282">
        <f t="shared" si="184"/>
        <v>0</v>
      </c>
      <c r="AT182" s="282">
        <f t="shared" si="184"/>
        <v>0</v>
      </c>
      <c r="AU182" s="282">
        <f t="shared" si="184"/>
        <v>0</v>
      </c>
      <c r="AV182" s="282">
        <f t="shared" si="184"/>
        <v>0</v>
      </c>
      <c r="AW182" s="282">
        <f t="shared" si="184"/>
        <v>0</v>
      </c>
      <c r="AX182" s="282">
        <f t="shared" si="184"/>
        <v>0</v>
      </c>
      <c r="AY182" s="282">
        <f t="shared" si="184"/>
        <v>0</v>
      </c>
      <c r="AZ182" s="282">
        <f t="shared" si="184"/>
        <v>0</v>
      </c>
      <c r="BA182" s="282">
        <f t="shared" si="184"/>
        <v>0</v>
      </c>
      <c r="BB182" s="282">
        <f t="shared" si="184"/>
        <v>0</v>
      </c>
      <c r="BC182" s="282">
        <f t="shared" si="184"/>
        <v>0</v>
      </c>
    </row>
    <row r="183" spans="2:55" s="192" customFormat="1" ht="16.899999999999999" customHeight="1" outlineLevel="1" x14ac:dyDescent="0.25">
      <c r="B183" s="275" t="s">
        <v>370</v>
      </c>
      <c r="C183" s="1490">
        <f t="shared" ref="C183:L183" si="185">IF(C$32&lt;=3,1,IF(C176&lt;0,1,IF(B183=1,1-(C176/C175),0)))</f>
        <v>1</v>
      </c>
      <c r="D183" s="1490">
        <f t="shared" si="185"/>
        <v>1</v>
      </c>
      <c r="E183" s="1490">
        <f t="shared" si="185"/>
        <v>1</v>
      </c>
      <c r="F183" s="1490">
        <f t="shared" si="185"/>
        <v>1</v>
      </c>
      <c r="G183" s="1490">
        <f t="shared" si="185"/>
        <v>1</v>
      </c>
      <c r="H183" s="1490">
        <f t="shared" si="185"/>
        <v>1</v>
      </c>
      <c r="I183" s="1490">
        <f t="shared" si="185"/>
        <v>1</v>
      </c>
      <c r="J183" s="1490">
        <f t="shared" si="185"/>
        <v>1</v>
      </c>
      <c r="K183" s="1490">
        <f t="shared" si="185"/>
        <v>1</v>
      </c>
      <c r="L183" s="1490">
        <f t="shared" si="185"/>
        <v>1</v>
      </c>
      <c r="M183" s="287">
        <f t="shared" ref="M183:BC183" si="186">IF(M$32&lt;=3,0,IF(M176&lt;0,1,IF(L183=1,1-(M176/M175),0)))</f>
        <v>1</v>
      </c>
      <c r="N183" s="287">
        <f t="shared" si="186"/>
        <v>1</v>
      </c>
      <c r="O183" s="287">
        <f t="shared" si="186"/>
        <v>1</v>
      </c>
      <c r="P183" s="287">
        <f t="shared" si="186"/>
        <v>1</v>
      </c>
      <c r="Q183" s="287">
        <f t="shared" si="186"/>
        <v>1</v>
      </c>
      <c r="R183" s="287">
        <f t="shared" si="186"/>
        <v>1</v>
      </c>
      <c r="S183" s="287">
        <f t="shared" si="186"/>
        <v>1</v>
      </c>
      <c r="T183" s="287">
        <f t="shared" si="186"/>
        <v>1</v>
      </c>
      <c r="U183" s="287">
        <f t="shared" si="186"/>
        <v>1</v>
      </c>
      <c r="V183" s="287">
        <f t="shared" si="186"/>
        <v>1</v>
      </c>
      <c r="W183" s="287">
        <f t="shared" si="186"/>
        <v>1</v>
      </c>
      <c r="X183" s="287">
        <f t="shared" si="186"/>
        <v>1</v>
      </c>
      <c r="Y183" s="287">
        <f t="shared" si="186"/>
        <v>1</v>
      </c>
      <c r="Z183" s="287">
        <f t="shared" si="186"/>
        <v>1</v>
      </c>
      <c r="AA183" s="287">
        <f t="shared" si="186"/>
        <v>1</v>
      </c>
      <c r="AB183" s="287">
        <f t="shared" si="186"/>
        <v>1</v>
      </c>
      <c r="AC183" s="287">
        <f t="shared" si="186"/>
        <v>1</v>
      </c>
      <c r="AD183" s="287">
        <f t="shared" si="186"/>
        <v>1</v>
      </c>
      <c r="AE183" s="287">
        <f t="shared" si="186"/>
        <v>1</v>
      </c>
      <c r="AF183" s="287">
        <f t="shared" si="186"/>
        <v>1</v>
      </c>
      <c r="AG183" s="287">
        <f t="shared" si="186"/>
        <v>1</v>
      </c>
      <c r="AH183" s="287">
        <f t="shared" si="186"/>
        <v>1</v>
      </c>
      <c r="AI183" s="287">
        <f t="shared" si="186"/>
        <v>1</v>
      </c>
      <c r="AJ183" s="287">
        <f t="shared" si="186"/>
        <v>1</v>
      </c>
      <c r="AK183" s="287">
        <f t="shared" si="186"/>
        <v>1</v>
      </c>
      <c r="AL183" s="287">
        <f t="shared" si="186"/>
        <v>4.8421075140863024E-2</v>
      </c>
      <c r="AM183" s="287">
        <f t="shared" si="186"/>
        <v>0</v>
      </c>
      <c r="AN183" s="287">
        <f t="shared" si="186"/>
        <v>0</v>
      </c>
      <c r="AO183" s="287">
        <f t="shared" si="186"/>
        <v>0</v>
      </c>
      <c r="AP183" s="287">
        <f t="shared" si="186"/>
        <v>0</v>
      </c>
      <c r="AQ183" s="287">
        <f t="shared" si="186"/>
        <v>0</v>
      </c>
      <c r="AR183" s="287">
        <f t="shared" si="186"/>
        <v>0</v>
      </c>
      <c r="AS183" s="287">
        <f t="shared" si="186"/>
        <v>0</v>
      </c>
      <c r="AT183" s="287">
        <f t="shared" si="186"/>
        <v>0</v>
      </c>
      <c r="AU183" s="287">
        <f t="shared" si="186"/>
        <v>0</v>
      </c>
      <c r="AV183" s="287">
        <f t="shared" si="186"/>
        <v>0</v>
      </c>
      <c r="AW183" s="287">
        <f t="shared" si="186"/>
        <v>0</v>
      </c>
      <c r="AX183" s="287">
        <f t="shared" si="186"/>
        <v>0</v>
      </c>
      <c r="AY183" s="287">
        <f t="shared" si="186"/>
        <v>0</v>
      </c>
      <c r="AZ183" s="287">
        <f t="shared" si="186"/>
        <v>0</v>
      </c>
      <c r="BA183" s="287">
        <f t="shared" si="186"/>
        <v>0</v>
      </c>
      <c r="BB183" s="287">
        <f t="shared" si="186"/>
        <v>0</v>
      </c>
      <c r="BC183" s="287">
        <f t="shared" si="186"/>
        <v>0</v>
      </c>
    </row>
    <row r="184" spans="2:55" s="192" customFormat="1" ht="16.899999999999999" customHeight="1" outlineLevel="1" x14ac:dyDescent="0.25">
      <c r="B184" s="275" t="s">
        <v>371</v>
      </c>
      <c r="C184" s="272" t="str">
        <f>IF(C31=1,IRR($C175:C175),"-")</f>
        <v>-</v>
      </c>
      <c r="D184" s="272" t="str">
        <f>IF(D31=1,IRR($C175:D175),"-")</f>
        <v>-</v>
      </c>
      <c r="E184" s="272" t="str">
        <f>IF(E31=1,IRR($C175:E175),"-")</f>
        <v>-</v>
      </c>
      <c r="F184" s="272" t="str">
        <f>IF(F31=1,IRR($C175:F175),"-")</f>
        <v>-</v>
      </c>
      <c r="G184" s="272" t="str">
        <f>IF(G31=1,IRR($C175:G175),"-")</f>
        <v>-</v>
      </c>
      <c r="H184" s="272" t="str">
        <f>IF(H31=1,IRR($C175:H175),"-")</f>
        <v>-</v>
      </c>
      <c r="I184" s="272" t="str">
        <f>IF(I31=1,IRR($C175:I175),"-")</f>
        <v>-</v>
      </c>
      <c r="J184" s="272" t="str">
        <f>IF(J31=1,IRR($C175:J175),"-")</f>
        <v>-</v>
      </c>
      <c r="K184" s="272" t="str">
        <f>IF(K31=1,IRR($C175:K175),"-")</f>
        <v>-</v>
      </c>
      <c r="L184" s="272" t="str">
        <f>IF(L31=1,IRR($C175:L175),"-")</f>
        <v>-</v>
      </c>
      <c r="M184" s="272" t="str">
        <f>IF(M31=1,IRR($C175:M175),"-")</f>
        <v>-</v>
      </c>
      <c r="N184" s="272" t="str">
        <f>IF(N31=1,IRR($C175:N175),"-")</f>
        <v>-</v>
      </c>
      <c r="O184" s="272" t="str">
        <f>IF(O31=1,IRR($C175:O175),"-")</f>
        <v>-</v>
      </c>
      <c r="P184" s="272" t="str">
        <f>IF(P31=1,IRR($C175:P175),"-")</f>
        <v>-</v>
      </c>
      <c r="Q184" s="272" t="str">
        <f>IF(Q31=1,IRR($C175:Q175),"-")</f>
        <v>-</v>
      </c>
      <c r="R184" s="272" t="str">
        <f>IF(R31=1,IRR($C175:R175),"-")</f>
        <v>-</v>
      </c>
      <c r="S184" s="272" t="str">
        <f>IF(S31=1,IRR($C175:S175),"-")</f>
        <v>-</v>
      </c>
      <c r="T184" s="272" t="str">
        <f>IF(T31=1,IRR($C175:T175),"-")</f>
        <v>-</v>
      </c>
      <c r="U184" s="272" t="str">
        <f>IF(U31=1,IRR($C175:U175),"-")</f>
        <v>-</v>
      </c>
      <c r="V184" s="272" t="str">
        <f>IF(V31=1,IRR($C175:V175),"-")</f>
        <v>-</v>
      </c>
      <c r="W184" s="272" t="str">
        <f>IF(W31=1,IRR($C175:W175),"-")</f>
        <v>-</v>
      </c>
      <c r="X184" s="272" t="str">
        <f>IF(X31=1,IRR($C175:X175),"-")</f>
        <v>-</v>
      </c>
      <c r="Y184" s="272" t="str">
        <f>IF(Y31=1,IRR($C175:Y175),"-")</f>
        <v>-</v>
      </c>
      <c r="Z184" s="272" t="str">
        <f>IF(Z31=1,IRR($C175:Z175),"-")</f>
        <v>-</v>
      </c>
      <c r="AA184" s="272" t="str">
        <f>IF(AA31=1,IRR($C175:AA175),"-")</f>
        <v>-</v>
      </c>
      <c r="AB184" s="272" t="str">
        <f>IF(AB31=1,IRR($C175:AB175),"-")</f>
        <v>-</v>
      </c>
      <c r="AC184" s="272" t="str">
        <f>IF(AC31=1,IRR($C175:AC175),"-")</f>
        <v>-</v>
      </c>
      <c r="AD184" s="272" t="str">
        <f>IF(AD31=1,IRR($C175:AD175),"-")</f>
        <v>-</v>
      </c>
      <c r="AE184" s="272" t="str">
        <f>IF(AE31=1,IRR($C175:AE175),"-")</f>
        <v>-</v>
      </c>
      <c r="AF184" s="272" t="str">
        <f>IF(AF31=1,IRR($C175:AF175),"-")</f>
        <v>-</v>
      </c>
      <c r="AG184" s="272" t="str">
        <f>IF(AG31=1,IRR($C175:AG175),"-")</f>
        <v>-</v>
      </c>
      <c r="AH184" s="272" t="str">
        <f>IF(AH31=1,IRR($C175:AH175),"-")</f>
        <v>-</v>
      </c>
      <c r="AI184" s="272" t="str">
        <f>IF(AI31=1,IRR($C175:AI175),"-")</f>
        <v>-</v>
      </c>
      <c r="AJ184" s="272" t="str">
        <f>IF(AJ31=1,IRR($C175:AJ175),"-")</f>
        <v>-</v>
      </c>
      <c r="AK184" s="272">
        <f>IF(AK31=1,IRR($C175:AK175),"-")</f>
        <v>0.44949608207223823</v>
      </c>
      <c r="AL184" s="272" t="str">
        <f>IF(AL31=1,IRR($C175:AL175),"-")</f>
        <v>-</v>
      </c>
      <c r="AM184" s="272" t="str">
        <f>IF(AM31=1,IRR($C175:AM175),"-")</f>
        <v>-</v>
      </c>
      <c r="AN184" s="272" t="str">
        <f>IF(AN31=1,IRR($C175:AN175),"-")</f>
        <v>-</v>
      </c>
      <c r="AO184" s="272" t="str">
        <f>IF(AO31=1,IRR($C175:AO175),"-")</f>
        <v>-</v>
      </c>
      <c r="AP184" s="272" t="str">
        <f>IF(AP31=1,IRR($C175:AP175),"-")</f>
        <v>-</v>
      </c>
      <c r="AQ184" s="272" t="str">
        <f>IF(AQ31=1,IRR($C175:AQ175),"-")</f>
        <v>-</v>
      </c>
      <c r="AR184" s="272" t="str">
        <f>IF(AR31=1,IRR($C175:AR175),"-")</f>
        <v>-</v>
      </c>
      <c r="AS184" s="272" t="str">
        <f>IF(AS31=1,IRR($C175:AS175),"-")</f>
        <v>-</v>
      </c>
      <c r="AT184" s="272" t="str">
        <f>IF(AT31=1,IRR($C175:AT175),"-")</f>
        <v>-</v>
      </c>
      <c r="AU184" s="272" t="str">
        <f>IF(AU31=1,IRR($C175:AU175),"-")</f>
        <v>-</v>
      </c>
      <c r="AV184" s="272" t="str">
        <f>IF(AV31=1,IRR($C175:AV175),"-")</f>
        <v>-</v>
      </c>
      <c r="AW184" s="272" t="str">
        <f>IF(AW31=1,IRR($C175:AW175),"-")</f>
        <v>-</v>
      </c>
      <c r="AX184" s="272" t="str">
        <f>IF(AX31=1,IRR($C175:AX175),"-")</f>
        <v>-</v>
      </c>
      <c r="AY184" s="272" t="str">
        <f>IF(AY31=1,IRR($C175:AY175),"-")</f>
        <v>-</v>
      </c>
      <c r="AZ184" s="272" t="str">
        <f>IF(AZ31=1,IRR($C175:AZ175),"-")</f>
        <v>-</v>
      </c>
      <c r="BA184" s="272" t="str">
        <f>IF(BA31=1,IRR($C175:BA175),"-")</f>
        <v>-</v>
      </c>
      <c r="BB184" s="272" t="str">
        <f>IF(BB31=1,IRR($C175:BB175),"-")</f>
        <v>-</v>
      </c>
      <c r="BC184" s="272" t="str">
        <f>IF(BC31=1,IRR($C175:BC175),"-")</f>
        <v>-</v>
      </c>
    </row>
    <row r="185" spans="2:55" ht="14.25" customHeight="1" outlineLevel="1" x14ac:dyDescent="0.25">
      <c r="C185" s="64"/>
      <c r="D185" s="64"/>
      <c r="E185" s="64"/>
      <c r="F185" s="66"/>
      <c r="G185" s="66"/>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c r="AE185" s="66"/>
      <c r="AF185" s="66"/>
      <c r="AG185" s="66"/>
      <c r="AH185" s="66"/>
      <c r="AI185" s="66"/>
      <c r="AJ185" s="66"/>
      <c r="AK185" s="66"/>
      <c r="AL185" s="66"/>
      <c r="AM185" s="66"/>
      <c r="AN185" s="66"/>
      <c r="AO185" s="66"/>
      <c r="AP185" s="66"/>
      <c r="AQ185" s="66"/>
      <c r="AR185" s="66"/>
      <c r="AS185" s="66"/>
      <c r="AT185" s="66"/>
      <c r="AU185" s="66"/>
      <c r="AV185" s="66"/>
      <c r="AW185" s="66"/>
      <c r="AX185" s="66"/>
      <c r="AY185" s="66"/>
      <c r="AZ185" s="66"/>
      <c r="BA185" s="66"/>
      <c r="BB185" s="66"/>
      <c r="BC185" s="66"/>
    </row>
    <row r="186" spans="2:55" ht="14.25" customHeight="1" x14ac:dyDescent="0.25">
      <c r="C186" s="66"/>
      <c r="D186" s="66"/>
      <c r="E186" s="66"/>
      <c r="F186" s="66"/>
      <c r="G186" s="66"/>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c r="AE186" s="66"/>
      <c r="AF186" s="66"/>
      <c r="AG186" s="66"/>
      <c r="AH186" s="66"/>
      <c r="AI186" s="66"/>
      <c r="AJ186" s="66"/>
      <c r="AK186" s="66"/>
      <c r="AL186" s="66"/>
      <c r="AM186" s="66"/>
      <c r="AN186" s="66"/>
      <c r="AO186" s="66"/>
      <c r="AP186" s="66"/>
      <c r="AQ186" s="66"/>
      <c r="AR186" s="66"/>
      <c r="AS186" s="66"/>
      <c r="AT186" s="66"/>
      <c r="AU186" s="66"/>
      <c r="AV186" s="66"/>
      <c r="AW186" s="66"/>
      <c r="AX186" s="66"/>
      <c r="AY186" s="66"/>
      <c r="AZ186" s="66"/>
      <c r="BA186" s="66"/>
      <c r="BB186" s="66"/>
      <c r="BC186" s="66"/>
    </row>
    <row r="187" spans="2:55" ht="14.25" customHeight="1" x14ac:dyDescent="0.25">
      <c r="C187" s="66"/>
      <c r="D187" s="66"/>
      <c r="E187" s="66"/>
      <c r="F187" s="66"/>
      <c r="G187" s="66"/>
      <c r="H187" s="66"/>
      <c r="I187" s="66"/>
      <c r="J187" s="66"/>
      <c r="K187" s="66"/>
      <c r="L187" s="66"/>
      <c r="M187" s="66"/>
      <c r="N187" s="66"/>
      <c r="O187" s="66"/>
      <c r="P187" s="66"/>
      <c r="Q187" s="66"/>
      <c r="R187" s="65"/>
      <c r="S187" s="66"/>
      <c r="T187" s="66"/>
      <c r="U187" s="66"/>
      <c r="V187" s="66"/>
      <c r="W187" s="66"/>
      <c r="X187" s="66"/>
      <c r="Y187" s="66"/>
      <c r="Z187" s="66"/>
      <c r="AA187" s="66"/>
      <c r="AB187" s="66"/>
      <c r="AC187" s="66"/>
      <c r="AD187" s="66"/>
      <c r="AE187" s="66"/>
      <c r="AF187" s="66"/>
      <c r="AG187" s="66"/>
      <c r="AH187" s="66"/>
      <c r="AI187" s="66"/>
      <c r="AJ187" s="66"/>
      <c r="AK187" s="66"/>
      <c r="AL187" s="66"/>
      <c r="AM187" s="66"/>
      <c r="AN187" s="66"/>
      <c r="AO187" s="66"/>
      <c r="AP187" s="66"/>
      <c r="AQ187" s="66"/>
      <c r="AR187" s="66"/>
      <c r="AS187" s="66"/>
      <c r="AT187" s="66"/>
      <c r="AU187" s="66"/>
      <c r="AV187" s="66"/>
      <c r="AW187" s="66"/>
      <c r="AX187" s="66"/>
      <c r="AY187" s="66"/>
      <c r="AZ187" s="66"/>
      <c r="BA187" s="66"/>
      <c r="BB187" s="66"/>
      <c r="BC187" s="66"/>
    </row>
    <row r="188" spans="2:55" ht="14.25" customHeight="1" x14ac:dyDescent="0.25">
      <c r="C188" s="66"/>
      <c r="D188" s="66"/>
      <c r="E188" s="66"/>
      <c r="F188" s="66"/>
      <c r="G188" s="66"/>
      <c r="H188" s="66"/>
      <c r="I188" s="66"/>
      <c r="J188" s="66"/>
      <c r="K188" s="66"/>
      <c r="L188" s="66"/>
      <c r="M188" s="66"/>
      <c r="N188" s="66"/>
      <c r="O188" s="66"/>
      <c r="P188" s="66"/>
      <c r="Q188" s="66"/>
      <c r="R188" s="65"/>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row>
    <row r="189" spans="2:55" ht="14.25" customHeight="1" x14ac:dyDescent="0.25">
      <c r="C189" s="66"/>
      <c r="D189" s="66"/>
      <c r="E189" s="66"/>
      <c r="F189" s="66"/>
      <c r="G189" s="66"/>
      <c r="H189" s="66"/>
      <c r="I189" s="66"/>
      <c r="J189" s="66"/>
      <c r="K189" s="66"/>
      <c r="L189" s="66"/>
      <c r="M189" s="66"/>
      <c r="N189" s="66"/>
      <c r="O189" s="66"/>
      <c r="P189" s="66"/>
      <c r="Q189" s="66"/>
      <c r="R189" s="65"/>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row>
    <row r="190" spans="2:55" ht="14.25" customHeight="1" x14ac:dyDescent="0.25">
      <c r="R190" s="62"/>
    </row>
    <row r="191" spans="2:55" ht="14.25" customHeight="1" x14ac:dyDescent="0.25">
      <c r="C191" s="66"/>
      <c r="D191" s="66"/>
      <c r="E191" s="66"/>
      <c r="F191" s="66"/>
      <c r="G191" s="66"/>
      <c r="H191" s="66"/>
      <c r="I191" s="66"/>
      <c r="J191" s="66"/>
      <c r="K191" s="66"/>
      <c r="L191" s="66"/>
      <c r="M191" s="66"/>
      <c r="N191" s="66"/>
      <c r="O191" s="66"/>
      <c r="P191" s="66"/>
      <c r="Q191" s="66"/>
      <c r="R191" s="65"/>
      <c r="S191" s="66"/>
      <c r="T191" s="66"/>
      <c r="U191" s="66"/>
      <c r="V191" s="66"/>
      <c r="W191" s="66"/>
      <c r="X191" s="66"/>
      <c r="Y191" s="66"/>
      <c r="Z191" s="66"/>
      <c r="AA191" s="66"/>
      <c r="AB191" s="66"/>
      <c r="AC191" s="66"/>
      <c r="AD191" s="66"/>
      <c r="AE191" s="66"/>
      <c r="AF191" s="66"/>
      <c r="AG191" s="66"/>
      <c r="AH191" s="66"/>
      <c r="AI191" s="66"/>
      <c r="AJ191" s="66"/>
      <c r="AK191" s="66"/>
      <c r="AL191" s="66"/>
      <c r="AM191" s="66"/>
      <c r="AN191" s="66"/>
      <c r="AO191" s="66"/>
      <c r="AP191" s="66"/>
      <c r="AQ191" s="66"/>
      <c r="AR191" s="66"/>
      <c r="AS191" s="66"/>
      <c r="AT191" s="66"/>
      <c r="AU191" s="66"/>
      <c r="AV191" s="66"/>
      <c r="AW191" s="66"/>
      <c r="AX191" s="66"/>
      <c r="AY191" s="66"/>
      <c r="AZ191" s="66"/>
      <c r="BA191" s="66"/>
      <c r="BB191" s="66"/>
      <c r="BC191" s="66"/>
    </row>
    <row r="192" spans="2:55" ht="14.25" customHeight="1" x14ac:dyDescent="0.25">
      <c r="C192" s="66"/>
      <c r="D192" s="66"/>
      <c r="E192" s="66"/>
      <c r="F192" s="66"/>
      <c r="G192" s="66"/>
      <c r="H192" s="66"/>
      <c r="I192" s="66"/>
      <c r="J192" s="66"/>
      <c r="K192" s="66"/>
      <c r="L192" s="66"/>
      <c r="M192" s="66"/>
      <c r="N192" s="66"/>
      <c r="O192" s="66"/>
      <c r="P192" s="66"/>
      <c r="Q192" s="66"/>
      <c r="R192" s="65"/>
      <c r="S192" s="66"/>
      <c r="T192" s="66"/>
      <c r="U192" s="66"/>
      <c r="V192" s="66"/>
      <c r="W192" s="66"/>
      <c r="X192" s="66"/>
      <c r="Y192" s="66"/>
      <c r="Z192" s="66"/>
      <c r="AA192" s="66"/>
      <c r="AB192" s="66"/>
      <c r="AC192" s="66"/>
      <c r="AD192" s="66"/>
      <c r="AE192" s="66"/>
      <c r="AF192" s="66"/>
      <c r="AG192" s="66"/>
      <c r="AH192" s="66"/>
      <c r="AI192" s="66"/>
      <c r="AJ192" s="66"/>
      <c r="AK192" s="66"/>
      <c r="AL192" s="66"/>
      <c r="AM192" s="66"/>
      <c r="AN192" s="66"/>
      <c r="AO192" s="66"/>
      <c r="AP192" s="66"/>
      <c r="AQ192" s="66"/>
      <c r="AR192" s="66"/>
      <c r="AS192" s="66"/>
      <c r="AT192" s="66"/>
      <c r="AU192" s="66"/>
      <c r="AV192" s="66"/>
      <c r="AW192" s="66"/>
      <c r="AX192" s="66"/>
      <c r="AY192" s="66"/>
      <c r="AZ192" s="66"/>
      <c r="BA192" s="66"/>
      <c r="BB192" s="66"/>
      <c r="BC192" s="66"/>
    </row>
    <row r="193" spans="18:18" ht="14.25" customHeight="1" x14ac:dyDescent="0.25">
      <c r="R193" s="62"/>
    </row>
    <row r="194" spans="18:18" ht="14.25" customHeight="1" x14ac:dyDescent="0.25">
      <c r="R194" s="62"/>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2"/>
  <sheetViews>
    <sheetView tabSelected="1" zoomScale="75" zoomScaleNormal="75" workbookViewId="0">
      <selection activeCell="B2" sqref="B2"/>
    </sheetView>
  </sheetViews>
  <sheetFormatPr defaultColWidth="8.85546875" defaultRowHeight="15" outlineLevelRow="1" x14ac:dyDescent="0.25"/>
  <cols>
    <col min="1" max="1" width="6.5703125" style="33" customWidth="1"/>
    <col min="2" max="2" width="85.7109375" style="1487" customWidth="1"/>
    <col min="3" max="3" width="13.7109375" style="35" bestFit="1" customWidth="1"/>
    <col min="4" max="8" width="14.7109375" style="33" customWidth="1"/>
    <col min="9" max="60" width="10.7109375" style="33" customWidth="1"/>
    <col min="61" max="16384" width="8.85546875" style="33"/>
  </cols>
  <sheetData>
    <row r="1" spans="1:60" ht="15.75" thickBot="1" x14ac:dyDescent="0.3">
      <c r="D1" s="1545"/>
      <c r="E1" s="1545"/>
      <c r="F1" s="1545"/>
      <c r="G1" s="1545"/>
      <c r="H1" s="1545"/>
    </row>
    <row r="2" spans="1:60" ht="22.5" thickTop="1" thickBot="1" x14ac:dyDescent="0.3">
      <c r="B2" s="1652" t="s">
        <v>999</v>
      </c>
      <c r="C2" s="2901" t="str">
        <f>'R&amp;C-Painel de Controle'!G2</f>
        <v>CIRSOP - Consórcio RSU Oeste Paulista</v>
      </c>
      <c r="D2" s="2902"/>
      <c r="E2" s="2902"/>
      <c r="F2" s="2902"/>
      <c r="G2" s="2902"/>
      <c r="H2" s="2903"/>
      <c r="I2" s="749"/>
    </row>
    <row r="3" spans="1:60" ht="4.9000000000000004" customHeight="1" thickTop="1" thickBot="1" x14ac:dyDescent="0.3"/>
    <row r="4" spans="1:60" ht="19.5" thickTop="1" x14ac:dyDescent="0.25">
      <c r="B4" s="1638" t="str">
        <f>B104</f>
        <v>Quant. RSU (Ano 1)</v>
      </c>
      <c r="C4" s="1639">
        <f>C104</f>
        <v>467.94871794871796</v>
      </c>
      <c r="D4" s="1640" t="str">
        <f>D104</f>
        <v>t/d</v>
      </c>
      <c r="E4" s="1641"/>
      <c r="F4" s="1641"/>
      <c r="G4" s="1641"/>
      <c r="H4" s="1642"/>
      <c r="I4" s="749"/>
    </row>
    <row r="5" spans="1:60" ht="19.899999999999999" customHeight="1" x14ac:dyDescent="0.25">
      <c r="B5" s="1643" t="s">
        <v>1025</v>
      </c>
      <c r="C5" s="1644">
        <f>'R&amp;C-Painel de Controle'!D33</f>
        <v>292.94394556662456</v>
      </c>
      <c r="D5" s="1645" t="s">
        <v>293</v>
      </c>
      <c r="E5" s="1646"/>
      <c r="F5" s="1646"/>
      <c r="G5" s="1646"/>
      <c r="H5" s="1647"/>
      <c r="I5" s="749"/>
    </row>
    <row r="6" spans="1:60" ht="19.899999999999999" customHeight="1" x14ac:dyDescent="0.25">
      <c r="B6" s="1643" t="s">
        <v>1026</v>
      </c>
      <c r="C6" s="1644">
        <f>'R&amp;C-Painel de Controle'!H33</f>
        <v>318.85362727861343</v>
      </c>
      <c r="D6" s="1645" t="s">
        <v>293</v>
      </c>
      <c r="E6" s="1646"/>
      <c r="F6" s="1646"/>
      <c r="G6" s="1646"/>
      <c r="H6" s="1647"/>
      <c r="I6" s="749"/>
    </row>
    <row r="7" spans="1:60" ht="18.75" x14ac:dyDescent="0.25">
      <c r="B7" s="1643" t="s">
        <v>972</v>
      </c>
      <c r="C7" s="1644">
        <f>'R&amp;C-Painel de Controle'!D32</f>
        <v>35</v>
      </c>
      <c r="D7" s="1645" t="s">
        <v>260</v>
      </c>
      <c r="E7" s="1646"/>
      <c r="F7" s="1646"/>
      <c r="G7" s="1646"/>
      <c r="H7" s="1647"/>
      <c r="I7" s="749"/>
    </row>
    <row r="8" spans="1:60" ht="19.5" thickBot="1" x14ac:dyDescent="0.3">
      <c r="B8" s="1648" t="s">
        <v>930</v>
      </c>
      <c r="C8" s="1653">
        <f>'C-FCL Real'!C28</f>
        <v>9.74E-2</v>
      </c>
      <c r="D8" s="1649" t="s">
        <v>194</v>
      </c>
      <c r="E8" s="1650"/>
      <c r="F8" s="1650"/>
      <c r="G8" s="1650"/>
      <c r="H8" s="1651"/>
      <c r="I8" s="749"/>
    </row>
    <row r="9" spans="1:60" ht="4.9000000000000004" customHeight="1" thickTop="1" thickBot="1" x14ac:dyDescent="0.3"/>
    <row r="10" spans="1:60" s="885" customFormat="1" ht="19.899999999999999" customHeight="1" thickTop="1" x14ac:dyDescent="0.25">
      <c r="B10" s="2904" t="s">
        <v>998</v>
      </c>
      <c r="C10" s="2905"/>
      <c r="D10" s="2908" t="s">
        <v>996</v>
      </c>
      <c r="E10" s="2909"/>
      <c r="F10" s="2909"/>
      <c r="G10" s="2909"/>
      <c r="H10" s="2910"/>
      <c r="J10" s="1591" t="s">
        <v>995</v>
      </c>
      <c r="K10" s="1591" t="s">
        <v>993</v>
      </c>
      <c r="L10" s="1591" t="s">
        <v>996</v>
      </c>
      <c r="M10" s="1591" t="s">
        <v>994</v>
      </c>
    </row>
    <row r="11" spans="1:60" s="885" customFormat="1" ht="19.899999999999999" customHeight="1" thickBot="1" x14ac:dyDescent="0.3">
      <c r="B11" s="2906"/>
      <c r="C11" s="2907"/>
      <c r="D11" s="2911"/>
      <c r="E11" s="2912"/>
      <c r="F11" s="2912"/>
      <c r="G11" s="2912"/>
      <c r="H11" s="2913"/>
    </row>
    <row r="12" spans="1:60" ht="4.9000000000000004" customHeight="1" thickTop="1" thickBot="1" x14ac:dyDescent="0.3"/>
    <row r="13" spans="1:60" s="39" customFormat="1" ht="25.15" customHeight="1" collapsed="1" thickTop="1" thickBot="1" x14ac:dyDescent="0.3">
      <c r="B13" s="2918" t="s">
        <v>990</v>
      </c>
      <c r="C13" s="2919"/>
      <c r="D13" s="2919"/>
      <c r="E13" s="2919"/>
      <c r="F13" s="2919"/>
      <c r="G13" s="2919"/>
      <c r="H13" s="2920"/>
      <c r="I13" s="33"/>
      <c r="J13" s="33"/>
    </row>
    <row r="14" spans="1:60" s="689" customFormat="1" ht="15" hidden="1" customHeight="1" outlineLevel="1" thickTop="1" x14ac:dyDescent="0.25">
      <c r="B14" s="1546" t="str">
        <f>'C-FCL Real'!B32</f>
        <v>Ano do Contrato</v>
      </c>
      <c r="C14" s="1506"/>
      <c r="D14" s="1555">
        <f>'C-FCL Real'!C32</f>
        <v>0</v>
      </c>
      <c r="E14" s="689">
        <f>'C-FCL Real'!D32</f>
        <v>1</v>
      </c>
      <c r="F14" s="689">
        <f>'C-FCL Real'!E32</f>
        <v>2</v>
      </c>
      <c r="G14" s="689">
        <f>'C-FCL Real'!F32</f>
        <v>3</v>
      </c>
      <c r="H14" s="689">
        <f>'C-FCL Real'!G32</f>
        <v>4</v>
      </c>
      <c r="I14" s="689">
        <f>'C-FCL Real'!H32</f>
        <v>5</v>
      </c>
      <c r="J14" s="689">
        <f>'C-FCL Real'!I32</f>
        <v>6</v>
      </c>
      <c r="K14" s="689">
        <f>'C-FCL Real'!J32</f>
        <v>7</v>
      </c>
      <c r="L14" s="689">
        <f>'C-FCL Real'!K32</f>
        <v>8</v>
      </c>
      <c r="M14" s="689">
        <f>'C-FCL Real'!L32</f>
        <v>9</v>
      </c>
      <c r="N14" s="689">
        <f>'C-FCL Real'!M32</f>
        <v>10</v>
      </c>
      <c r="O14" s="689">
        <f>'C-FCL Real'!N32</f>
        <v>11</v>
      </c>
      <c r="P14" s="689">
        <f>'C-FCL Real'!O32</f>
        <v>12</v>
      </c>
      <c r="Q14" s="689">
        <f>'C-FCL Real'!P32</f>
        <v>13</v>
      </c>
      <c r="R14" s="689">
        <f>'C-FCL Real'!Q32</f>
        <v>14</v>
      </c>
      <c r="S14" s="689">
        <f>'C-FCL Real'!R32</f>
        <v>15</v>
      </c>
      <c r="T14" s="689">
        <f>'C-FCL Real'!S32</f>
        <v>16</v>
      </c>
      <c r="U14" s="689">
        <f>'C-FCL Real'!T32</f>
        <v>17</v>
      </c>
      <c r="V14" s="689">
        <f>'C-FCL Real'!U32</f>
        <v>18</v>
      </c>
      <c r="W14" s="689">
        <f>'C-FCL Real'!V32</f>
        <v>19</v>
      </c>
      <c r="X14" s="689">
        <f>'C-FCL Real'!W32</f>
        <v>20</v>
      </c>
      <c r="Y14" s="689">
        <f>'C-FCL Real'!X32</f>
        <v>21</v>
      </c>
      <c r="Z14" s="689">
        <f>'C-FCL Real'!Y32</f>
        <v>22</v>
      </c>
      <c r="AA14" s="689">
        <f>'C-FCL Real'!Z32</f>
        <v>23</v>
      </c>
      <c r="AB14" s="689">
        <f>'C-FCL Real'!AA32</f>
        <v>24</v>
      </c>
      <c r="AC14" s="689">
        <f>'C-FCL Real'!AB32</f>
        <v>25</v>
      </c>
      <c r="AD14" s="689">
        <f>'C-FCL Real'!AC32</f>
        <v>26</v>
      </c>
      <c r="AE14" s="689">
        <f>'C-FCL Real'!AD32</f>
        <v>27</v>
      </c>
      <c r="AF14" s="689">
        <f>'C-FCL Real'!AE32</f>
        <v>28</v>
      </c>
      <c r="AG14" s="689">
        <f>'C-FCL Real'!AF32</f>
        <v>29</v>
      </c>
      <c r="AH14" s="689">
        <f>'C-FCL Real'!AG32</f>
        <v>30</v>
      </c>
      <c r="AI14" s="689">
        <f>'C-FCL Real'!AH32</f>
        <v>31</v>
      </c>
      <c r="AJ14" s="689">
        <f>'C-FCL Real'!AI32</f>
        <v>32</v>
      </c>
      <c r="AK14" s="689">
        <f>'C-FCL Real'!AJ32</f>
        <v>33</v>
      </c>
      <c r="AL14" s="689">
        <f>'C-FCL Real'!AK32</f>
        <v>34</v>
      </c>
      <c r="AM14" s="689">
        <f>'C-FCL Real'!AL32</f>
        <v>35</v>
      </c>
      <c r="AN14" s="689">
        <f>'C-FCL Real'!AM32</f>
        <v>36</v>
      </c>
      <c r="AO14" s="689">
        <f>'C-FCL Real'!AN32</f>
        <v>37</v>
      </c>
      <c r="AP14" s="689">
        <f>'C-FCL Real'!AO32</f>
        <v>38</v>
      </c>
      <c r="AQ14" s="689">
        <f>'C-FCL Real'!AP32</f>
        <v>39</v>
      </c>
      <c r="AR14" s="689">
        <f>'C-FCL Real'!AQ32</f>
        <v>40</v>
      </c>
      <c r="AS14" s="689">
        <f>'C-FCL Real'!AR32</f>
        <v>41</v>
      </c>
      <c r="AT14" s="689">
        <f>'C-FCL Real'!AS32</f>
        <v>42</v>
      </c>
      <c r="AU14" s="689">
        <f>'C-FCL Real'!AT32</f>
        <v>43</v>
      </c>
      <c r="AV14" s="689">
        <f>'C-FCL Real'!AU32</f>
        <v>44</v>
      </c>
      <c r="AW14" s="689">
        <f>'C-FCL Real'!AV32</f>
        <v>45</v>
      </c>
      <c r="AX14" s="689">
        <f>'C-FCL Real'!AW32</f>
        <v>46</v>
      </c>
      <c r="AY14" s="689">
        <f>'C-FCL Real'!AX32</f>
        <v>47</v>
      </c>
      <c r="AZ14" s="689">
        <f>'C-FCL Real'!AY32</f>
        <v>48</v>
      </c>
      <c r="BA14" s="689">
        <f>'C-FCL Real'!AZ32</f>
        <v>49</v>
      </c>
      <c r="BB14" s="689">
        <f>'C-FCL Real'!BA32</f>
        <v>50</v>
      </c>
      <c r="BC14" s="689">
        <f>'C-FCL Real'!BB32</f>
        <v>51</v>
      </c>
      <c r="BD14" s="689">
        <f>'C-FCL Real'!BC32</f>
        <v>52</v>
      </c>
      <c r="BE14" s="689">
        <f>'C-FCL Real'!BD32</f>
        <v>0</v>
      </c>
      <c r="BF14" s="689">
        <f>'C-FCL Real'!BE32</f>
        <v>0</v>
      </c>
      <c r="BG14" s="689">
        <f>'C-FCL Real'!BF32</f>
        <v>0</v>
      </c>
      <c r="BH14" s="689">
        <f>'C-FCL Real'!BD32</f>
        <v>0</v>
      </c>
    </row>
    <row r="15" spans="1:60" s="1499" customFormat="1" ht="15" hidden="1" customHeight="1" outlineLevel="1" x14ac:dyDescent="0.25">
      <c r="A15" s="2900" t="s">
        <v>991</v>
      </c>
      <c r="B15" s="1547" t="s">
        <v>911</v>
      </c>
      <c r="C15" s="1560"/>
      <c r="D15" s="1556">
        <f>'C-FCL Real'!C33</f>
        <v>1</v>
      </c>
      <c r="E15" s="1541">
        <f>'C-FCL Real'!D33</f>
        <v>1</v>
      </c>
      <c r="F15" s="1541">
        <f>'C-FCL Real'!E33</f>
        <v>1</v>
      </c>
      <c r="G15" s="1541">
        <f>'C-FCL Real'!F33</f>
        <v>1</v>
      </c>
      <c r="H15" s="1541">
        <f>'C-FCL Real'!G33</f>
        <v>1</v>
      </c>
      <c r="I15" s="1541">
        <f>'C-FCL Real'!H33</f>
        <v>1</v>
      </c>
      <c r="J15" s="1541">
        <f>'C-FCL Real'!I33</f>
        <v>1</v>
      </c>
      <c r="K15" s="1541">
        <f>'C-FCL Real'!J33</f>
        <v>1</v>
      </c>
      <c r="L15" s="1541">
        <f>'C-FCL Real'!K33</f>
        <v>1</v>
      </c>
      <c r="M15" s="1541">
        <f>'C-FCL Real'!L33</f>
        <v>1</v>
      </c>
      <c r="N15" s="1541">
        <f>'C-FCL Real'!M33</f>
        <v>1</v>
      </c>
      <c r="O15" s="1541">
        <f>'C-FCL Real'!N33</f>
        <v>1</v>
      </c>
      <c r="P15" s="1541">
        <f>'C-FCL Real'!O33</f>
        <v>1</v>
      </c>
      <c r="Q15" s="1541">
        <f>'C-FCL Real'!P33</f>
        <v>1</v>
      </c>
      <c r="R15" s="1541">
        <f>'C-FCL Real'!Q33</f>
        <v>1</v>
      </c>
      <c r="S15" s="1541">
        <f>'C-FCL Real'!R33</f>
        <v>1</v>
      </c>
      <c r="T15" s="1541">
        <f>'C-FCL Real'!S33</f>
        <v>1</v>
      </c>
      <c r="U15" s="1541">
        <f>'C-FCL Real'!T33</f>
        <v>1</v>
      </c>
      <c r="V15" s="1541">
        <f>'C-FCL Real'!U33</f>
        <v>1</v>
      </c>
      <c r="W15" s="1541">
        <f>'C-FCL Real'!V33</f>
        <v>1</v>
      </c>
      <c r="X15" s="1541">
        <f>'C-FCL Real'!W33</f>
        <v>1</v>
      </c>
      <c r="Y15" s="1541">
        <f>'C-FCL Real'!X33</f>
        <v>1</v>
      </c>
      <c r="Z15" s="1541">
        <f>'C-FCL Real'!Y33</f>
        <v>1</v>
      </c>
      <c r="AA15" s="1541">
        <f>'C-FCL Real'!Z33</f>
        <v>1</v>
      </c>
      <c r="AB15" s="1541">
        <f>'C-FCL Real'!AA33</f>
        <v>1</v>
      </c>
      <c r="AC15" s="1541">
        <f>'C-FCL Real'!AB33</f>
        <v>1</v>
      </c>
      <c r="AD15" s="1541">
        <f>'C-FCL Real'!AC33</f>
        <v>1</v>
      </c>
      <c r="AE15" s="1541">
        <f>'C-FCL Real'!AD33</f>
        <v>1</v>
      </c>
      <c r="AF15" s="1541">
        <f>'C-FCL Real'!AE33</f>
        <v>1</v>
      </c>
      <c r="AG15" s="1541">
        <f>'C-FCL Real'!AF33</f>
        <v>1</v>
      </c>
      <c r="AH15" s="1541">
        <f>'C-FCL Real'!AG33</f>
        <v>1</v>
      </c>
      <c r="AI15" s="1541">
        <f>'C-FCL Real'!AH33</f>
        <v>1</v>
      </c>
      <c r="AJ15" s="1541">
        <f>'C-FCL Real'!AI33</f>
        <v>1</v>
      </c>
      <c r="AK15" s="1541">
        <f>'C-FCL Real'!AJ33</f>
        <v>1</v>
      </c>
      <c r="AL15" s="1541">
        <f>'C-FCL Real'!AK33</f>
        <v>1</v>
      </c>
      <c r="AM15" s="1541">
        <f>'C-FCL Real'!AL33</f>
        <v>0</v>
      </c>
      <c r="AN15" s="1541">
        <f>'C-FCL Real'!AM33</f>
        <v>0</v>
      </c>
      <c r="AO15" s="1541">
        <f>'C-FCL Real'!AN33</f>
        <v>0</v>
      </c>
      <c r="AP15" s="1541">
        <f>'C-FCL Real'!AO33</f>
        <v>0</v>
      </c>
      <c r="AQ15" s="1541">
        <f>'C-FCL Real'!AP33</f>
        <v>0</v>
      </c>
      <c r="AR15" s="1541">
        <f>'C-FCL Real'!AQ33</f>
        <v>0</v>
      </c>
      <c r="AS15" s="1541">
        <f>'C-FCL Real'!AR33</f>
        <v>0</v>
      </c>
      <c r="AT15" s="1541">
        <f>'C-FCL Real'!AS33</f>
        <v>0</v>
      </c>
      <c r="AU15" s="1541">
        <f>'C-FCL Real'!AT33</f>
        <v>0</v>
      </c>
      <c r="AV15" s="1541">
        <f>'C-FCL Real'!AU33</f>
        <v>0</v>
      </c>
      <c r="AW15" s="1541">
        <f>'C-FCL Real'!AV33</f>
        <v>0</v>
      </c>
      <c r="AX15" s="1541">
        <f>'C-FCL Real'!AW33</f>
        <v>0</v>
      </c>
      <c r="AY15" s="1541">
        <f>'C-FCL Real'!AX33</f>
        <v>0</v>
      </c>
      <c r="AZ15" s="1541">
        <f>'C-FCL Real'!AY33</f>
        <v>0</v>
      </c>
      <c r="BA15" s="1541">
        <f>'C-FCL Real'!AZ33</f>
        <v>0</v>
      </c>
      <c r="BB15" s="1541">
        <f>'C-FCL Real'!BA33</f>
        <v>0</v>
      </c>
      <c r="BC15" s="1541">
        <f>'C-FCL Real'!BB33</f>
        <v>0</v>
      </c>
      <c r="BD15" s="1541">
        <f>'C-FCL Real'!BC33</f>
        <v>0</v>
      </c>
      <c r="BE15" s="1541">
        <f>'C-FCL Real'!BD33</f>
        <v>0</v>
      </c>
      <c r="BF15" s="1541">
        <f>'C-FCL Real'!BE33</f>
        <v>0</v>
      </c>
      <c r="BG15" s="1541">
        <f>'C-FCL Real'!BF33</f>
        <v>0</v>
      </c>
      <c r="BH15" s="1542">
        <f>'C-FCL Real'!BG33</f>
        <v>0</v>
      </c>
    </row>
    <row r="16" spans="1:60" s="42" customFormat="1" ht="15" hidden="1" customHeight="1" outlineLevel="1" x14ac:dyDescent="0.25">
      <c r="A16" s="2900"/>
      <c r="B16" s="1548" t="str">
        <f>'C-FCL Real'!B35</f>
        <v>Dados Quantitativos RSU</v>
      </c>
      <c r="C16" s="1561">
        <f>SUMIF($D$15:$BG$15,1,D16:BG16)</f>
        <v>5494444.691661492</v>
      </c>
      <c r="D16" s="1557">
        <f>'C-FCL Real'!C35</f>
        <v>146000</v>
      </c>
      <c r="E16" s="1544">
        <f>'C-FCL Real'!D35</f>
        <v>146686.19999999998</v>
      </c>
      <c r="F16" s="1544">
        <f>'C-FCL Real'!E35</f>
        <v>147375.62513999996</v>
      </c>
      <c r="G16" s="1544">
        <f>'C-FCL Real'!F35</f>
        <v>148068.29057815796</v>
      </c>
      <c r="H16" s="1544">
        <f>'C-FCL Real'!G35</f>
        <v>148764.21154387528</v>
      </c>
      <c r="I16" s="1544">
        <f>'C-FCL Real'!H35</f>
        <v>149463.40333813149</v>
      </c>
      <c r="J16" s="1544">
        <f>'C-FCL Real'!I35</f>
        <v>150165.8813338207</v>
      </c>
      <c r="K16" s="1544">
        <f>'C-FCL Real'!J35</f>
        <v>150871.66097608965</v>
      </c>
      <c r="L16" s="1544">
        <f>'C-FCL Real'!K35</f>
        <v>151580.75778267728</v>
      </c>
      <c r="M16" s="1544">
        <f>'C-FCL Real'!L35</f>
        <v>152293.18734425586</v>
      </c>
      <c r="N16" s="1544">
        <f>'C-FCL Real'!M35</f>
        <v>153008.96532477386</v>
      </c>
      <c r="O16" s="1544">
        <f>'C-FCL Real'!N35</f>
        <v>153728.10746180027</v>
      </c>
      <c r="P16" s="1544">
        <f>'C-FCL Real'!O35</f>
        <v>154450.62956687072</v>
      </c>
      <c r="Q16" s="1544">
        <f>'C-FCL Real'!P35</f>
        <v>155176.54752583499</v>
      </c>
      <c r="R16" s="1544">
        <f>'C-FCL Real'!Q35</f>
        <v>155905.87729920639</v>
      </c>
      <c r="S16" s="1544">
        <f>'C-FCL Real'!O35</f>
        <v>154450.62956687072</v>
      </c>
      <c r="T16" s="1544">
        <f>'C-FCL Real'!P35</f>
        <v>155176.54752583499</v>
      </c>
      <c r="U16" s="1544">
        <f>'C-FCL Real'!Q35</f>
        <v>155905.87729920639</v>
      </c>
      <c r="V16" s="1544">
        <f>'C-FCL Real'!R35</f>
        <v>156638.63492251266</v>
      </c>
      <c r="W16" s="1544">
        <f>'C-FCL Real'!S35</f>
        <v>157374.83650664845</v>
      </c>
      <c r="X16" s="1544">
        <f>'C-FCL Real'!T35</f>
        <v>158114.49823822969</v>
      </c>
      <c r="Y16" s="1544">
        <f>'C-FCL Real'!U35</f>
        <v>158857.63637994934</v>
      </c>
      <c r="Z16" s="1544">
        <f>'C-FCL Real'!V35</f>
        <v>159604.26727093509</v>
      </c>
      <c r="AA16" s="1544">
        <f>'C-FCL Real'!W35</f>
        <v>160354.40732710846</v>
      </c>
      <c r="AB16" s="1544">
        <f>'C-FCL Real'!X35</f>
        <v>161108.07304154587</v>
      </c>
      <c r="AC16" s="1544">
        <f>'C-FCL Real'!Y35</f>
        <v>161865.28098484111</v>
      </c>
      <c r="AD16" s="1544">
        <f>'C-FCL Real'!Z35</f>
        <v>162626.04780546986</v>
      </c>
      <c r="AE16" s="1544">
        <f>'C-FCL Real'!AA35</f>
        <v>163390.39023015555</v>
      </c>
      <c r="AF16" s="1544">
        <f>'C-FCL Real'!AB35</f>
        <v>164158.32506423726</v>
      </c>
      <c r="AG16" s="1544">
        <f>'C-FCL Real'!AC35</f>
        <v>164929.86919203916</v>
      </c>
      <c r="AH16" s="1544">
        <f>'C-FCL Real'!AD35</f>
        <v>165705.03957724173</v>
      </c>
      <c r="AI16" s="1544">
        <f>'C-FCL Real'!AE35</f>
        <v>166483.85326325474</v>
      </c>
      <c r="AJ16" s="1544">
        <f>'C-FCL Real'!AF35</f>
        <v>167266.32737359204</v>
      </c>
      <c r="AK16" s="1544">
        <f>'C-FCL Real'!AG35</f>
        <v>168052.47911224791</v>
      </c>
      <c r="AL16" s="1544">
        <f>'C-FCL Real'!AH35</f>
        <v>168842.32576407547</v>
      </c>
      <c r="AM16" s="1544">
        <f>'C-FCL Real'!AI35</f>
        <v>169635.88469516661</v>
      </c>
      <c r="AN16" s="1544">
        <f>'C-FCL Real'!AJ35</f>
        <v>170433.17335323387</v>
      </c>
      <c r="AO16" s="1544">
        <f>'C-FCL Real'!AK35</f>
        <v>171234.20926799407</v>
      </c>
      <c r="AP16" s="1544">
        <f>'C-FCL Real'!AL35</f>
        <v>172039.01005155363</v>
      </c>
      <c r="AQ16" s="1544">
        <f>'C-FCL Real'!AM35</f>
        <v>172847.59339879593</v>
      </c>
      <c r="AR16" s="1544">
        <f>'C-FCL Real'!AN35</f>
        <v>173659.97708777027</v>
      </c>
      <c r="AS16" s="1544">
        <f>'C-FCL Real'!AO35</f>
        <v>174476.17898008277</v>
      </c>
      <c r="AT16" s="1544">
        <f>'C-FCL Real'!AP35</f>
        <v>175296.21702128914</v>
      </c>
      <c r="AU16" s="1544">
        <f>'C-FCL Real'!AQ35</f>
        <v>176120.10924128917</v>
      </c>
      <c r="AV16" s="1544">
        <f>'C-FCL Real'!AR35</f>
        <v>176947.87375472323</v>
      </c>
      <c r="AW16" s="1544">
        <f>'C-FCL Real'!AS35</f>
        <v>177779.52876137043</v>
      </c>
      <c r="AX16" s="1544">
        <f>'C-FCL Real'!AT35</f>
        <v>178615.09254654887</v>
      </c>
      <c r="AY16" s="1544">
        <f>'C-FCL Real'!AU35</f>
        <v>179454.58348151765</v>
      </c>
      <c r="AZ16" s="1544">
        <f>'C-FCL Real'!AV35</f>
        <v>180298.02002388076</v>
      </c>
      <c r="BA16" s="1544">
        <f>'C-FCL Real'!AW35</f>
        <v>181145.42071799299</v>
      </c>
      <c r="BB16" s="1544">
        <f>'C-FCL Real'!AX35</f>
        <v>181996.80419536756</v>
      </c>
      <c r="BC16" s="1544">
        <f>'C-FCL Real'!AY35</f>
        <v>182852.18917508578</v>
      </c>
      <c r="BD16" s="1544">
        <f>'C-FCL Real'!AZ35</f>
        <v>183711.59446420867</v>
      </c>
      <c r="BE16" s="1544">
        <f>'C-FCL Real'!BA35</f>
        <v>184575.03895819045</v>
      </c>
      <c r="BF16" s="1544">
        <f>'C-FCL Real'!BB35</f>
        <v>185442.54164129394</v>
      </c>
      <c r="BG16" s="1544">
        <f>'C-FCL Real'!BC35</f>
        <v>186314.12158700801</v>
      </c>
      <c r="BH16" s="1544">
        <f>'C-FCL Real'!BD35</f>
        <v>0</v>
      </c>
    </row>
    <row r="17" spans="1:60" ht="15" hidden="1" customHeight="1" outlineLevel="1" x14ac:dyDescent="0.25">
      <c r="A17" s="35"/>
      <c r="B17" s="1548"/>
      <c r="C17" s="1562"/>
      <c r="D17" s="1558"/>
      <c r="E17" s="1500"/>
      <c r="F17" s="1500"/>
      <c r="G17" s="1500"/>
      <c r="H17" s="1500"/>
      <c r="I17" s="1500"/>
      <c r="J17" s="1500"/>
      <c r="K17" s="1500"/>
      <c r="L17" s="1500"/>
      <c r="M17" s="1500"/>
      <c r="N17" s="1500"/>
      <c r="O17" s="1500"/>
      <c r="P17" s="1500"/>
      <c r="Q17" s="1500"/>
      <c r="R17" s="1500"/>
      <c r="S17" s="1500"/>
      <c r="T17" s="1500"/>
      <c r="U17" s="1500"/>
      <c r="V17" s="1500"/>
      <c r="W17" s="1500"/>
      <c r="X17" s="1500"/>
      <c r="Y17" s="1500"/>
      <c r="Z17" s="1500"/>
      <c r="AA17" s="1500"/>
      <c r="AB17" s="1500"/>
      <c r="AC17" s="1500"/>
      <c r="AD17" s="1500"/>
      <c r="AE17" s="1500"/>
      <c r="AF17" s="1500"/>
      <c r="AG17" s="1500"/>
      <c r="AH17" s="1500"/>
      <c r="AI17" s="1500"/>
      <c r="AJ17" s="1500"/>
    </row>
    <row r="18" spans="1:60" ht="15" hidden="1" customHeight="1" outlineLevel="1" x14ac:dyDescent="0.25">
      <c r="A18" s="1575">
        <f>C18*1000000/$C$16</f>
        <v>56.741909637899042</v>
      </c>
      <c r="B18" s="1549" t="str">
        <f>'C-FCL Real'!B63</f>
        <v>Dados de Capex</v>
      </c>
      <c r="C18" s="1563">
        <f>SUMIF($D$15:$BG$15,1,D18:BG18)</f>
        <v>311.76528420469043</v>
      </c>
      <c r="D18" s="1559">
        <f>'C-FCL Real'!C63</f>
        <v>79.308724236660794</v>
      </c>
      <c r="E18" s="48">
        <f>'C-FCL Real'!D63</f>
        <v>121.06304957243202</v>
      </c>
      <c r="F18" s="48">
        <f>'C-FCL Real'!E63</f>
        <v>111.3935103955976</v>
      </c>
      <c r="G18" s="48">
        <f>'C-FCL Real'!F63</f>
        <v>0</v>
      </c>
      <c r="H18" s="48">
        <f>'C-FCL Real'!G63</f>
        <v>0</v>
      </c>
      <c r="I18" s="48">
        <f>'C-FCL Real'!H63</f>
        <v>0</v>
      </c>
      <c r="J18" s="48">
        <f>'C-FCL Real'!I63</f>
        <v>0</v>
      </c>
      <c r="K18" s="48">
        <f>'C-FCL Real'!J63</f>
        <v>0</v>
      </c>
      <c r="L18" s="48">
        <f>'C-FCL Real'!K63</f>
        <v>0</v>
      </c>
      <c r="M18" s="48">
        <f>'C-FCL Real'!L63</f>
        <v>0</v>
      </c>
      <c r="N18" s="48">
        <f>'C-FCL Real'!M63</f>
        <v>0</v>
      </c>
      <c r="O18" s="48">
        <f>'C-FCL Real'!N63</f>
        <v>0</v>
      </c>
      <c r="P18" s="48">
        <f>'C-FCL Real'!O63</f>
        <v>0</v>
      </c>
      <c r="Q18" s="48">
        <f>'C-FCL Real'!P63</f>
        <v>0</v>
      </c>
      <c r="R18" s="48">
        <f>'C-FCL Real'!Q63</f>
        <v>0</v>
      </c>
      <c r="S18" s="48">
        <f>'C-FCL Real'!O63</f>
        <v>0</v>
      </c>
      <c r="T18" s="48">
        <f>'C-FCL Real'!P63</f>
        <v>0</v>
      </c>
      <c r="U18" s="48">
        <f>'C-FCL Real'!Q63</f>
        <v>0</v>
      </c>
      <c r="V18" s="48">
        <f>'C-FCL Real'!R63</f>
        <v>0</v>
      </c>
      <c r="W18" s="48">
        <f>'C-FCL Real'!S63</f>
        <v>0</v>
      </c>
      <c r="X18" s="48">
        <f>'C-FCL Real'!T63</f>
        <v>0</v>
      </c>
      <c r="Y18" s="48">
        <f>'C-FCL Real'!U63</f>
        <v>0</v>
      </c>
      <c r="Z18" s="48">
        <f>'C-FCL Real'!V63</f>
        <v>0</v>
      </c>
      <c r="AA18" s="48">
        <f>'C-FCL Real'!W63</f>
        <v>0</v>
      </c>
      <c r="AB18" s="48">
        <f>'C-FCL Real'!X63</f>
        <v>0</v>
      </c>
      <c r="AC18" s="48">
        <f>'C-FCL Real'!Y63</f>
        <v>0</v>
      </c>
      <c r="AD18" s="48">
        <f>'C-FCL Real'!Z63</f>
        <v>0</v>
      </c>
      <c r="AE18" s="48">
        <f>'C-FCL Real'!AA63</f>
        <v>0</v>
      </c>
      <c r="AF18" s="48">
        <f>'C-FCL Real'!AB63</f>
        <v>0</v>
      </c>
      <c r="AG18" s="48">
        <f>'C-FCL Real'!AC63</f>
        <v>0</v>
      </c>
      <c r="AH18" s="48">
        <f>'C-FCL Real'!AD63</f>
        <v>0</v>
      </c>
      <c r="AI18" s="48">
        <f>'C-FCL Real'!AE63</f>
        <v>0</v>
      </c>
      <c r="AJ18" s="48">
        <f>'C-FCL Real'!AF63</f>
        <v>0</v>
      </c>
      <c r="AK18" s="48">
        <f>'C-FCL Real'!AG63</f>
        <v>0</v>
      </c>
      <c r="AL18" s="48">
        <f>'C-FCL Real'!AH63</f>
        <v>0</v>
      </c>
      <c r="AM18" s="48">
        <f>'C-FCL Real'!AI63</f>
        <v>0</v>
      </c>
      <c r="AN18" s="48">
        <f>'C-FCL Real'!AJ63</f>
        <v>0</v>
      </c>
      <c r="AO18" s="48">
        <f>'C-FCL Real'!AK63</f>
        <v>0</v>
      </c>
      <c r="AP18" s="48">
        <f>'C-FCL Real'!AL63</f>
        <v>0</v>
      </c>
      <c r="AQ18" s="48">
        <f>'C-FCL Real'!AM63</f>
        <v>0</v>
      </c>
      <c r="AR18" s="48">
        <f>'C-FCL Real'!AN63</f>
        <v>0</v>
      </c>
      <c r="AS18" s="48">
        <f>'C-FCL Real'!AO63</f>
        <v>0</v>
      </c>
      <c r="AT18" s="48">
        <f>'C-FCL Real'!AP63</f>
        <v>0</v>
      </c>
      <c r="AU18" s="48">
        <f>'C-FCL Real'!AQ63</f>
        <v>0</v>
      </c>
      <c r="AV18" s="48">
        <f>'C-FCL Real'!AR63</f>
        <v>0</v>
      </c>
      <c r="AW18" s="48">
        <f>'C-FCL Real'!AS63</f>
        <v>0</v>
      </c>
      <c r="AX18" s="48">
        <f>'C-FCL Real'!AT63</f>
        <v>0</v>
      </c>
      <c r="AY18" s="48">
        <f>'C-FCL Real'!AU63</f>
        <v>0</v>
      </c>
      <c r="AZ18" s="48">
        <f>'C-FCL Real'!AV63</f>
        <v>0</v>
      </c>
      <c r="BA18" s="48">
        <f>'C-FCL Real'!AW63</f>
        <v>0</v>
      </c>
      <c r="BB18" s="48">
        <f>'C-FCL Real'!AX63</f>
        <v>0</v>
      </c>
      <c r="BC18" s="48">
        <f>'C-FCL Real'!AY63</f>
        <v>0</v>
      </c>
      <c r="BD18" s="48">
        <f>'C-FCL Real'!AZ63</f>
        <v>0</v>
      </c>
      <c r="BE18" s="48">
        <f>'C-FCL Real'!BA63</f>
        <v>0</v>
      </c>
      <c r="BF18" s="48">
        <f>'C-FCL Real'!BB63</f>
        <v>0</v>
      </c>
      <c r="BG18" s="48">
        <f>'C-FCL Real'!BC63</f>
        <v>0</v>
      </c>
      <c r="BH18" s="48">
        <f>'C-FCL Real'!BD63</f>
        <v>0</v>
      </c>
    </row>
    <row r="19" spans="1:60" ht="15" hidden="1" customHeight="1" outlineLevel="1" x14ac:dyDescent="0.25">
      <c r="A19" s="1575">
        <f>C19*1000000/$C$16</f>
        <v>51.705767849370375</v>
      </c>
      <c r="B19" s="1596" t="s">
        <v>914</v>
      </c>
      <c r="C19" s="1562">
        <f>SUMIF($D$15:$BG$15,1,D19:BG19)</f>
        <v>284.09448168825446</v>
      </c>
      <c r="D19" s="1559">
        <f t="shared" ref="D19:AJ19" si="0">NPV($C$8,D18:D18)</f>
        <v>72.269659410115551</v>
      </c>
      <c r="E19" s="48">
        <f t="shared" si="0"/>
        <v>110.31806959397852</v>
      </c>
      <c r="F19" s="48">
        <f t="shared" si="0"/>
        <v>101.50675268416039</v>
      </c>
      <c r="G19" s="48">
        <f t="shared" si="0"/>
        <v>0</v>
      </c>
      <c r="H19" s="48">
        <f t="shared" si="0"/>
        <v>0</v>
      </c>
      <c r="I19" s="48">
        <f t="shared" si="0"/>
        <v>0</v>
      </c>
      <c r="J19" s="48">
        <f t="shared" si="0"/>
        <v>0</v>
      </c>
      <c r="K19" s="48">
        <f t="shared" si="0"/>
        <v>0</v>
      </c>
      <c r="L19" s="48">
        <f t="shared" si="0"/>
        <v>0</v>
      </c>
      <c r="M19" s="48">
        <f t="shared" si="0"/>
        <v>0</v>
      </c>
      <c r="N19" s="48">
        <f t="shared" si="0"/>
        <v>0</v>
      </c>
      <c r="O19" s="48">
        <f t="shared" si="0"/>
        <v>0</v>
      </c>
      <c r="P19" s="48">
        <f t="shared" si="0"/>
        <v>0</v>
      </c>
      <c r="Q19" s="48">
        <f t="shared" si="0"/>
        <v>0</v>
      </c>
      <c r="R19" s="48">
        <f t="shared" si="0"/>
        <v>0</v>
      </c>
      <c r="S19" s="48">
        <f t="shared" si="0"/>
        <v>0</v>
      </c>
      <c r="T19" s="48">
        <f t="shared" si="0"/>
        <v>0</v>
      </c>
      <c r="U19" s="48">
        <f t="shared" si="0"/>
        <v>0</v>
      </c>
      <c r="V19" s="48">
        <f t="shared" si="0"/>
        <v>0</v>
      </c>
      <c r="W19" s="48">
        <f t="shared" si="0"/>
        <v>0</v>
      </c>
      <c r="X19" s="48">
        <f t="shared" si="0"/>
        <v>0</v>
      </c>
      <c r="Y19" s="48">
        <f t="shared" si="0"/>
        <v>0</v>
      </c>
      <c r="Z19" s="48">
        <f t="shared" si="0"/>
        <v>0</v>
      </c>
      <c r="AA19" s="48">
        <f t="shared" si="0"/>
        <v>0</v>
      </c>
      <c r="AB19" s="48">
        <f t="shared" si="0"/>
        <v>0</v>
      </c>
      <c r="AC19" s="48">
        <f t="shared" si="0"/>
        <v>0</v>
      </c>
      <c r="AD19" s="48">
        <f t="shared" si="0"/>
        <v>0</v>
      </c>
      <c r="AE19" s="48">
        <f t="shared" si="0"/>
        <v>0</v>
      </c>
      <c r="AF19" s="48">
        <f t="shared" si="0"/>
        <v>0</v>
      </c>
      <c r="AG19" s="48">
        <f t="shared" si="0"/>
        <v>0</v>
      </c>
      <c r="AH19" s="48">
        <f t="shared" si="0"/>
        <v>0</v>
      </c>
      <c r="AI19" s="48">
        <f t="shared" si="0"/>
        <v>0</v>
      </c>
      <c r="AJ19" s="48">
        <f t="shared" si="0"/>
        <v>0</v>
      </c>
      <c r="AK19" s="48"/>
      <c r="AL19" s="48"/>
      <c r="AM19" s="48"/>
      <c r="AN19" s="48"/>
      <c r="AO19" s="48"/>
      <c r="AP19" s="48"/>
      <c r="AQ19" s="48"/>
      <c r="AR19" s="48"/>
      <c r="AS19" s="48"/>
      <c r="AT19" s="48"/>
      <c r="AU19" s="48"/>
      <c r="AV19" s="48"/>
      <c r="AW19" s="48"/>
      <c r="AX19" s="48"/>
      <c r="AY19" s="48"/>
      <c r="AZ19" s="48"/>
      <c r="BA19" s="48"/>
      <c r="BB19" s="48"/>
      <c r="BC19" s="48"/>
      <c r="BD19" s="48"/>
      <c r="BE19" s="48"/>
      <c r="BF19" s="48"/>
      <c r="BG19" s="48"/>
      <c r="BH19" s="48"/>
    </row>
    <row r="20" spans="1:60" ht="15" hidden="1" customHeight="1" outlineLevel="1" x14ac:dyDescent="0.25">
      <c r="A20" s="1575"/>
      <c r="B20" s="749"/>
      <c r="C20" s="1564">
        <f>C18*1000000/(C16/C43)</f>
        <v>1985.9668373264667</v>
      </c>
      <c r="D20" s="1559"/>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48"/>
      <c r="BA20" s="48"/>
      <c r="BB20" s="48"/>
      <c r="BC20" s="48"/>
      <c r="BD20" s="48"/>
      <c r="BE20" s="48"/>
      <c r="BF20" s="48"/>
      <c r="BG20" s="48"/>
      <c r="BH20" s="48"/>
    </row>
    <row r="21" spans="1:60" ht="15" hidden="1" customHeight="1" outlineLevel="1" x14ac:dyDescent="0.25">
      <c r="A21" s="1575">
        <f>C21*1000000/$C$16</f>
        <v>188.45072587356287</v>
      </c>
      <c r="B21" s="1549" t="str">
        <f>'C-FCL Real'!B119</f>
        <v>Dados de Opex + Gestão do Contrato</v>
      </c>
      <c r="C21" s="1563">
        <f>SUMIF($D$15:$BG$15,1,D21:BG21)</f>
        <v>1035.4320904157526</v>
      </c>
      <c r="D21" s="1559">
        <f>'C-FCL Real'!C119</f>
        <v>3.5536859999999999</v>
      </c>
      <c r="E21" s="48">
        <f>'C-FCL Real'!D119</f>
        <v>3.5536859999999999</v>
      </c>
      <c r="F21" s="48">
        <f>'C-FCL Real'!E119</f>
        <v>3.5536859999999999</v>
      </c>
      <c r="G21" s="48">
        <f>'C-FCL Real'!F119</f>
        <v>32.024094762992277</v>
      </c>
      <c r="H21" s="48">
        <f>'C-FCL Real'!G119</f>
        <v>32.024094762992277</v>
      </c>
      <c r="I21" s="48">
        <f>'C-FCL Real'!H119</f>
        <v>32.024094762992277</v>
      </c>
      <c r="J21" s="48">
        <f>'C-FCL Real'!I119</f>
        <v>32.024094762992277</v>
      </c>
      <c r="K21" s="48">
        <f>'C-FCL Real'!J119</f>
        <v>32.024094762992277</v>
      </c>
      <c r="L21" s="48">
        <f>'C-FCL Real'!K119</f>
        <v>32.024094762992277</v>
      </c>
      <c r="M21" s="48">
        <f>'C-FCL Real'!L119</f>
        <v>32.024094762992277</v>
      </c>
      <c r="N21" s="48">
        <f>'C-FCL Real'!M119</f>
        <v>32.024094762992277</v>
      </c>
      <c r="O21" s="48">
        <f>'C-FCL Real'!N119</f>
        <v>32.024094762992277</v>
      </c>
      <c r="P21" s="48">
        <f>'C-FCL Real'!O119</f>
        <v>32.024094762992277</v>
      </c>
      <c r="Q21" s="48">
        <f>'C-FCL Real'!P119</f>
        <v>32.024094762992277</v>
      </c>
      <c r="R21" s="48">
        <f>'C-FCL Real'!Q119</f>
        <v>32.024094762992277</v>
      </c>
      <c r="S21" s="48">
        <f>'C-FCL Real'!O119</f>
        <v>32.024094762992277</v>
      </c>
      <c r="T21" s="48">
        <f>'C-FCL Real'!P119</f>
        <v>32.024094762992277</v>
      </c>
      <c r="U21" s="48">
        <f>'C-FCL Real'!Q119</f>
        <v>32.024094762992277</v>
      </c>
      <c r="V21" s="48">
        <f>'C-FCL Real'!R119</f>
        <v>32.024094762992277</v>
      </c>
      <c r="W21" s="48">
        <f>'C-FCL Real'!S119</f>
        <v>32.024094762992277</v>
      </c>
      <c r="X21" s="48">
        <f>'C-FCL Real'!T119</f>
        <v>32.024094762992277</v>
      </c>
      <c r="Y21" s="48">
        <f>'C-FCL Real'!U119</f>
        <v>32.024094762992277</v>
      </c>
      <c r="Z21" s="48">
        <f>'C-FCL Real'!V119</f>
        <v>32.024094762992277</v>
      </c>
      <c r="AA21" s="48">
        <f>'C-FCL Real'!W119</f>
        <v>32.024094762992277</v>
      </c>
      <c r="AB21" s="48">
        <f>'C-FCL Real'!X119</f>
        <v>32.024094762992277</v>
      </c>
      <c r="AC21" s="48">
        <f>'C-FCL Real'!Y119</f>
        <v>32.024094762992277</v>
      </c>
      <c r="AD21" s="48">
        <f>'C-FCL Real'!Z119</f>
        <v>32.024094762992277</v>
      </c>
      <c r="AE21" s="48">
        <f>'C-FCL Real'!AA119</f>
        <v>32.024094762992277</v>
      </c>
      <c r="AF21" s="48">
        <f>'C-FCL Real'!AB119</f>
        <v>32.024094762992277</v>
      </c>
      <c r="AG21" s="48">
        <f>'C-FCL Real'!AC119</f>
        <v>32.024094762992277</v>
      </c>
      <c r="AH21" s="48">
        <f>'C-FCL Real'!AD119</f>
        <v>32.024094762992277</v>
      </c>
      <c r="AI21" s="48">
        <f>'C-FCL Real'!AE119</f>
        <v>32.024094762992277</v>
      </c>
      <c r="AJ21" s="48">
        <f>'C-FCL Real'!AF119</f>
        <v>32.024094762992277</v>
      </c>
      <c r="AK21" s="48">
        <f>'C-FCL Real'!AG119</f>
        <v>32.024094762992277</v>
      </c>
      <c r="AL21" s="48">
        <f>'C-FCL Real'!AH119</f>
        <v>32.024094762992277</v>
      </c>
      <c r="AM21" s="48">
        <f>'C-FCL Real'!AI119</f>
        <v>32.024094762992277</v>
      </c>
      <c r="AN21" s="48">
        <f>'C-FCL Real'!AJ119</f>
        <v>32.024094762992277</v>
      </c>
      <c r="AO21" s="48">
        <f>'C-FCL Real'!AK119</f>
        <v>32.024094762992277</v>
      </c>
      <c r="AP21" s="48">
        <f>'C-FCL Real'!AL119</f>
        <v>32.024094762992277</v>
      </c>
      <c r="AQ21" s="48">
        <f>'C-FCL Real'!AM119</f>
        <v>32.024094762992277</v>
      </c>
      <c r="AR21" s="48">
        <f>'C-FCL Real'!AN119</f>
        <v>32.024094762992277</v>
      </c>
      <c r="AS21" s="48">
        <f>'C-FCL Real'!AO119</f>
        <v>32.024094762992277</v>
      </c>
      <c r="AT21" s="48">
        <f>'C-FCL Real'!AP119</f>
        <v>32.024094762992277</v>
      </c>
      <c r="AU21" s="48">
        <f>'C-FCL Real'!AQ119</f>
        <v>32.024094762992277</v>
      </c>
      <c r="AV21" s="48">
        <f>'C-FCL Real'!AR119</f>
        <v>32.024094762992277</v>
      </c>
      <c r="AW21" s="48">
        <f>'C-FCL Real'!AS119</f>
        <v>32.024094762992277</v>
      </c>
      <c r="AX21" s="48">
        <f>'C-FCL Real'!AT119</f>
        <v>32.024094762992277</v>
      </c>
      <c r="AY21" s="48">
        <f>'C-FCL Real'!AU119</f>
        <v>32.024094762992277</v>
      </c>
      <c r="AZ21" s="48">
        <f>'C-FCL Real'!AV119</f>
        <v>32.024094762992277</v>
      </c>
      <c r="BA21" s="48">
        <f>'C-FCL Real'!AW119</f>
        <v>32.024094762992277</v>
      </c>
      <c r="BB21" s="48">
        <f>'C-FCL Real'!AX119</f>
        <v>32.024094762992277</v>
      </c>
      <c r="BC21" s="48">
        <f>'C-FCL Real'!AY119</f>
        <v>32.024094762992277</v>
      </c>
      <c r="BD21" s="48">
        <f>'C-FCL Real'!AZ119</f>
        <v>32.024094762992277</v>
      </c>
      <c r="BE21" s="48">
        <f>'C-FCL Real'!BA119</f>
        <v>32.024094762992277</v>
      </c>
      <c r="BF21" s="48">
        <f>'C-FCL Real'!BB119</f>
        <v>32.024094762992277</v>
      </c>
      <c r="BG21" s="48">
        <f>'C-FCL Real'!BC119</f>
        <v>32.024094762992277</v>
      </c>
      <c r="BH21" s="48">
        <f>'C-FCL Real'!BD119</f>
        <v>0</v>
      </c>
    </row>
    <row r="22" spans="1:60" ht="15" hidden="1" customHeight="1" outlineLevel="1" x14ac:dyDescent="0.25">
      <c r="A22" s="1575">
        <f>C22*1000000/$C$16</f>
        <v>161.10244795262713</v>
      </c>
      <c r="B22" s="1596" t="s">
        <v>915</v>
      </c>
      <c r="C22" s="1562">
        <f>SUMIF($D$15:$BG$15,1,D22:BG22)</f>
        <v>885.16848996698388</v>
      </c>
      <c r="D22" s="1559">
        <f t="shared" ref="D22:AJ22" si="1">NPV($C$8,D21:D21)</f>
        <v>3.2382777474029525</v>
      </c>
      <c r="E22" s="48">
        <f t="shared" si="1"/>
        <v>3.2382777474029525</v>
      </c>
      <c r="F22" s="48">
        <f t="shared" si="1"/>
        <v>3.2382777474029525</v>
      </c>
      <c r="G22" s="48">
        <f t="shared" si="1"/>
        <v>29.18178855749251</v>
      </c>
      <c r="H22" s="48">
        <f t="shared" si="1"/>
        <v>29.18178855749251</v>
      </c>
      <c r="I22" s="48">
        <f t="shared" si="1"/>
        <v>29.18178855749251</v>
      </c>
      <c r="J22" s="48">
        <f t="shared" si="1"/>
        <v>29.18178855749251</v>
      </c>
      <c r="K22" s="48">
        <f t="shared" si="1"/>
        <v>29.18178855749251</v>
      </c>
      <c r="L22" s="48">
        <f t="shared" si="1"/>
        <v>29.18178855749251</v>
      </c>
      <c r="M22" s="48">
        <f t="shared" si="1"/>
        <v>29.18178855749251</v>
      </c>
      <c r="N22" s="48">
        <f t="shared" si="1"/>
        <v>29.18178855749251</v>
      </c>
      <c r="O22" s="48">
        <f t="shared" si="1"/>
        <v>29.18178855749251</v>
      </c>
      <c r="P22" s="48">
        <f t="shared" si="1"/>
        <v>29.18178855749251</v>
      </c>
      <c r="Q22" s="48">
        <f t="shared" si="1"/>
        <v>29.18178855749251</v>
      </c>
      <c r="R22" s="48">
        <f t="shared" si="1"/>
        <v>29.18178855749251</v>
      </c>
      <c r="S22" s="48">
        <f t="shared" si="1"/>
        <v>29.18178855749251</v>
      </c>
      <c r="T22" s="48">
        <f t="shared" si="1"/>
        <v>29.18178855749251</v>
      </c>
      <c r="U22" s="48">
        <f t="shared" si="1"/>
        <v>29.18178855749251</v>
      </c>
      <c r="V22" s="48">
        <f t="shared" si="1"/>
        <v>29.18178855749251</v>
      </c>
      <c r="W22" s="48">
        <f t="shared" si="1"/>
        <v>29.18178855749251</v>
      </c>
      <c r="X22" s="48">
        <f t="shared" si="1"/>
        <v>29.18178855749251</v>
      </c>
      <c r="Y22" s="48">
        <f t="shared" si="1"/>
        <v>29.18178855749251</v>
      </c>
      <c r="Z22" s="48">
        <f t="shared" si="1"/>
        <v>29.18178855749251</v>
      </c>
      <c r="AA22" s="48">
        <f t="shared" si="1"/>
        <v>29.18178855749251</v>
      </c>
      <c r="AB22" s="48">
        <f t="shared" si="1"/>
        <v>29.18178855749251</v>
      </c>
      <c r="AC22" s="48">
        <f t="shared" si="1"/>
        <v>29.18178855749251</v>
      </c>
      <c r="AD22" s="48">
        <f t="shared" si="1"/>
        <v>29.18178855749251</v>
      </c>
      <c r="AE22" s="48">
        <f t="shared" si="1"/>
        <v>29.18178855749251</v>
      </c>
      <c r="AF22" s="48">
        <f t="shared" si="1"/>
        <v>29.18178855749251</v>
      </c>
      <c r="AG22" s="48">
        <f t="shared" si="1"/>
        <v>29.18178855749251</v>
      </c>
      <c r="AH22" s="48">
        <f t="shared" si="1"/>
        <v>29.18178855749251</v>
      </c>
      <c r="AI22" s="48">
        <f t="shared" si="1"/>
        <v>29.18178855749251</v>
      </c>
      <c r="AJ22" s="48">
        <f t="shared" si="1"/>
        <v>29.18178855749251</v>
      </c>
      <c r="AK22" s="48"/>
      <c r="AL22" s="48"/>
      <c r="AM22" s="48"/>
      <c r="AN22" s="48"/>
      <c r="AO22" s="48"/>
      <c r="AP22" s="48"/>
      <c r="AQ22" s="48"/>
      <c r="AR22" s="48"/>
      <c r="AS22" s="48"/>
      <c r="AT22" s="48"/>
      <c r="AU22" s="48"/>
      <c r="AV22" s="48"/>
      <c r="AW22" s="48"/>
      <c r="AX22" s="48"/>
      <c r="AY22" s="48"/>
      <c r="AZ22" s="48"/>
      <c r="BA22" s="48"/>
      <c r="BB22" s="48"/>
      <c r="BC22" s="48"/>
      <c r="BD22" s="48"/>
      <c r="BE22" s="48"/>
      <c r="BF22" s="48"/>
      <c r="BG22" s="48"/>
      <c r="BH22" s="48"/>
    </row>
    <row r="23" spans="1:60" ht="15" hidden="1" customHeight="1" outlineLevel="1" x14ac:dyDescent="0.25">
      <c r="A23" s="1575"/>
      <c r="B23" s="1548"/>
      <c r="C23" s="1543">
        <f>C21*1000000/C16</f>
        <v>188.45072587356287</v>
      </c>
      <c r="D23" s="1559"/>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48"/>
      <c r="BA23" s="48"/>
      <c r="BB23" s="48"/>
      <c r="BC23" s="48"/>
      <c r="BD23" s="48"/>
      <c r="BE23" s="48"/>
      <c r="BF23" s="48"/>
      <c r="BG23" s="48"/>
      <c r="BH23" s="48"/>
    </row>
    <row r="24" spans="1:60" ht="15" hidden="1" customHeight="1" outlineLevel="1" x14ac:dyDescent="0.25">
      <c r="A24" s="1575">
        <f>C24*1000000/$C$16</f>
        <v>0</v>
      </c>
      <c r="B24" s="1549" t="s">
        <v>950</v>
      </c>
      <c r="C24" s="1563">
        <f>SUMIF($D$15:$BG$15,1,D24:BG24)</f>
        <v>0</v>
      </c>
      <c r="D24" s="1559">
        <f>'C-FCL Real'!C121</f>
        <v>0</v>
      </c>
      <c r="E24" s="48">
        <f>'C-FCL Real'!D121</f>
        <v>0</v>
      </c>
      <c r="F24" s="48">
        <f>'C-FCL Real'!E121</f>
        <v>0</v>
      </c>
      <c r="G24" s="48">
        <f>'C-FCL Real'!F121</f>
        <v>0</v>
      </c>
      <c r="H24" s="48">
        <f>'C-FCL Real'!G121</f>
        <v>0</v>
      </c>
      <c r="I24" s="48">
        <f>'C-FCL Real'!H121</f>
        <v>0</v>
      </c>
      <c r="J24" s="48">
        <f>'C-FCL Real'!I121</f>
        <v>0</v>
      </c>
      <c r="K24" s="48">
        <f>'C-FCL Real'!J121</f>
        <v>0</v>
      </c>
      <c r="L24" s="48">
        <f>'C-FCL Real'!K121</f>
        <v>0</v>
      </c>
      <c r="M24" s="48">
        <f>'C-FCL Real'!L121</f>
        <v>0</v>
      </c>
      <c r="N24" s="48">
        <f>'C-FCL Real'!M121</f>
        <v>0</v>
      </c>
      <c r="O24" s="48">
        <f>'C-FCL Real'!N121</f>
        <v>0</v>
      </c>
      <c r="P24" s="48">
        <f>'C-FCL Real'!O121</f>
        <v>0</v>
      </c>
      <c r="Q24" s="48">
        <f>'C-FCL Real'!P121</f>
        <v>0</v>
      </c>
      <c r="R24" s="48">
        <f>'C-FCL Real'!Q121</f>
        <v>0</v>
      </c>
      <c r="S24" s="48">
        <f>'C-FCL Real'!O121</f>
        <v>0</v>
      </c>
      <c r="T24" s="48">
        <f>'C-FCL Real'!P121</f>
        <v>0</v>
      </c>
      <c r="U24" s="48">
        <f>'C-FCL Real'!Q121</f>
        <v>0</v>
      </c>
      <c r="V24" s="48">
        <f>'C-FCL Real'!R121</f>
        <v>0</v>
      </c>
      <c r="W24" s="48">
        <f>'C-FCL Real'!S121</f>
        <v>0</v>
      </c>
      <c r="X24" s="48">
        <f>'C-FCL Real'!T121</f>
        <v>0</v>
      </c>
      <c r="Y24" s="48">
        <f>'C-FCL Real'!U121</f>
        <v>0</v>
      </c>
      <c r="Z24" s="48">
        <f>'C-FCL Real'!V121</f>
        <v>0</v>
      </c>
      <c r="AA24" s="48">
        <f>'C-FCL Real'!W121</f>
        <v>0</v>
      </c>
      <c r="AB24" s="48">
        <f>'C-FCL Real'!X121</f>
        <v>0</v>
      </c>
      <c r="AC24" s="48">
        <f>'C-FCL Real'!Y121</f>
        <v>0</v>
      </c>
      <c r="AD24" s="48">
        <f>'C-FCL Real'!Z121</f>
        <v>0</v>
      </c>
      <c r="AE24" s="48">
        <f>'C-FCL Real'!AA121</f>
        <v>0</v>
      </c>
      <c r="AF24" s="48">
        <f>'C-FCL Real'!AB121</f>
        <v>0</v>
      </c>
      <c r="AG24" s="48">
        <f>'C-FCL Real'!AC121</f>
        <v>0</v>
      </c>
      <c r="AH24" s="48">
        <f>'C-FCL Real'!AD121</f>
        <v>0</v>
      </c>
      <c r="AI24" s="48">
        <f>'C-FCL Real'!AE121</f>
        <v>0</v>
      </c>
      <c r="AJ24" s="48">
        <f>'C-FCL Real'!AF121</f>
        <v>0</v>
      </c>
      <c r="AK24" s="48">
        <f>'C-FCL Real'!AG121</f>
        <v>0</v>
      </c>
      <c r="AL24" s="48">
        <f>'C-FCL Real'!AH121</f>
        <v>0</v>
      </c>
      <c r="AM24" s="48">
        <f>'C-FCL Real'!AI121</f>
        <v>0</v>
      </c>
      <c r="AN24" s="48">
        <f>'C-FCL Real'!AJ121</f>
        <v>0</v>
      </c>
      <c r="AO24" s="48">
        <f>'C-FCL Real'!AK121</f>
        <v>0</v>
      </c>
      <c r="AP24" s="48">
        <f>'C-FCL Real'!AL121</f>
        <v>0</v>
      </c>
      <c r="AQ24" s="48">
        <f>'C-FCL Real'!AM121</f>
        <v>0</v>
      </c>
      <c r="AR24" s="48">
        <f>'C-FCL Real'!AN121</f>
        <v>0</v>
      </c>
      <c r="AS24" s="48">
        <f>'C-FCL Real'!AO121</f>
        <v>0</v>
      </c>
      <c r="AT24" s="48">
        <f>'C-FCL Real'!AP121</f>
        <v>0</v>
      </c>
      <c r="AU24" s="48">
        <f>'C-FCL Real'!AQ121</f>
        <v>0</v>
      </c>
      <c r="AV24" s="48">
        <f>'C-FCL Real'!AR121</f>
        <v>0</v>
      </c>
      <c r="AW24" s="48">
        <f>'C-FCL Real'!AS121</f>
        <v>0</v>
      </c>
      <c r="AX24" s="48">
        <f>'C-FCL Real'!AT121</f>
        <v>0</v>
      </c>
      <c r="AY24" s="48">
        <f>'C-FCL Real'!AU121</f>
        <v>0</v>
      </c>
      <c r="AZ24" s="48">
        <f>'C-FCL Real'!AV121</f>
        <v>0</v>
      </c>
      <c r="BA24" s="48">
        <f>'C-FCL Real'!AW121</f>
        <v>0</v>
      </c>
      <c r="BB24" s="48">
        <f>'C-FCL Real'!AX121</f>
        <v>0</v>
      </c>
      <c r="BC24" s="48">
        <f>'C-FCL Real'!AY121</f>
        <v>0</v>
      </c>
      <c r="BD24" s="48">
        <f>'C-FCL Real'!AZ121</f>
        <v>0</v>
      </c>
      <c r="BE24" s="48">
        <f>'C-FCL Real'!BA121</f>
        <v>0</v>
      </c>
      <c r="BF24" s="48">
        <f>'C-FCL Real'!BB121</f>
        <v>0</v>
      </c>
      <c r="BG24" s="48">
        <f>'C-FCL Real'!BC121</f>
        <v>0</v>
      </c>
      <c r="BH24" s="48">
        <f>'C-FCL Real'!BD121</f>
        <v>0</v>
      </c>
    </row>
    <row r="25" spans="1:60" ht="15" hidden="1" customHeight="1" outlineLevel="1" x14ac:dyDescent="0.25">
      <c r="A25" s="1575">
        <f>C25*1000000/$C$16</f>
        <v>0</v>
      </c>
      <c r="B25" s="1596" t="s">
        <v>949</v>
      </c>
      <c r="C25" s="1562">
        <f>SUMIF($D$15:$BG$15,1,D25:BG25)</f>
        <v>0</v>
      </c>
      <c r="D25" s="1559">
        <f t="shared" ref="D25:AJ25" si="2">NPV($C$8,D24:D24)</f>
        <v>0</v>
      </c>
      <c r="E25" s="48">
        <f t="shared" si="2"/>
        <v>0</v>
      </c>
      <c r="F25" s="48">
        <f t="shared" si="2"/>
        <v>0</v>
      </c>
      <c r="G25" s="48">
        <f t="shared" si="2"/>
        <v>0</v>
      </c>
      <c r="H25" s="48">
        <f t="shared" si="2"/>
        <v>0</v>
      </c>
      <c r="I25" s="48">
        <f t="shared" si="2"/>
        <v>0</v>
      </c>
      <c r="J25" s="48">
        <f t="shared" si="2"/>
        <v>0</v>
      </c>
      <c r="K25" s="48">
        <f t="shared" si="2"/>
        <v>0</v>
      </c>
      <c r="L25" s="48">
        <f t="shared" si="2"/>
        <v>0</v>
      </c>
      <c r="M25" s="48">
        <f t="shared" si="2"/>
        <v>0</v>
      </c>
      <c r="N25" s="48">
        <f t="shared" si="2"/>
        <v>0</v>
      </c>
      <c r="O25" s="48">
        <f t="shared" si="2"/>
        <v>0</v>
      </c>
      <c r="P25" s="48">
        <f t="shared" si="2"/>
        <v>0</v>
      </c>
      <c r="Q25" s="48">
        <f t="shared" si="2"/>
        <v>0</v>
      </c>
      <c r="R25" s="48">
        <f t="shared" si="2"/>
        <v>0</v>
      </c>
      <c r="S25" s="48">
        <f t="shared" si="2"/>
        <v>0</v>
      </c>
      <c r="T25" s="48">
        <f t="shared" si="2"/>
        <v>0</v>
      </c>
      <c r="U25" s="48">
        <f t="shared" si="2"/>
        <v>0</v>
      </c>
      <c r="V25" s="48">
        <f t="shared" si="2"/>
        <v>0</v>
      </c>
      <c r="W25" s="48">
        <f t="shared" si="2"/>
        <v>0</v>
      </c>
      <c r="X25" s="48">
        <f t="shared" si="2"/>
        <v>0</v>
      </c>
      <c r="Y25" s="48">
        <f t="shared" si="2"/>
        <v>0</v>
      </c>
      <c r="Z25" s="48">
        <f t="shared" si="2"/>
        <v>0</v>
      </c>
      <c r="AA25" s="48">
        <f t="shared" si="2"/>
        <v>0</v>
      </c>
      <c r="AB25" s="48">
        <f t="shared" si="2"/>
        <v>0</v>
      </c>
      <c r="AC25" s="48">
        <f t="shared" si="2"/>
        <v>0</v>
      </c>
      <c r="AD25" s="48">
        <f t="shared" si="2"/>
        <v>0</v>
      </c>
      <c r="AE25" s="48">
        <f t="shared" si="2"/>
        <v>0</v>
      </c>
      <c r="AF25" s="48">
        <f t="shared" si="2"/>
        <v>0</v>
      </c>
      <c r="AG25" s="48">
        <f t="shared" si="2"/>
        <v>0</v>
      </c>
      <c r="AH25" s="48">
        <f t="shared" si="2"/>
        <v>0</v>
      </c>
      <c r="AI25" s="48">
        <f t="shared" si="2"/>
        <v>0</v>
      </c>
      <c r="AJ25" s="48">
        <f t="shared" si="2"/>
        <v>0</v>
      </c>
      <c r="AK25" s="48"/>
      <c r="AL25" s="48"/>
      <c r="AM25" s="48"/>
      <c r="AN25" s="48"/>
      <c r="AO25" s="48"/>
      <c r="AP25" s="48"/>
      <c r="AQ25" s="48"/>
      <c r="AR25" s="48"/>
      <c r="AS25" s="48"/>
      <c r="AT25" s="48"/>
      <c r="AU25" s="48"/>
      <c r="AV25" s="48"/>
      <c r="AW25" s="48"/>
      <c r="AX25" s="48"/>
      <c r="AY25" s="48"/>
      <c r="AZ25" s="48"/>
      <c r="BA25" s="48"/>
      <c r="BB25" s="48"/>
      <c r="BC25" s="48"/>
      <c r="BD25" s="48"/>
      <c r="BE25" s="48"/>
      <c r="BF25" s="48"/>
      <c r="BG25" s="48"/>
      <c r="BH25" s="48"/>
    </row>
    <row r="26" spans="1:60" ht="15" hidden="1" customHeight="1" outlineLevel="1" x14ac:dyDescent="0.25">
      <c r="A26" s="1575"/>
      <c r="B26" s="1548"/>
      <c r="C26" s="1562"/>
      <c r="D26" s="1559"/>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48"/>
      <c r="BA26" s="48"/>
      <c r="BB26" s="48"/>
      <c r="BC26" s="48"/>
      <c r="BD26" s="48"/>
      <c r="BE26" s="48"/>
      <c r="BF26" s="48"/>
      <c r="BG26" s="48"/>
      <c r="BH26" s="48"/>
    </row>
    <row r="27" spans="1:60" ht="15" hidden="1" customHeight="1" outlineLevel="1" x14ac:dyDescent="0.25">
      <c r="A27" s="1575">
        <f>C27*1000000/$C$16</f>
        <v>251.19943332338045</v>
      </c>
      <c r="B27" s="1549" t="str">
        <f>'C-FCL Real'!B148</f>
        <v>Dados de Receitas Diretas</v>
      </c>
      <c r="C27" s="1563">
        <f>SUMIF($D$15:$BG$15,1,D27:BG27)</f>
        <v>1380.2013929720226</v>
      </c>
      <c r="D27" s="1559">
        <f>'C-FCL Real'!C148-D30</f>
        <v>36.675117265213558</v>
      </c>
      <c r="E27" s="48">
        <f>'C-FCL Real'!D148-E30</f>
        <v>36.847490316360059</v>
      </c>
      <c r="F27" s="48">
        <f>'C-FCL Real'!E148-F30</f>
        <v>37.020673520846941</v>
      </c>
      <c r="G27" s="48">
        <f>'C-FCL Real'!F148-G30</f>
        <v>37.194670686394929</v>
      </c>
      <c r="H27" s="48">
        <f>'C-FCL Real'!G148-H30</f>
        <v>37.369485638620979</v>
      </c>
      <c r="I27" s="48">
        <f>'C-FCL Real'!H148-I30</f>
        <v>37.545122221122497</v>
      </c>
      <c r="J27" s="48">
        <f>'C-FCL Real'!I148-J30</f>
        <v>37.721584295561769</v>
      </c>
      <c r="K27" s="48">
        <f>'C-FCL Real'!J148-K30</f>
        <v>37.898875741750906</v>
      </c>
      <c r="L27" s="48">
        <f>'C-FCL Real'!K148-L30</f>
        <v>38.077000457737142</v>
      </c>
      <c r="M27" s="48">
        <f>'C-FCL Real'!L148-M30</f>
        <v>38.2559623598885</v>
      </c>
      <c r="N27" s="48">
        <f>'C-FCL Real'!M148-N30</f>
        <v>38.435765382979973</v>
      </c>
      <c r="O27" s="48">
        <f>'C-FCL Real'!N148-O30</f>
        <v>38.616413480279974</v>
      </c>
      <c r="P27" s="48">
        <f>'C-FCL Real'!O148-P30</f>
        <v>38.797910623637286</v>
      </c>
      <c r="Q27" s="48">
        <f>'C-FCL Real'!P148-Q30</f>
        <v>38.980260803568378</v>
      </c>
      <c r="R27" s="48">
        <f>'C-FCL Real'!Q148-R30</f>
        <v>39.16346802934514</v>
      </c>
      <c r="S27" s="48">
        <f>'C-FCL Real'!O148-S30</f>
        <v>38.797910623637286</v>
      </c>
      <c r="T27" s="48">
        <f>'C-FCL Real'!P148-T30</f>
        <v>38.980260803568378</v>
      </c>
      <c r="U27" s="48">
        <f>'C-FCL Real'!Q148-U30</f>
        <v>39.16346802934514</v>
      </c>
      <c r="V27" s="48">
        <f>'C-FCL Real'!R148-V30</f>
        <v>39.347536329083063</v>
      </c>
      <c r="W27" s="48">
        <f>'C-FCL Real'!S148-W30</f>
        <v>39.532469749829751</v>
      </c>
      <c r="X27" s="48">
        <f>'C-FCL Real'!T148-X30</f>
        <v>39.718272357653944</v>
      </c>
      <c r="Y27" s="48">
        <f>'C-FCL Real'!U148-Y30</f>
        <v>39.904948237734921</v>
      </c>
      <c r="Z27" s="48">
        <f>'C-FCL Real'!V148-Z30</f>
        <v>40.092501494452264</v>
      </c>
      <c r="AA27" s="48">
        <f>'C-FCL Real'!W148-AA30</f>
        <v>40.280936251476184</v>
      </c>
      <c r="AB27" s="48">
        <f>'C-FCL Real'!X148-AB30</f>
        <v>40.470256651858122</v>
      </c>
      <c r="AC27" s="48">
        <f>'C-FCL Real'!Y148-AC30</f>
        <v>40.66046685812185</v>
      </c>
      <c r="AD27" s="48">
        <f>'C-FCL Real'!Z148-AD30</f>
        <v>40.85157105235502</v>
      </c>
      <c r="AE27" s="48">
        <f>'C-FCL Real'!AA148-AE30</f>
        <v>41.043573436301088</v>
      </c>
      <c r="AF27" s="48">
        <f>'C-FCL Real'!AB148-AF30</f>
        <v>41.236478231451699</v>
      </c>
      <c r="AG27" s="48">
        <f>'C-FCL Real'!AC148-AG30</f>
        <v>41.43028967913952</v>
      </c>
      <c r="AH27" s="48">
        <f>'C-FCL Real'!AD148-AH30</f>
        <v>41.625012040631468</v>
      </c>
      <c r="AI27" s="48">
        <f>'C-FCL Real'!AE148-AI30</f>
        <v>41.820649597222435</v>
      </c>
      <c r="AJ27" s="48">
        <f>'C-FCL Real'!AF148-AJ30</f>
        <v>42.017206650329371</v>
      </c>
      <c r="AK27" s="48">
        <f>'C-FCL Real'!AG148-AK30</f>
        <v>42.214687521585915</v>
      </c>
      <c r="AL27" s="48">
        <f>'C-FCL Real'!AH148-AL30</f>
        <v>42.413096552937375</v>
      </c>
      <c r="AM27" s="48">
        <f>'C-FCL Real'!AI148-AM30</f>
        <v>42.612438106736178</v>
      </c>
      <c r="AN27" s="48">
        <f>'C-FCL Real'!AJ148-AN30</f>
        <v>42.812716565837832</v>
      </c>
      <c r="AO27" s="48">
        <f>'C-FCL Real'!AK148-AO30</f>
        <v>43.013936333697266</v>
      </c>
      <c r="AP27" s="48">
        <f>'C-FCL Real'!AL148-AP30</f>
        <v>43.21610183446564</v>
      </c>
      <c r="AQ27" s="48">
        <f>'C-FCL Real'!AM148-AQ30</f>
        <v>43.419217513087624</v>
      </c>
      <c r="AR27" s="48">
        <f>'C-FCL Real'!AN148-AR30</f>
        <v>43.623287835399147</v>
      </c>
      <c r="AS27" s="48">
        <f>'C-FCL Real'!AO148-AS30</f>
        <v>43.828317288225506</v>
      </c>
      <c r="AT27" s="48">
        <f>'C-FCL Real'!AP148-AT30</f>
        <v>44.034310379480168</v>
      </c>
      <c r="AU27" s="48">
        <f>'C-FCL Real'!AQ148-AU30</f>
        <v>44.241271638263719</v>
      </c>
      <c r="AV27" s="48">
        <f>'C-FCL Real'!AR148-AV30</f>
        <v>44.449205614963553</v>
      </c>
      <c r="AW27" s="48">
        <f>'C-FCL Real'!AS148-AW30</f>
        <v>44.658116881353884</v>
      </c>
      <c r="AX27" s="48">
        <f>'C-FCL Real'!AT148-AX30</f>
        <v>44.868010030696247</v>
      </c>
      <c r="AY27" s="48">
        <f>'C-FCL Real'!AU148-AY30</f>
        <v>45.078889677840522</v>
      </c>
      <c r="AZ27" s="48">
        <f>'C-FCL Real'!AV148-AZ30</f>
        <v>45.290760459326364</v>
      </c>
      <c r="BA27" s="48">
        <f>'C-FCL Real'!AW148-BA30</f>
        <v>45.503627033485195</v>
      </c>
      <c r="BB27" s="48">
        <f>'C-FCL Real'!AX148-BB30</f>
        <v>45.717494080542579</v>
      </c>
      <c r="BC27" s="48">
        <f>'C-FCL Real'!AY148-BC30</f>
        <v>45.932366302721128</v>
      </c>
      <c r="BD27" s="48">
        <f>'C-FCL Real'!AZ148-BD30</f>
        <v>46.148248424343905</v>
      </c>
      <c r="BE27" s="48">
        <f>'C-FCL Real'!BA148-BE30</f>
        <v>46.365145191938325</v>
      </c>
      <c r="BF27" s="48">
        <f>'C-FCL Real'!BB148-BF30</f>
        <v>46.583061374340438</v>
      </c>
      <c r="BG27" s="48">
        <f>'C-FCL Real'!BC148-BG30</f>
        <v>46.80200176279984</v>
      </c>
      <c r="BH27" s="48">
        <f>'C-FCL Real'!BD148-BH30</f>
        <v>0</v>
      </c>
    </row>
    <row r="28" spans="1:60" ht="15" hidden="1" customHeight="1" outlineLevel="1" x14ac:dyDescent="0.25">
      <c r="A28" s="1575">
        <f>C28*1000000/$C$16</f>
        <v>214.86878638303907</v>
      </c>
      <c r="B28" s="1596" t="s">
        <v>916</v>
      </c>
      <c r="C28" s="1562">
        <f>SUMIF($D$15:$BG$15,1,D28:BG28)</f>
        <v>1180.584662746036</v>
      </c>
      <c r="D28" s="1559">
        <f t="shared" ref="D28:AJ28" si="3">NPV($C$8,D27:D27)</f>
        <v>33.420008442877311</v>
      </c>
      <c r="E28" s="48">
        <f t="shared" si="3"/>
        <v>33.577082482558829</v>
      </c>
      <c r="F28" s="48">
        <f t="shared" si="3"/>
        <v>33.734894770226852</v>
      </c>
      <c r="G28" s="48">
        <f t="shared" si="3"/>
        <v>33.893448775646924</v>
      </c>
      <c r="H28" s="48">
        <f t="shared" si="3"/>
        <v>34.052747984892456</v>
      </c>
      <c r="I28" s="48">
        <f t="shared" si="3"/>
        <v>34.212795900421447</v>
      </c>
      <c r="J28" s="48">
        <f t="shared" si="3"/>
        <v>34.373596041153426</v>
      </c>
      <c r="K28" s="48">
        <f t="shared" si="3"/>
        <v>34.535151942546847</v>
      </c>
      <c r="L28" s="48">
        <f t="shared" si="3"/>
        <v>34.697467156676822</v>
      </c>
      <c r="M28" s="48">
        <f t="shared" si="3"/>
        <v>34.860545252313194</v>
      </c>
      <c r="N28" s="48">
        <f t="shared" si="3"/>
        <v>35.024389814999068</v>
      </c>
      <c r="O28" s="48">
        <f t="shared" si="3"/>
        <v>35.189004447129555</v>
      </c>
      <c r="P28" s="48">
        <f t="shared" si="3"/>
        <v>35.354392768031062</v>
      </c>
      <c r="Q28" s="48">
        <f t="shared" si="3"/>
        <v>35.520558414040806</v>
      </c>
      <c r="R28" s="48">
        <f t="shared" si="3"/>
        <v>35.687505038586792</v>
      </c>
      <c r="S28" s="48">
        <f t="shared" si="3"/>
        <v>35.354392768031062</v>
      </c>
      <c r="T28" s="48">
        <f t="shared" si="3"/>
        <v>35.520558414040806</v>
      </c>
      <c r="U28" s="48">
        <f t="shared" si="3"/>
        <v>35.687505038586792</v>
      </c>
      <c r="V28" s="48">
        <f t="shared" si="3"/>
        <v>35.855236312268147</v>
      </c>
      <c r="W28" s="48">
        <f t="shared" si="3"/>
        <v>36.023755922935806</v>
      </c>
      <c r="X28" s="48">
        <f t="shared" si="3"/>
        <v>36.193067575773597</v>
      </c>
      <c r="Y28" s="48">
        <f t="shared" si="3"/>
        <v>36.363174993379737</v>
      </c>
      <c r="Z28" s="48">
        <f t="shared" si="3"/>
        <v>36.53408191584861</v>
      </c>
      <c r="AA28" s="48">
        <f t="shared" si="3"/>
        <v>36.705792100853095</v>
      </c>
      <c r="AB28" s="48">
        <f t="shared" si="3"/>
        <v>36.878309323727102</v>
      </c>
      <c r="AC28" s="48">
        <f t="shared" si="3"/>
        <v>37.051637377548616</v>
      </c>
      <c r="AD28" s="48">
        <f t="shared" si="3"/>
        <v>37.225780073223092</v>
      </c>
      <c r="AE28" s="48">
        <f t="shared" si="3"/>
        <v>37.400741239567239</v>
      </c>
      <c r="AF28" s="48">
        <f t="shared" si="3"/>
        <v>37.576524723393206</v>
      </c>
      <c r="AG28" s="48">
        <f t="shared" si="3"/>
        <v>37.75313438959315</v>
      </c>
      <c r="AH28" s="48">
        <f t="shared" si="3"/>
        <v>37.930574121224232</v>
      </c>
      <c r="AI28" s="48">
        <f t="shared" si="3"/>
        <v>38.108847819593983</v>
      </c>
      <c r="AJ28" s="48">
        <f t="shared" si="3"/>
        <v>38.287959404346068</v>
      </c>
      <c r="AK28" s="48"/>
      <c r="AL28" s="48"/>
      <c r="AM28" s="48"/>
      <c r="AN28" s="48"/>
      <c r="AO28" s="48"/>
      <c r="AP28" s="48"/>
      <c r="AQ28" s="48"/>
      <c r="AR28" s="48"/>
      <c r="AS28" s="48"/>
      <c r="AT28" s="48"/>
      <c r="AU28" s="48"/>
      <c r="AV28" s="48"/>
      <c r="AW28" s="48"/>
      <c r="AX28" s="48"/>
      <c r="AY28" s="48"/>
      <c r="AZ28" s="48"/>
      <c r="BA28" s="48"/>
      <c r="BB28" s="48"/>
      <c r="BC28" s="48"/>
      <c r="BD28" s="48"/>
      <c r="BE28" s="48"/>
      <c r="BF28" s="48"/>
      <c r="BG28" s="48"/>
      <c r="BH28" s="48"/>
    </row>
    <row r="29" spans="1:60" ht="15" hidden="1" customHeight="1" outlineLevel="1" x14ac:dyDescent="0.25">
      <c r="A29" s="1575"/>
      <c r="B29" s="749"/>
      <c r="C29" s="1562"/>
      <c r="D29" s="1559"/>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48"/>
      <c r="BA29" s="48"/>
      <c r="BB29" s="48"/>
      <c r="BC29" s="48"/>
      <c r="BD29" s="48"/>
      <c r="BE29" s="48"/>
      <c r="BF29" s="48"/>
      <c r="BG29" s="48"/>
      <c r="BH29" s="48"/>
    </row>
    <row r="30" spans="1:60" ht="15" hidden="1" customHeight="1" outlineLevel="1" x14ac:dyDescent="0.25">
      <c r="A30" s="1575">
        <f>C30*1000000/$C$16</f>
        <v>11.052011132083127</v>
      </c>
      <c r="B30" s="1549" t="str">
        <f>'C-FCL Real'!B149</f>
        <v>Receita do Ente Público pela disposição do RPU</v>
      </c>
      <c r="C30" s="1563">
        <f>SUMIF($D$15:$BG$15,1,D30:BG30)</f>
        <v>60.724663896857848</v>
      </c>
      <c r="D30" s="1559">
        <f>'C-FCL Real'!C149</f>
        <v>1.6135936252841363</v>
      </c>
      <c r="E30" s="48">
        <f>'C-FCL Real'!D149</f>
        <v>1.6211775153229717</v>
      </c>
      <c r="F30" s="48">
        <f>'C-FCL Real'!E149</f>
        <v>1.6287970496449895</v>
      </c>
      <c r="G30" s="48">
        <f>'C-FCL Real'!F149</f>
        <v>1.6364523957783208</v>
      </c>
      <c r="H30" s="48">
        <f>'C-FCL Real'!G149</f>
        <v>1.6441437220384787</v>
      </c>
      <c r="I30" s="48">
        <f>'C-FCL Real'!H149</f>
        <v>1.6518711975320595</v>
      </c>
      <c r="J30" s="48">
        <f>'C-FCL Real'!I149</f>
        <v>1.6596349921604601</v>
      </c>
      <c r="K30" s="48">
        <f>'C-FCL Real'!J149</f>
        <v>1.667435276623614</v>
      </c>
      <c r="L30" s="48">
        <f>'C-FCL Real'!K149</f>
        <v>1.6752722224237449</v>
      </c>
      <c r="M30" s="48">
        <f>'C-FCL Real'!L149</f>
        <v>1.6831460018691364</v>
      </c>
      <c r="N30" s="48">
        <f>'C-FCL Real'!M149</f>
        <v>1.6910567880779213</v>
      </c>
      <c r="O30" s="48">
        <f>'C-FCL Real'!N149</f>
        <v>1.6990047549818874</v>
      </c>
      <c r="P30" s="48">
        <f>'C-FCL Real'!O149</f>
        <v>1.7069900773303022</v>
      </c>
      <c r="Q30" s="48">
        <f>'C-FCL Real'!P149</f>
        <v>1.7150129306937545</v>
      </c>
      <c r="R30" s="48">
        <f>'C-FCL Real'!Q149</f>
        <v>1.723073491468015</v>
      </c>
      <c r="S30" s="48">
        <f>'C-FCL Real'!O149</f>
        <v>1.7069900773303022</v>
      </c>
      <c r="T30" s="48">
        <f>'C-FCL Real'!P149</f>
        <v>1.7150129306937545</v>
      </c>
      <c r="U30" s="48">
        <f>'C-FCL Real'!Q149</f>
        <v>1.723073491468015</v>
      </c>
      <c r="V30" s="48">
        <f>'C-FCL Real'!R149</f>
        <v>1.7311719368779146</v>
      </c>
      <c r="W30" s="48">
        <f>'C-FCL Real'!S149</f>
        <v>1.7393084449812406</v>
      </c>
      <c r="X30" s="48">
        <f>'C-FCL Real'!T149</f>
        <v>1.7474831946726523</v>
      </c>
      <c r="Y30" s="48">
        <f>'C-FCL Real'!U149</f>
        <v>1.7556963656876137</v>
      </c>
      <c r="Z30" s="48">
        <f>'C-FCL Real'!V149</f>
        <v>1.7639481386063454</v>
      </c>
      <c r="AA30" s="48">
        <f>'C-FCL Real'!W149</f>
        <v>1.7722386948577951</v>
      </c>
      <c r="AB30" s="48">
        <f>'C-FCL Real'!X149</f>
        <v>1.7805682167236265</v>
      </c>
      <c r="AC30" s="48">
        <f>'C-FCL Real'!Y149</f>
        <v>1.7889368873422273</v>
      </c>
      <c r="AD30" s="48">
        <f>'C-FCL Real'!Z149</f>
        <v>1.7973448907127356</v>
      </c>
      <c r="AE30" s="48">
        <f>'C-FCL Real'!AA149</f>
        <v>1.8057924116990853</v>
      </c>
      <c r="AF30" s="48">
        <f>'C-FCL Real'!AB149</f>
        <v>1.8142796360340709</v>
      </c>
      <c r="AG30" s="48">
        <f>'C-FCL Real'!AC149</f>
        <v>1.8228067503234309</v>
      </c>
      <c r="AH30" s="48">
        <f>'C-FCL Real'!AD149</f>
        <v>1.8313739420499509</v>
      </c>
      <c r="AI30" s="48">
        <f>'C-FCL Real'!AE149</f>
        <v>1.8399813995775856</v>
      </c>
      <c r="AJ30" s="48">
        <f>'C-FCL Real'!AF149</f>
        <v>1.8486293121556001</v>
      </c>
      <c r="AK30" s="48">
        <f>'C-FCL Real'!AG149</f>
        <v>1.8573178699227313</v>
      </c>
      <c r="AL30" s="48">
        <f>'C-FCL Real'!AH149</f>
        <v>1.8660472639113679</v>
      </c>
      <c r="AM30" s="48">
        <f>'C-FCL Real'!AI149</f>
        <v>1.8748176860517511</v>
      </c>
      <c r="AN30" s="48">
        <f>'C-FCL Real'!AJ149</f>
        <v>1.8836293291761943</v>
      </c>
      <c r="AO30" s="48">
        <f>'C-FCL Real'!AK149</f>
        <v>1.8924823870233223</v>
      </c>
      <c r="AP30" s="48">
        <f>'C-FCL Real'!AL149</f>
        <v>1.9013770542423318</v>
      </c>
      <c r="AQ30" s="48">
        <f>'C-FCL Real'!AM149</f>
        <v>1.9103135263972706</v>
      </c>
      <c r="AR30" s="48">
        <f>'C-FCL Real'!AN149</f>
        <v>1.9192919999713376</v>
      </c>
      <c r="AS30" s="48">
        <f>'C-FCL Real'!AO149</f>
        <v>1.9283126723712027</v>
      </c>
      <c r="AT30" s="48">
        <f>'C-FCL Real'!AP149</f>
        <v>1.9373757419313473</v>
      </c>
      <c r="AU30" s="48">
        <f>'C-FCL Real'!AQ149</f>
        <v>1.9464814079184245</v>
      </c>
      <c r="AV30" s="48">
        <f>'C-FCL Real'!AR149</f>
        <v>1.955629870535641</v>
      </c>
      <c r="AW30" s="48">
        <f>'C-FCL Real'!AS149</f>
        <v>1.9648213309271583</v>
      </c>
      <c r="AX30" s="48">
        <f>'C-FCL Real'!AT149</f>
        <v>1.9740559911825157</v>
      </c>
      <c r="AY30" s="48">
        <f>'C-FCL Real'!AU149</f>
        <v>1.9833340543410733</v>
      </c>
      <c r="AZ30" s="48">
        <f>'C-FCL Real'!AV149</f>
        <v>1.9926557243964762</v>
      </c>
      <c r="BA30" s="48">
        <f>'C-FCL Real'!AW149</f>
        <v>2.0020212063011393</v>
      </c>
      <c r="BB30" s="48">
        <f>'C-FCL Real'!AX149</f>
        <v>2.0114307059707546</v>
      </c>
      <c r="BC30" s="48">
        <f>'C-FCL Real'!AY149</f>
        <v>2.0208844302888171</v>
      </c>
      <c r="BD30" s="48">
        <f>'C-FCL Real'!AZ149</f>
        <v>2.0303825871111743</v>
      </c>
      <c r="BE30" s="48">
        <f>'C-FCL Real'!BA149</f>
        <v>2.0399253852705965</v>
      </c>
      <c r="BF30" s="48">
        <f>'C-FCL Real'!BB149</f>
        <v>2.0495130345813681</v>
      </c>
      <c r="BG30" s="48">
        <f>'C-FCL Real'!BC149</f>
        <v>2.0591457458439004</v>
      </c>
      <c r="BH30" s="48">
        <f>'C-FCL Real'!BD149</f>
        <v>0</v>
      </c>
    </row>
    <row r="31" spans="1:60" ht="15" hidden="1" customHeight="1" outlineLevel="1" x14ac:dyDescent="0.25">
      <c r="A31" s="1575">
        <f>C31*1000000/$C$16</f>
        <v>9.4535731535088203</v>
      </c>
      <c r="B31" s="1596" t="s">
        <v>917</v>
      </c>
      <c r="C31" s="1562">
        <f>SUMIF($D$15:$BG$15,1,D31:BG31)</f>
        <v>51.942134830530129</v>
      </c>
      <c r="D31" s="1559">
        <f t="shared" ref="D31:AJ31" si="4">NPV($C$8,D30:D30)</f>
        <v>1.4703787363624352</v>
      </c>
      <c r="E31" s="48">
        <f t="shared" si="4"/>
        <v>1.4772895164233386</v>
      </c>
      <c r="F31" s="48">
        <f t="shared" si="4"/>
        <v>1.4842327771505281</v>
      </c>
      <c r="G31" s="48">
        <f t="shared" si="4"/>
        <v>1.4912086712031356</v>
      </c>
      <c r="H31" s="48">
        <f t="shared" si="4"/>
        <v>1.4982173519577902</v>
      </c>
      <c r="I31" s="48">
        <f t="shared" si="4"/>
        <v>1.5052589735119917</v>
      </c>
      <c r="J31" s="48">
        <f t="shared" si="4"/>
        <v>1.5123336906874978</v>
      </c>
      <c r="K31" s="48">
        <f t="shared" si="4"/>
        <v>1.519441659033729</v>
      </c>
      <c r="L31" s="48">
        <f t="shared" si="4"/>
        <v>1.5265830348311873</v>
      </c>
      <c r="M31" s="48">
        <f t="shared" si="4"/>
        <v>1.533757975094894</v>
      </c>
      <c r="N31" s="48">
        <f t="shared" si="4"/>
        <v>1.5409666375778397</v>
      </c>
      <c r="O31" s="48">
        <f t="shared" si="4"/>
        <v>1.5482091807744556</v>
      </c>
      <c r="P31" s="48">
        <f t="shared" si="4"/>
        <v>1.5554857639240953</v>
      </c>
      <c r="Q31" s="48">
        <f t="shared" si="4"/>
        <v>1.5627965470145386</v>
      </c>
      <c r="R31" s="48">
        <f t="shared" si="4"/>
        <v>1.5701416907855068</v>
      </c>
      <c r="S31" s="48">
        <f t="shared" si="4"/>
        <v>1.5554857639240953</v>
      </c>
      <c r="T31" s="48">
        <f t="shared" si="4"/>
        <v>1.5627965470145386</v>
      </c>
      <c r="U31" s="48">
        <f t="shared" si="4"/>
        <v>1.5701416907855068</v>
      </c>
      <c r="V31" s="48">
        <f t="shared" si="4"/>
        <v>1.5775213567321986</v>
      </c>
      <c r="W31" s="48">
        <f t="shared" si="4"/>
        <v>1.5849357071088397</v>
      </c>
      <c r="X31" s="48">
        <f t="shared" si="4"/>
        <v>1.5923849049322512</v>
      </c>
      <c r="Y31" s="48">
        <f t="shared" si="4"/>
        <v>1.5998691139854326</v>
      </c>
      <c r="Z31" s="48">
        <f t="shared" si="4"/>
        <v>1.6073884988211642</v>
      </c>
      <c r="AA31" s="48">
        <f t="shared" si="4"/>
        <v>1.6149432247656235</v>
      </c>
      <c r="AB31" s="48">
        <f t="shared" si="4"/>
        <v>1.6225334579220216</v>
      </c>
      <c r="AC31" s="48">
        <f t="shared" si="4"/>
        <v>1.630159365174255</v>
      </c>
      <c r="AD31" s="48">
        <f t="shared" si="4"/>
        <v>1.6378211141905739</v>
      </c>
      <c r="AE31" s="48">
        <f t="shared" si="4"/>
        <v>1.6455188734272694</v>
      </c>
      <c r="AF31" s="48">
        <f t="shared" si="4"/>
        <v>1.6532528121323775</v>
      </c>
      <c r="AG31" s="48">
        <f t="shared" si="4"/>
        <v>1.6610231003493994</v>
      </c>
      <c r="AH31" s="48">
        <f t="shared" si="4"/>
        <v>1.6688299089210414</v>
      </c>
      <c r="AI31" s="48">
        <f t="shared" si="4"/>
        <v>1.6766734094929703</v>
      </c>
      <c r="AJ31" s="48">
        <f t="shared" si="4"/>
        <v>1.6845537745175871</v>
      </c>
      <c r="AK31" s="48"/>
      <c r="AL31" s="48"/>
      <c r="AM31" s="48"/>
      <c r="AN31" s="48"/>
      <c r="AO31" s="48"/>
      <c r="AP31" s="48"/>
      <c r="AQ31" s="48"/>
      <c r="AR31" s="48"/>
      <c r="AS31" s="48"/>
      <c r="AT31" s="48"/>
      <c r="AU31" s="48"/>
      <c r="AV31" s="48"/>
      <c r="AW31" s="48"/>
      <c r="AX31" s="48"/>
      <c r="AY31" s="48"/>
      <c r="AZ31" s="48"/>
      <c r="BA31" s="48"/>
      <c r="BB31" s="48"/>
      <c r="BC31" s="48"/>
      <c r="BD31" s="48"/>
      <c r="BE31" s="48"/>
      <c r="BF31" s="48"/>
      <c r="BG31" s="48"/>
      <c r="BH31" s="48"/>
    </row>
    <row r="32" spans="1:60" ht="15" hidden="1" customHeight="1" outlineLevel="1" x14ac:dyDescent="0.25">
      <c r="A32" s="1575"/>
      <c r="B32" s="749"/>
      <c r="C32" s="1562"/>
      <c r="D32" s="1559"/>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row>
    <row r="33" spans="1:60" ht="15" hidden="1" customHeight="1" outlineLevel="1" x14ac:dyDescent="0.25">
      <c r="A33" s="1575">
        <f>C33*1000000/$C$16</f>
        <v>17.058808944001644</v>
      </c>
      <c r="B33" s="1549" t="s">
        <v>910</v>
      </c>
      <c r="C33" s="1563">
        <f>SUMIF($D$15:$BG$15,1,D33:BG33)</f>
        <v>93.728682248437408</v>
      </c>
      <c r="D33" s="1559">
        <f>'C-FCL Real'!C153</f>
        <v>-44.573699346163096</v>
      </c>
      <c r="E33" s="48">
        <f>'C-FCL Real'!D153</f>
        <v>-86.148067740748985</v>
      </c>
      <c r="F33" s="48">
        <f>'C-FCL Real'!E153</f>
        <v>-76.297725825105672</v>
      </c>
      <c r="G33" s="48">
        <f>'C-FCL Real'!F153</f>
        <v>6.8070283191809722</v>
      </c>
      <c r="H33" s="48">
        <f>'C-FCL Real'!G153</f>
        <v>6.9895345976671805</v>
      </c>
      <c r="I33" s="48">
        <f>'C-FCL Real'!H153</f>
        <v>7.17289865566228</v>
      </c>
      <c r="J33" s="48">
        <f>'C-FCL Real'!I153</f>
        <v>7.3571245247299544</v>
      </c>
      <c r="K33" s="48">
        <f>'C-FCL Real'!J153</f>
        <v>7.5422162553822432</v>
      </c>
      <c r="L33" s="48">
        <f>'C-FCL Real'!K153</f>
        <v>7.7281779171686082</v>
      </c>
      <c r="M33" s="48">
        <f>'C-FCL Real'!L153</f>
        <v>7.9150135987653556</v>
      </c>
      <c r="N33" s="48">
        <f>'C-FCL Real'!M153</f>
        <v>8.1027274080656184</v>
      </c>
      <c r="O33" s="48">
        <f>'C-FCL Real'!N153</f>
        <v>8.2913234722695819</v>
      </c>
      <c r="P33" s="48">
        <f>'C-FCL Real'!O153</f>
        <v>8.4808059379753118</v>
      </c>
      <c r="Q33" s="48">
        <f>'C-FCL Real'!P153</f>
        <v>8.6711789712698533</v>
      </c>
      <c r="R33" s="48">
        <f>'C-FCL Real'!Q153</f>
        <v>8.8624467578208765</v>
      </c>
      <c r="S33" s="48">
        <f>'C-FCL Real'!O153</f>
        <v>8.4808059379753118</v>
      </c>
      <c r="T33" s="48">
        <f>'C-FCL Real'!P153</f>
        <v>8.6711789712698533</v>
      </c>
      <c r="U33" s="48">
        <f>'C-FCL Real'!Q153</f>
        <v>8.8624467578208765</v>
      </c>
      <c r="V33" s="48">
        <f>'C-FCL Real'!R153</f>
        <v>9.0546135029686994</v>
      </c>
      <c r="W33" s="48">
        <f>'C-FCL Real'!S153</f>
        <v>9.2476834318187144</v>
      </c>
      <c r="X33" s="48">
        <f>'C-FCL Real'!T153</f>
        <v>9.4416607893343212</v>
      </c>
      <c r="Y33" s="48">
        <f>'C-FCL Real'!U153</f>
        <v>9.6365498404302556</v>
      </c>
      <c r="Z33" s="48">
        <f>'C-FCL Real'!V153</f>
        <v>9.8323548700663324</v>
      </c>
      <c r="AA33" s="48">
        <f>'C-FCL Real'!W153</f>
        <v>10.029080183341705</v>
      </c>
      <c r="AB33" s="48">
        <f>'C-FCL Real'!X153</f>
        <v>10.226730105589475</v>
      </c>
      <c r="AC33" s="48">
        <f>'C-FCL Real'!Y153</f>
        <v>10.425308982471797</v>
      </c>
      <c r="AD33" s="48">
        <f>'C-FCL Real'!Z153</f>
        <v>10.624821180075479</v>
      </c>
      <c r="AE33" s="48">
        <f>'C-FCL Real'!AA153</f>
        <v>10.825271085007898</v>
      </c>
      <c r="AF33" s="48">
        <f>'C-FCL Real'!AB153</f>
        <v>11.026663104493494</v>
      </c>
      <c r="AG33" s="48">
        <f>'C-FCL Real'!AC153</f>
        <v>11.229001666470673</v>
      </c>
      <c r="AH33" s="48">
        <f>'C-FCL Real'!AD153</f>
        <v>11.432291219689141</v>
      </c>
      <c r="AI33" s="48">
        <f>'C-FCL Real'!AE153</f>
        <v>11.636536233807746</v>
      </c>
      <c r="AJ33" s="48">
        <f>'C-FCL Real'!AF153</f>
        <v>11.841741199492695</v>
      </c>
      <c r="AK33" s="48">
        <f>'C-FCL Real'!AG153</f>
        <v>12.04791062851637</v>
      </c>
      <c r="AL33" s="48">
        <f>'C-FCL Real'!AH153</f>
        <v>12.255049053856467</v>
      </c>
      <c r="AM33" s="48">
        <f>'C-FCL Real'!AI153</f>
        <v>12.46316102979565</v>
      </c>
      <c r="AN33" s="48">
        <f>'C-FCL Real'!AJ153</f>
        <v>12.672251132021749</v>
      </c>
      <c r="AO33" s="48">
        <f>'C-FCL Real'!AK153</f>
        <v>12.88232395772831</v>
      </c>
      <c r="AP33" s="48">
        <f>'C-FCL Real'!AL153</f>
        <v>13.093384125715694</v>
      </c>
      <c r="AQ33" s="48">
        <f>'C-FCL Real'!AM153</f>
        <v>13.305436276492614</v>
      </c>
      <c r="AR33" s="48">
        <f>'C-FCL Real'!AN153</f>
        <v>13.518485072378205</v>
      </c>
      <c r="AS33" s="48">
        <f>'C-FCL Real'!AO153</f>
        <v>13.732535197604435</v>
      </c>
      <c r="AT33" s="48">
        <f>'C-FCL Real'!AP153</f>
        <v>13.947591358419238</v>
      </c>
      <c r="AU33" s="48">
        <f>'C-FCL Real'!AQ153</f>
        <v>14.163658283189868</v>
      </c>
      <c r="AV33" s="48">
        <f>'C-FCL Real'!AR153</f>
        <v>14.380740722506914</v>
      </c>
      <c r="AW33" s="48">
        <f>'C-FCL Real'!AS153</f>
        <v>14.598843449288765</v>
      </c>
      <c r="AX33" s="48">
        <f>'C-FCL Real'!AT153</f>
        <v>14.817971258886487</v>
      </c>
      <c r="AY33" s="48">
        <f>'C-FCL Real'!AU153</f>
        <v>15.038128969189316</v>
      </c>
      <c r="AZ33" s="48">
        <f>'C-FCL Real'!AV153</f>
        <v>15.259321420730565</v>
      </c>
      <c r="BA33" s="48">
        <f>'C-FCL Real'!AW153</f>
        <v>15.481553476794055</v>
      </c>
      <c r="BB33" s="48">
        <f>'C-FCL Real'!AX153</f>
        <v>15.704830023521055</v>
      </c>
      <c r="BC33" s="48">
        <f>'C-FCL Real'!AY153</f>
        <v>15.929155970017668</v>
      </c>
      <c r="BD33" s="48">
        <f>'C-FCL Real'!AZ153</f>
        <v>16.154536248462804</v>
      </c>
      <c r="BE33" s="48">
        <f>'C-FCL Real'!BA153</f>
        <v>16.380975814216647</v>
      </c>
      <c r="BF33" s="48">
        <f>'C-FCL Real'!BB153</f>
        <v>16.608479645929528</v>
      </c>
      <c r="BG33" s="48">
        <f>'C-FCL Real'!BC153</f>
        <v>16.837052745651462</v>
      </c>
      <c r="BH33" s="48">
        <f>'C-FCL Real'!BD153</f>
        <v>0</v>
      </c>
    </row>
    <row r="34" spans="1:60" ht="15" hidden="1" customHeight="1" outlineLevel="1" x14ac:dyDescent="0.25">
      <c r="A34" s="1575">
        <f>C34*1000000/$C$16</f>
        <v>11.514143734550295</v>
      </c>
      <c r="B34" s="1596" t="s">
        <v>918</v>
      </c>
      <c r="C34" s="1562">
        <f>SUMIF($D$15:$BG$15,1,D34:BG34)</f>
        <v>63.263825921327296</v>
      </c>
      <c r="D34" s="1559">
        <f t="shared" ref="D34:AJ34" si="5">NPV($C$8,D33:D33)</f>
        <v>-40.617549978278745</v>
      </c>
      <c r="E34" s="48">
        <f t="shared" si="5"/>
        <v>-78.501975342399305</v>
      </c>
      <c r="F34" s="48">
        <f t="shared" si="5"/>
        <v>-69.525902884185967</v>
      </c>
      <c r="G34" s="48">
        <f t="shared" si="5"/>
        <v>6.2028688893575472</v>
      </c>
      <c r="H34" s="48">
        <f t="shared" si="5"/>
        <v>6.369176779357737</v>
      </c>
      <c r="I34" s="48">
        <f t="shared" si="5"/>
        <v>6.5362663164409334</v>
      </c>
      <c r="J34" s="48">
        <f t="shared" si="5"/>
        <v>6.7041411743484192</v>
      </c>
      <c r="K34" s="48">
        <f t="shared" si="5"/>
        <v>6.8728050440880661</v>
      </c>
      <c r="L34" s="48">
        <f t="shared" si="5"/>
        <v>7.0422616340154995</v>
      </c>
      <c r="M34" s="48">
        <f t="shared" si="5"/>
        <v>7.2125146699155787</v>
      </c>
      <c r="N34" s="48">
        <f t="shared" si="5"/>
        <v>7.3835678950843988</v>
      </c>
      <c r="O34" s="48">
        <f t="shared" si="5"/>
        <v>7.555425070411502</v>
      </c>
      <c r="P34" s="48">
        <f t="shared" si="5"/>
        <v>7.7280899744626499</v>
      </c>
      <c r="Q34" s="48">
        <f t="shared" si="5"/>
        <v>7.9015664035628337</v>
      </c>
      <c r="R34" s="48">
        <f t="shared" si="5"/>
        <v>8.0758581718797853</v>
      </c>
      <c r="S34" s="48">
        <f t="shared" si="5"/>
        <v>7.7280899744626499</v>
      </c>
      <c r="T34" s="48">
        <f t="shared" si="5"/>
        <v>7.9015664035628337</v>
      </c>
      <c r="U34" s="48">
        <f t="shared" si="5"/>
        <v>8.0758581718797853</v>
      </c>
      <c r="V34" s="48">
        <f t="shared" si="5"/>
        <v>8.2509691115078372</v>
      </c>
      <c r="W34" s="48">
        <f t="shared" si="5"/>
        <v>8.4269030725521361</v>
      </c>
      <c r="X34" s="48">
        <f t="shared" si="5"/>
        <v>8.6036639232133414</v>
      </c>
      <c r="Y34" s="48">
        <f t="shared" si="5"/>
        <v>8.7812555498726592</v>
      </c>
      <c r="Z34" s="48">
        <f t="shared" si="5"/>
        <v>8.9596818571772676</v>
      </c>
      <c r="AA34" s="48">
        <f t="shared" si="5"/>
        <v>9.1389467681262122</v>
      </c>
      <c r="AB34" s="48">
        <f t="shared" si="5"/>
        <v>9.3190542241566199</v>
      </c>
      <c r="AC34" s="48">
        <f t="shared" si="5"/>
        <v>9.5000081852303602</v>
      </c>
      <c r="AD34" s="48">
        <f t="shared" si="5"/>
        <v>9.6818126299211578</v>
      </c>
      <c r="AE34" s="48">
        <f t="shared" si="5"/>
        <v>9.8644715555020035</v>
      </c>
      <c r="AF34" s="48">
        <f t="shared" si="5"/>
        <v>10.047988978033073</v>
      </c>
      <c r="AG34" s="48">
        <f t="shared" si="5"/>
        <v>10.23236893245004</v>
      </c>
      <c r="AH34" s="48">
        <f t="shared" si="5"/>
        <v>10.417615472652763</v>
      </c>
      <c r="AI34" s="48">
        <f t="shared" si="5"/>
        <v>10.603732671594448</v>
      </c>
      <c r="AJ34" s="48">
        <f t="shared" si="5"/>
        <v>10.790724621371146</v>
      </c>
      <c r="AK34" s="48"/>
      <c r="AL34" s="48"/>
      <c r="AM34" s="48"/>
      <c r="AN34" s="48"/>
      <c r="AO34" s="48"/>
      <c r="AP34" s="48"/>
      <c r="AQ34" s="48"/>
      <c r="AR34" s="48"/>
      <c r="AS34" s="48"/>
      <c r="AT34" s="48"/>
      <c r="AU34" s="48"/>
      <c r="AV34" s="48"/>
      <c r="AW34" s="48"/>
      <c r="AX34" s="48"/>
      <c r="AY34" s="48"/>
      <c r="AZ34" s="48"/>
      <c r="BA34" s="48"/>
      <c r="BB34" s="48"/>
      <c r="BC34" s="48"/>
      <c r="BD34" s="48"/>
      <c r="BE34" s="48"/>
      <c r="BF34" s="48"/>
      <c r="BG34" s="48"/>
      <c r="BH34" s="48"/>
    </row>
    <row r="35" spans="1:60" ht="15" hidden="1" customHeight="1" outlineLevel="1" x14ac:dyDescent="0.25">
      <c r="A35" s="1575"/>
      <c r="B35" s="749"/>
      <c r="C35" s="1564"/>
      <c r="D35" s="1559"/>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48"/>
      <c r="BA35" s="48"/>
      <c r="BB35" s="48"/>
      <c r="BC35" s="48"/>
      <c r="BD35" s="48"/>
      <c r="BE35" s="48"/>
      <c r="BF35" s="48"/>
      <c r="BG35" s="48"/>
      <c r="BH35" s="48"/>
    </row>
    <row r="36" spans="1:60" ht="15" hidden="1" customHeight="1" outlineLevel="1" x14ac:dyDescent="0.25">
      <c r="A36" s="1575">
        <f>C36*1000000/$C$16</f>
        <v>18.610503024944194</v>
      </c>
      <c r="B36" s="1550" t="s">
        <v>920</v>
      </c>
      <c r="C36" s="1563">
        <f>SUMIF($D$15:$BG$15,1,D36:BG36)</f>
        <v>102.25437955455476</v>
      </c>
      <c r="D36" s="1559">
        <f>IF(D33&gt;0,D33*0.34,0)</f>
        <v>0</v>
      </c>
      <c r="E36" s="48">
        <f t="shared" ref="E36:BG36" si="6">IF(E33&gt;0,E33*0.34,0)</f>
        <v>0</v>
      </c>
      <c r="F36" s="48">
        <f t="shared" si="6"/>
        <v>0</v>
      </c>
      <c r="G36" s="48">
        <f t="shared" si="6"/>
        <v>2.3143896285215306</v>
      </c>
      <c r="H36" s="48">
        <f t="shared" si="6"/>
        <v>2.3764417632068415</v>
      </c>
      <c r="I36" s="48">
        <f t="shared" si="6"/>
        <v>2.4387855429251752</v>
      </c>
      <c r="J36" s="48">
        <f t="shared" si="6"/>
        <v>2.5014223384081848</v>
      </c>
      <c r="K36" s="48">
        <f t="shared" si="6"/>
        <v>2.5643535268299629</v>
      </c>
      <c r="L36" s="48">
        <f t="shared" si="6"/>
        <v>2.6275804918373269</v>
      </c>
      <c r="M36" s="48">
        <f t="shared" si="6"/>
        <v>2.691104623580221</v>
      </c>
      <c r="N36" s="48">
        <f t="shared" si="6"/>
        <v>2.7549273187423107</v>
      </c>
      <c r="O36" s="48">
        <f t="shared" si="6"/>
        <v>2.8190499805716582</v>
      </c>
      <c r="P36" s="48">
        <f>IF(P33&gt;0,P33*0.34,0)</f>
        <v>2.8834740189116062</v>
      </c>
      <c r="Q36" s="48">
        <f>IF(Q33&gt;0,Q33*0.34,0)</f>
        <v>2.9482008502317503</v>
      </c>
      <c r="R36" s="48">
        <f>IF(R33&gt;0,R33*0.34,0)</f>
        <v>3.0132318976590984</v>
      </c>
      <c r="S36" s="48">
        <f t="shared" si="6"/>
        <v>2.8834740189116062</v>
      </c>
      <c r="T36" s="48">
        <f t="shared" si="6"/>
        <v>2.9482008502317503</v>
      </c>
      <c r="U36" s="48">
        <f t="shared" si="6"/>
        <v>3.0132318976590984</v>
      </c>
      <c r="V36" s="48">
        <f t="shared" si="6"/>
        <v>3.0785685910093581</v>
      </c>
      <c r="W36" s="48">
        <f t="shared" si="6"/>
        <v>3.1442123668183632</v>
      </c>
      <c r="X36" s="48">
        <f t="shared" si="6"/>
        <v>3.2101646683736695</v>
      </c>
      <c r="Y36" s="48">
        <f t="shared" si="6"/>
        <v>3.2764269457462873</v>
      </c>
      <c r="Z36" s="48">
        <f t="shared" si="6"/>
        <v>3.3430006558225531</v>
      </c>
      <c r="AA36" s="48">
        <f t="shared" si="6"/>
        <v>3.4098872623361798</v>
      </c>
      <c r="AB36" s="48">
        <f t="shared" si="6"/>
        <v>3.4770882359004216</v>
      </c>
      <c r="AC36" s="48">
        <f t="shared" si="6"/>
        <v>3.5446050540404115</v>
      </c>
      <c r="AD36" s="48">
        <f t="shared" si="6"/>
        <v>3.612439201225663</v>
      </c>
      <c r="AE36" s="48">
        <f t="shared" si="6"/>
        <v>3.6805921689026859</v>
      </c>
      <c r="AF36" s="48">
        <f t="shared" si="6"/>
        <v>3.7490654555277882</v>
      </c>
      <c r="AG36" s="48">
        <f t="shared" si="6"/>
        <v>3.8178605666000291</v>
      </c>
      <c r="AH36" s="48">
        <f t="shared" si="6"/>
        <v>3.8869790146943082</v>
      </c>
      <c r="AI36" s="48">
        <f t="shared" si="6"/>
        <v>3.9564223194946337</v>
      </c>
      <c r="AJ36" s="48">
        <f t="shared" si="6"/>
        <v>4.0261920078275164</v>
      </c>
      <c r="AK36" s="48">
        <f t="shared" si="6"/>
        <v>4.096289613695566</v>
      </c>
      <c r="AL36" s="48">
        <f t="shared" si="6"/>
        <v>4.1667166783111993</v>
      </c>
      <c r="AM36" s="48">
        <f t="shared" si="6"/>
        <v>4.237474750130521</v>
      </c>
      <c r="AN36" s="48">
        <f t="shared" si="6"/>
        <v>4.3085653848873955</v>
      </c>
      <c r="AO36" s="48">
        <f t="shared" si="6"/>
        <v>4.3799901456276258</v>
      </c>
      <c r="AP36" s="48">
        <f t="shared" si="6"/>
        <v>4.4517506027433367</v>
      </c>
      <c r="AQ36" s="48">
        <f t="shared" si="6"/>
        <v>4.5238483340074893</v>
      </c>
      <c r="AR36" s="48">
        <f t="shared" si="6"/>
        <v>4.5962849246085904</v>
      </c>
      <c r="AS36" s="48">
        <f t="shared" si="6"/>
        <v>4.6690619671855078</v>
      </c>
      <c r="AT36" s="48">
        <f t="shared" si="6"/>
        <v>4.7421810618625413</v>
      </c>
      <c r="AU36" s="48">
        <f t="shared" si="6"/>
        <v>4.8156438162845552</v>
      </c>
      <c r="AV36" s="48">
        <f t="shared" si="6"/>
        <v>4.889451845652351</v>
      </c>
      <c r="AW36" s="48">
        <f t="shared" si="6"/>
        <v>4.9636067727581805</v>
      </c>
      <c r="AX36" s="48">
        <f t="shared" si="6"/>
        <v>5.0381102280214058</v>
      </c>
      <c r="AY36" s="48">
        <f t="shared" si="6"/>
        <v>5.1129638495243679</v>
      </c>
      <c r="AZ36" s="48">
        <f t="shared" si="6"/>
        <v>5.1881692830483921</v>
      </c>
      <c r="BA36" s="48">
        <f t="shared" si="6"/>
        <v>5.2637281821099791</v>
      </c>
      <c r="BB36" s="48">
        <f t="shared" si="6"/>
        <v>5.3396422079971586</v>
      </c>
      <c r="BC36" s="48">
        <f t="shared" si="6"/>
        <v>5.4159130298060072</v>
      </c>
      <c r="BD36" s="48">
        <f t="shared" si="6"/>
        <v>5.4925423244773537</v>
      </c>
      <c r="BE36" s="48">
        <f t="shared" si="6"/>
        <v>5.5695317768336601</v>
      </c>
      <c r="BF36" s="48">
        <f t="shared" si="6"/>
        <v>5.6468830796160399</v>
      </c>
      <c r="BG36" s="48">
        <f t="shared" si="6"/>
        <v>5.7245979335214976</v>
      </c>
      <c r="BH36" s="48">
        <f>BH33*0.34</f>
        <v>0</v>
      </c>
    </row>
    <row r="37" spans="1:60" ht="15" hidden="1" customHeight="1" outlineLevel="1" x14ac:dyDescent="0.25">
      <c r="A37" s="1575">
        <f>C37*1000000/$C$16</f>
        <v>15.588317147479591</v>
      </c>
      <c r="B37" s="1596" t="s">
        <v>919</v>
      </c>
      <c r="C37" s="1562">
        <f>SUMIF($D$15:$BG$15,1,D37:BG37)</f>
        <v>85.649146402905046</v>
      </c>
      <c r="D37" s="1559">
        <f t="shared" ref="D37:AJ37" si="7">NPV($C$8,D36:D36)</f>
        <v>0</v>
      </c>
      <c r="E37" s="48">
        <f t="shared" si="7"/>
        <v>0</v>
      </c>
      <c r="F37" s="48">
        <f t="shared" si="7"/>
        <v>0</v>
      </c>
      <c r="G37" s="48">
        <f t="shared" si="7"/>
        <v>2.1089754223815662</v>
      </c>
      <c r="H37" s="48">
        <f t="shared" si="7"/>
        <v>2.1655201049816308</v>
      </c>
      <c r="I37" s="48">
        <f t="shared" si="7"/>
        <v>2.2223305475899173</v>
      </c>
      <c r="J37" s="48">
        <f t="shared" si="7"/>
        <v>2.2794079992784626</v>
      </c>
      <c r="K37" s="48">
        <f t="shared" si="7"/>
        <v>2.3367537149899427</v>
      </c>
      <c r="L37" s="48">
        <f t="shared" si="7"/>
        <v>2.3943689555652696</v>
      </c>
      <c r="M37" s="48">
        <f t="shared" si="7"/>
        <v>2.4522549877712967</v>
      </c>
      <c r="N37" s="48">
        <f t="shared" si="7"/>
        <v>2.5104130843286958</v>
      </c>
      <c r="O37" s="48">
        <f t="shared" si="7"/>
        <v>2.5688445239399109</v>
      </c>
      <c r="P37" s="48">
        <f t="shared" si="7"/>
        <v>2.6275505913173012</v>
      </c>
      <c r="Q37" s="48">
        <f t="shared" si="7"/>
        <v>2.6865325772113637</v>
      </c>
      <c r="R37" s="48">
        <f t="shared" si="7"/>
        <v>2.7457917784391275</v>
      </c>
      <c r="S37" s="48">
        <f t="shared" si="7"/>
        <v>2.6275505913173012</v>
      </c>
      <c r="T37" s="48">
        <f t="shared" si="7"/>
        <v>2.6865325772113637</v>
      </c>
      <c r="U37" s="48">
        <f t="shared" si="7"/>
        <v>2.7457917784391275</v>
      </c>
      <c r="V37" s="48">
        <f t="shared" si="7"/>
        <v>2.8053294979126648</v>
      </c>
      <c r="W37" s="48">
        <f t="shared" si="7"/>
        <v>2.8651470446677267</v>
      </c>
      <c r="X37" s="48">
        <f t="shared" si="7"/>
        <v>2.9252457338925368</v>
      </c>
      <c r="Y37" s="48">
        <f t="shared" si="7"/>
        <v>2.9856268869567044</v>
      </c>
      <c r="Z37" s="48">
        <f t="shared" si="7"/>
        <v>3.0462918314402709</v>
      </c>
      <c r="AA37" s="48">
        <f t="shared" si="7"/>
        <v>3.1072419011629124</v>
      </c>
      <c r="AB37" s="48">
        <f t="shared" si="7"/>
        <v>3.1684784362132512</v>
      </c>
      <c r="AC37" s="48">
        <f t="shared" si="7"/>
        <v>3.2300027829783229</v>
      </c>
      <c r="AD37" s="48">
        <f t="shared" si="7"/>
        <v>3.2918162941731941</v>
      </c>
      <c r="AE37" s="48">
        <f t="shared" si="7"/>
        <v>3.3539203288706818</v>
      </c>
      <c r="AF37" s="48">
        <f t="shared" si="7"/>
        <v>3.4163162525312454</v>
      </c>
      <c r="AG37" s="48">
        <f t="shared" si="7"/>
        <v>3.4790054370330137</v>
      </c>
      <c r="AH37" s="48">
        <f t="shared" si="7"/>
        <v>3.5419892607019396</v>
      </c>
      <c r="AI37" s="48">
        <f t="shared" si="7"/>
        <v>3.6052691083421124</v>
      </c>
      <c r="AJ37" s="48">
        <f t="shared" si="7"/>
        <v>3.6688463712661896</v>
      </c>
      <c r="AK37" s="48"/>
      <c r="AL37" s="48"/>
      <c r="AM37" s="48"/>
      <c r="AN37" s="48"/>
      <c r="AO37" s="48"/>
      <c r="AP37" s="48"/>
      <c r="AQ37" s="48"/>
      <c r="AR37" s="48"/>
      <c r="AS37" s="48"/>
      <c r="AT37" s="48"/>
      <c r="AU37" s="48"/>
      <c r="AV37" s="48"/>
      <c r="AW37" s="48"/>
      <c r="AX37" s="48"/>
      <c r="AY37" s="48"/>
      <c r="AZ37" s="48"/>
      <c r="BA37" s="48"/>
      <c r="BB37" s="48"/>
      <c r="BC37" s="48"/>
      <c r="BD37" s="48"/>
      <c r="BE37" s="48"/>
      <c r="BF37" s="48"/>
      <c r="BG37" s="48"/>
      <c r="BH37" s="48"/>
    </row>
    <row r="38" spans="1:60" ht="15" hidden="1" customHeight="1" outlineLevel="1" x14ac:dyDescent="0.25">
      <c r="A38" s="1575"/>
      <c r="B38" s="749"/>
      <c r="C38" s="1562"/>
      <c r="D38" s="1559"/>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48"/>
      <c r="BA38" s="48"/>
      <c r="BB38" s="48"/>
      <c r="BC38" s="48"/>
      <c r="BD38" s="48"/>
      <c r="BE38" s="48"/>
      <c r="BF38" s="48"/>
      <c r="BG38" s="48"/>
      <c r="BH38" s="48"/>
    </row>
    <row r="39" spans="1:60" ht="15" hidden="1" customHeight="1" outlineLevel="1" x14ac:dyDescent="0.25">
      <c r="A39" s="1575">
        <f>C39*1000000/$C$16</f>
        <v>-1.5516940809425563</v>
      </c>
      <c r="B39" s="1549" t="s">
        <v>908</v>
      </c>
      <c r="C39" s="1563">
        <f>SUMIF($D$15:$BG$15,1,D39:BG39)</f>
        <v>-8.5256973061173849</v>
      </c>
      <c r="D39" s="1559">
        <f>'C-FCL Real'!C156</f>
        <v>-44.573699346163096</v>
      </c>
      <c r="E39" s="48">
        <f>'C-FCL Real'!D156</f>
        <v>-86.148067740748985</v>
      </c>
      <c r="F39" s="48">
        <f>'C-FCL Real'!E156</f>
        <v>-76.297725825105672</v>
      </c>
      <c r="G39" s="48">
        <f>'C-FCL Real'!F156</f>
        <v>4.492638690659442</v>
      </c>
      <c r="H39" s="48">
        <f>'C-FCL Real'!G156</f>
        <v>4.613092834460339</v>
      </c>
      <c r="I39" s="48">
        <f>'C-FCL Real'!H156</f>
        <v>4.7341131127371048</v>
      </c>
      <c r="J39" s="48">
        <f>'C-FCL Real'!I156</f>
        <v>4.8557021863217704</v>
      </c>
      <c r="K39" s="48">
        <f>'C-FCL Real'!J156</f>
        <v>4.9778627285522807</v>
      </c>
      <c r="L39" s="48">
        <f>'C-FCL Real'!K156</f>
        <v>5.1005974253312818</v>
      </c>
      <c r="M39" s="48">
        <f>'C-FCL Real'!L156</f>
        <v>5.2239089751851351</v>
      </c>
      <c r="N39" s="48">
        <f>'C-FCL Real'!M156</f>
        <v>5.3478000893233082</v>
      </c>
      <c r="O39" s="48">
        <f>'C-FCL Real'!N156</f>
        <v>5.4722734916979245</v>
      </c>
      <c r="P39" s="48">
        <f>'C-FCL Real'!O156</f>
        <v>5.5973319190637056</v>
      </c>
      <c r="Q39" s="48">
        <f>'C-FCL Real'!P156</f>
        <v>5.7229781210381034</v>
      </c>
      <c r="R39" s="48">
        <f>'C-FCL Real'!Q156</f>
        <v>5.8492148601617791</v>
      </c>
      <c r="S39" s="48">
        <f>'C-FCL Real'!O156</f>
        <v>5.5973319190637056</v>
      </c>
      <c r="T39" s="48">
        <f>'C-FCL Real'!P156</f>
        <v>5.7229781210381034</v>
      </c>
      <c r="U39" s="48">
        <f>'C-FCL Real'!Q156</f>
        <v>5.8492148601617791</v>
      </c>
      <c r="V39" s="48">
        <f>'C-FCL Real'!R156</f>
        <v>5.9760449119593417</v>
      </c>
      <c r="W39" s="48">
        <f>'C-FCL Real'!S156</f>
        <v>6.1034710650003516</v>
      </c>
      <c r="X39" s="48">
        <f>'C-FCL Real'!T156</f>
        <v>6.2314961209606521</v>
      </c>
      <c r="Y39" s="48">
        <f>'C-FCL Real'!U156</f>
        <v>6.3601228946839692</v>
      </c>
      <c r="Z39" s="48">
        <f>'C-FCL Real'!V156</f>
        <v>6.4893542142437797</v>
      </c>
      <c r="AA39" s="48">
        <f>'C-FCL Real'!W156</f>
        <v>6.6191929210055251</v>
      </c>
      <c r="AB39" s="48">
        <f>'C-FCL Real'!X156</f>
        <v>6.7496418696890537</v>
      </c>
      <c r="AC39" s="48">
        <f>'C-FCL Real'!Y156</f>
        <v>6.8807039284313865</v>
      </c>
      <c r="AD39" s="48">
        <f>'C-FCL Real'!Z156</f>
        <v>7.0123819788498167</v>
      </c>
      <c r="AE39" s="48">
        <f>'C-FCL Real'!AA156</f>
        <v>7.1446789161052129</v>
      </c>
      <c r="AF39" s="48">
        <f>'C-FCL Real'!AB156</f>
        <v>7.2775976489657062</v>
      </c>
      <c r="AG39" s="48">
        <f>'C-FCL Real'!AC156</f>
        <v>7.411141099870644</v>
      </c>
      <c r="AH39" s="48">
        <f>'C-FCL Real'!AD156</f>
        <v>7.5453122049948336</v>
      </c>
      <c r="AI39" s="48">
        <f>'C-FCL Real'!AE156</f>
        <v>7.6801139143131127</v>
      </c>
      <c r="AJ39" s="48">
        <f>'C-FCL Real'!AF156</f>
        <v>7.8155491916651787</v>
      </c>
      <c r="AK39" s="48">
        <f>'C-FCL Real'!AG156</f>
        <v>7.9516210148208044</v>
      </c>
      <c r="AL39" s="48">
        <f>'C-FCL Real'!AH156</f>
        <v>8.088332375545269</v>
      </c>
      <c r="AM39" s="48">
        <f>'C-FCL Real'!AI156</f>
        <v>8.2256862796651298</v>
      </c>
      <c r="AN39" s="48">
        <f>'C-FCL Real'!AJ156</f>
        <v>8.3636857471343546</v>
      </c>
      <c r="AO39" s="48">
        <f>'C-FCL Real'!AK156</f>
        <v>8.5023338121006855</v>
      </c>
      <c r="AP39" s="48">
        <f>'C-FCL Real'!AL156</f>
        <v>8.6416335229723593</v>
      </c>
      <c r="AQ39" s="48">
        <f>'C-FCL Real'!AM156</f>
        <v>8.7815879424851264</v>
      </c>
      <c r="AR39" s="48">
        <f>'C-FCL Real'!AN156</f>
        <v>8.9222001477696153</v>
      </c>
      <c r="AS39" s="48">
        <f>'C-FCL Real'!AO156</f>
        <v>9.0634732304189267</v>
      </c>
      <c r="AT39" s="48">
        <f>'C-FCL Real'!AP156</f>
        <v>9.205410296556698</v>
      </c>
      <c r="AU39" s="48">
        <f>'C-FCL Real'!AQ156</f>
        <v>9.3480144669053136</v>
      </c>
      <c r="AV39" s="48">
        <f>'C-FCL Real'!AR156</f>
        <v>9.4912888768545631</v>
      </c>
      <c r="AW39" s="48">
        <f>'C-FCL Real'!AS156</f>
        <v>9.6352366765305852</v>
      </c>
      <c r="AX39" s="48">
        <f>'C-FCL Real'!AT156</f>
        <v>9.7798610308650815</v>
      </c>
      <c r="AY39" s="48">
        <f>'C-FCL Real'!AU156</f>
        <v>9.9251651196649497</v>
      </c>
      <c r="AZ39" s="48">
        <f>'C-FCL Real'!AV156</f>
        <v>10.071152137682173</v>
      </c>
      <c r="BA39" s="48">
        <f>'C-FCL Real'!AW156</f>
        <v>10.217825294684078</v>
      </c>
      <c r="BB39" s="48">
        <f>'C-FCL Real'!AX156</f>
        <v>10.365187815523896</v>
      </c>
      <c r="BC39" s="48">
        <f>'C-FCL Real'!AY156</f>
        <v>10.513242940211661</v>
      </c>
      <c r="BD39" s="48">
        <f>'C-FCL Real'!AZ156</f>
        <v>10.661993923985451</v>
      </c>
      <c r="BE39" s="48">
        <f>'C-FCL Real'!BA156</f>
        <v>10.811444037382987</v>
      </c>
      <c r="BF39" s="48">
        <f>'C-FCL Real'!BB156</f>
        <v>10.961596566313489</v>
      </c>
      <c r="BG39" s="48">
        <f>'C-FCL Real'!BC156</f>
        <v>11.112454812129966</v>
      </c>
      <c r="BH39" s="48">
        <f>'C-FCL Real'!BD156</f>
        <v>0</v>
      </c>
    </row>
    <row r="40" spans="1:60" ht="15" hidden="1" customHeight="1" outlineLevel="1" x14ac:dyDescent="0.25">
      <c r="A40" s="1575">
        <f>C40*1000000/$C$16</f>
        <v>-2.7554099358881454</v>
      </c>
      <c r="B40" s="1596" t="s">
        <v>921</v>
      </c>
      <c r="C40" s="1562">
        <f>SUMIF($D$15:$BG$15,1,D40:BG40)</f>
        <v>-15.139447495591954</v>
      </c>
      <c r="D40" s="1559">
        <f t="shared" ref="D40:AK40" si="8">NPV($C$8,D39:D39)</f>
        <v>-40.617549978278745</v>
      </c>
      <c r="E40" s="48">
        <f t="shared" si="8"/>
        <v>-78.501975342399305</v>
      </c>
      <c r="F40" s="48">
        <f t="shared" si="8"/>
        <v>-69.525902884185967</v>
      </c>
      <c r="G40" s="48">
        <f t="shared" si="8"/>
        <v>4.0938934669759819</v>
      </c>
      <c r="H40" s="48">
        <f t="shared" si="8"/>
        <v>4.2036566743761066</v>
      </c>
      <c r="I40" s="48">
        <f t="shared" si="8"/>
        <v>4.3139357688510165</v>
      </c>
      <c r="J40" s="48">
        <f t="shared" si="8"/>
        <v>4.4247331750699566</v>
      </c>
      <c r="K40" s="48">
        <f t="shared" si="8"/>
        <v>4.5360513290981235</v>
      </c>
      <c r="L40" s="48">
        <f t="shared" si="8"/>
        <v>4.6478926784502299</v>
      </c>
      <c r="M40" s="48">
        <f t="shared" si="8"/>
        <v>4.760259682144282</v>
      </c>
      <c r="N40" s="48">
        <f t="shared" si="8"/>
        <v>4.873154810755703</v>
      </c>
      <c r="O40" s="48">
        <f t="shared" si="8"/>
        <v>4.9865805464715915</v>
      </c>
      <c r="P40" s="48">
        <f t="shared" si="8"/>
        <v>5.1005393831453487</v>
      </c>
      <c r="Q40" s="48">
        <f t="shared" si="8"/>
        <v>5.2150338263514708</v>
      </c>
      <c r="R40" s="48">
        <f t="shared" si="8"/>
        <v>5.3300663934406591</v>
      </c>
      <c r="S40" s="48">
        <f t="shared" si="8"/>
        <v>5.1005393831453487</v>
      </c>
      <c r="T40" s="48">
        <f t="shared" si="8"/>
        <v>5.2150338263514708</v>
      </c>
      <c r="U40" s="48">
        <f t="shared" si="8"/>
        <v>5.3300663934406591</v>
      </c>
      <c r="V40" s="48">
        <f t="shared" si="8"/>
        <v>5.4456396135951719</v>
      </c>
      <c r="W40" s="48">
        <f t="shared" si="8"/>
        <v>5.5617560278844103</v>
      </c>
      <c r="X40" s="48">
        <f t="shared" si="8"/>
        <v>5.6784181893208059</v>
      </c>
      <c r="Y40" s="48">
        <f t="shared" si="8"/>
        <v>5.7956286629159557</v>
      </c>
      <c r="Z40" s="48">
        <f t="shared" si="8"/>
        <v>5.9133900257369962</v>
      </c>
      <c r="AA40" s="48">
        <f t="shared" si="8"/>
        <v>6.0317048669632998</v>
      </c>
      <c r="AB40" s="48">
        <f t="shared" si="8"/>
        <v>6.15057578794337</v>
      </c>
      <c r="AC40" s="48">
        <f t="shared" si="8"/>
        <v>6.2700054022520382</v>
      </c>
      <c r="AD40" s="48">
        <f t="shared" si="8"/>
        <v>6.3899963357479654</v>
      </c>
      <c r="AE40" s="48">
        <f t="shared" si="8"/>
        <v>6.5105512266313221</v>
      </c>
      <c r="AF40" s="48">
        <f t="shared" si="8"/>
        <v>6.6316727255018284</v>
      </c>
      <c r="AG40" s="48">
        <f t="shared" si="8"/>
        <v>6.7533634954170259</v>
      </c>
      <c r="AH40" s="48">
        <f t="shared" si="8"/>
        <v>6.8756262119508236</v>
      </c>
      <c r="AI40" s="48">
        <f t="shared" si="8"/>
        <v>6.9984635632523355</v>
      </c>
      <c r="AJ40" s="48">
        <f t="shared" si="8"/>
        <v>7.121878250104956</v>
      </c>
      <c r="AK40" s="48">
        <f t="shared" si="8"/>
        <v>7.2458729859857893</v>
      </c>
      <c r="AL40" s="48"/>
      <c r="AM40" s="48"/>
      <c r="AN40" s="48"/>
      <c r="AO40" s="48"/>
      <c r="AP40" s="48"/>
      <c r="AQ40" s="48"/>
      <c r="AR40" s="48"/>
      <c r="AS40" s="48"/>
      <c r="AT40" s="48"/>
      <c r="AU40" s="48"/>
      <c r="AV40" s="48"/>
      <c r="AW40" s="48"/>
      <c r="AX40" s="48"/>
      <c r="AY40" s="48"/>
      <c r="AZ40" s="48"/>
      <c r="BA40" s="48"/>
      <c r="BB40" s="48"/>
      <c r="BC40" s="48"/>
      <c r="BD40" s="48"/>
      <c r="BE40" s="48"/>
      <c r="BF40" s="48"/>
      <c r="BG40" s="48"/>
      <c r="BH40" s="48"/>
    </row>
    <row r="41" spans="1:60" ht="15" hidden="1" customHeight="1" outlineLevel="1" x14ac:dyDescent="0.25">
      <c r="A41" s="35"/>
      <c r="B41" s="749"/>
      <c r="C41" s="1562"/>
      <c r="D41" s="1559"/>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48"/>
      <c r="BA41" s="48"/>
      <c r="BB41" s="48"/>
      <c r="BC41" s="48"/>
      <c r="BD41" s="48"/>
      <c r="BE41" s="48"/>
      <c r="BF41" s="48"/>
      <c r="BG41" s="48"/>
      <c r="BH41" s="48"/>
    </row>
    <row r="42" spans="1:60" ht="15" hidden="1" customHeight="1" outlineLevel="1" x14ac:dyDescent="0.25">
      <c r="A42" s="1575">
        <f>A24+A27+A30</f>
        <v>262.25144445546357</v>
      </c>
      <c r="B42" s="1548" t="s">
        <v>909</v>
      </c>
      <c r="C42" s="1562"/>
      <c r="D42" s="1559">
        <f>'C-FCL Real'!C157</f>
        <v>-44.573699346163096</v>
      </c>
      <c r="E42" s="48">
        <f>'C-FCL Real'!D157</f>
        <v>-130.72176708691208</v>
      </c>
      <c r="F42" s="48">
        <f>'C-FCL Real'!E157</f>
        <v>-207.01949291201777</v>
      </c>
      <c r="G42" s="48">
        <f>'C-FCL Real'!F157</f>
        <v>-202.52685422135832</v>
      </c>
      <c r="H42" s="48">
        <f>'C-FCL Real'!G157</f>
        <v>-197.91376138689799</v>
      </c>
      <c r="I42" s="48">
        <f>'C-FCL Real'!H157</f>
        <v>-193.17964827416088</v>
      </c>
      <c r="J42" s="48">
        <f>'C-FCL Real'!I157</f>
        <v>-188.32394608783912</v>
      </c>
      <c r="K42" s="48">
        <f>'C-FCL Real'!J157</f>
        <v>-183.34608335928684</v>
      </c>
      <c r="L42" s="48">
        <f>'C-FCL Real'!K157</f>
        <v>-178.24548593395556</v>
      </c>
      <c r="M42" s="48">
        <f>'C-FCL Real'!L157</f>
        <v>-173.02157695877042</v>
      </c>
      <c r="N42" s="48">
        <f>'C-FCL Real'!M157</f>
        <v>-167.67377686944712</v>
      </c>
      <c r="O42" s="48">
        <f>'C-FCL Real'!N157</f>
        <v>-162.20150337774919</v>
      </c>
      <c r="P42" s="48">
        <f>'C-FCL Real'!O157</f>
        <v>-156.60417145868547</v>
      </c>
      <c r="Q42" s="48">
        <f>'C-FCL Real'!P157</f>
        <v>-150.88119333764737</v>
      </c>
      <c r="R42" s="48">
        <f>'C-FCL Real'!Q157</f>
        <v>-145.03197847748561</v>
      </c>
      <c r="S42" s="48">
        <f>'C-FCL Real'!O157</f>
        <v>-156.60417145868547</v>
      </c>
      <c r="T42" s="48">
        <f>'C-FCL Real'!P157</f>
        <v>-150.88119333764737</v>
      </c>
      <c r="U42" s="48">
        <f>'C-FCL Real'!Q157</f>
        <v>-145.03197847748561</v>
      </c>
      <c r="V42" s="48">
        <f>'C-FCL Real'!R157</f>
        <v>-139.05593356552626</v>
      </c>
      <c r="W42" s="48">
        <f>'C-FCL Real'!S157</f>
        <v>-132.95246250052591</v>
      </c>
      <c r="X42" s="48">
        <f>'C-FCL Real'!T157</f>
        <v>-126.72096637956525</v>
      </c>
      <c r="Y42" s="48">
        <f>'C-FCL Real'!U157</f>
        <v>-120.36084348488129</v>
      </c>
      <c r="Z42" s="48">
        <f>'C-FCL Real'!V157</f>
        <v>-113.87148927063751</v>
      </c>
      <c r="AA42" s="48">
        <f>'C-FCL Real'!W157</f>
        <v>-107.25229634963199</v>
      </c>
      <c r="AB42" s="48">
        <f>'C-FCL Real'!X157</f>
        <v>-100.50265447994293</v>
      </c>
      <c r="AC42" s="48">
        <f>'C-FCL Real'!Y157</f>
        <v>-93.621950551511546</v>
      </c>
      <c r="AD42" s="48">
        <f>'C-FCL Real'!Z157</f>
        <v>-86.609568572661729</v>
      </c>
      <c r="AE42" s="48">
        <f>'C-FCL Real'!AA157</f>
        <v>-79.464889656556522</v>
      </c>
      <c r="AF42" s="48">
        <f>'C-FCL Real'!AB157</f>
        <v>-72.187292007590813</v>
      </c>
      <c r="AG42" s="48">
        <f>'C-FCL Real'!AC157</f>
        <v>-64.776150907720165</v>
      </c>
      <c r="AH42" s="48">
        <f>'C-FCL Real'!AD157</f>
        <v>-57.230838702725329</v>
      </c>
      <c r="AI42" s="48">
        <f>'C-FCL Real'!AE157</f>
        <v>-49.550724788412218</v>
      </c>
      <c r="AJ42" s="48">
        <f>'C-FCL Real'!AF157</f>
        <v>-41.735175596747041</v>
      </c>
      <c r="AK42" s="48">
        <f>'C-FCL Real'!AG157</f>
        <v>-33.783554581926239</v>
      </c>
      <c r="AL42" s="48">
        <f>'C-FCL Real'!AH157</f>
        <v>-25.695222206380969</v>
      </c>
      <c r="AM42" s="48">
        <f>'C-FCL Real'!AI157</f>
        <v>-17.469535926715839</v>
      </c>
      <c r="AN42" s="48">
        <f>'C-FCL Real'!AJ157</f>
        <v>-9.1058501795814841</v>
      </c>
      <c r="AO42" s="48">
        <f>'C-FCL Real'!AK157</f>
        <v>-0.60351636748079862</v>
      </c>
      <c r="AP42" s="48">
        <f>'C-FCL Real'!AL157</f>
        <v>8.0381171554915607</v>
      </c>
      <c r="AQ42" s="48">
        <f>'C-FCL Real'!AM157</f>
        <v>16.819705097976687</v>
      </c>
      <c r="AR42" s="48">
        <f>'C-FCL Real'!AN157</f>
        <v>25.741905245746302</v>
      </c>
      <c r="AS42" s="48">
        <f>'C-FCL Real'!AO157</f>
        <v>34.805378476165231</v>
      </c>
      <c r="AT42" s="48">
        <f>'C-FCL Real'!AP157</f>
        <v>44.010788772721931</v>
      </c>
      <c r="AU42" s="48">
        <f>'C-FCL Real'!AQ157</f>
        <v>53.358803239627242</v>
      </c>
      <c r="AV42" s="48">
        <f>'C-FCL Real'!AR157</f>
        <v>62.850092116481804</v>
      </c>
      <c r="AW42" s="48">
        <f>'C-FCL Real'!AS157</f>
        <v>72.485328793012386</v>
      </c>
      <c r="AX42" s="48">
        <f>'C-FCL Real'!AT157</f>
        <v>82.265189823877463</v>
      </c>
      <c r="AY42" s="48">
        <f>'C-FCL Real'!AU157</f>
        <v>92.190354943542417</v>
      </c>
      <c r="AZ42" s="48">
        <f>'C-FCL Real'!AV157</f>
        <v>102.26150708122459</v>
      </c>
      <c r="BA42" s="48">
        <f>'C-FCL Real'!AW157</f>
        <v>112.47933237590867</v>
      </c>
      <c r="BB42" s="48">
        <f>'C-FCL Real'!AX157</f>
        <v>122.84452019143257</v>
      </c>
      <c r="BC42" s="48">
        <f>'C-FCL Real'!AY157</f>
        <v>133.35776313164422</v>
      </c>
      <c r="BD42" s="48">
        <f>'C-FCL Real'!AZ157</f>
        <v>144.01975705562967</v>
      </c>
      <c r="BE42" s="48">
        <f>'C-FCL Real'!BA157</f>
        <v>154.83120109301265</v>
      </c>
      <c r="BF42" s="48">
        <f>'C-FCL Real'!BB157</f>
        <v>165.79279765932614</v>
      </c>
      <c r="BG42" s="48">
        <f>'C-FCL Real'!BC157</f>
        <v>176.90525247145609</v>
      </c>
      <c r="BH42" s="48">
        <f>'C-FCL Real'!BD157</f>
        <v>0</v>
      </c>
    </row>
    <row r="43" spans="1:60" ht="15" hidden="1" customHeight="1" outlineLevel="1" x14ac:dyDescent="0.25">
      <c r="A43" s="1575">
        <f>A18+A21+A36</f>
        <v>263.8031385364061</v>
      </c>
      <c r="B43" s="1548" t="s">
        <v>948</v>
      </c>
      <c r="C43" s="1564">
        <f>'R&amp;C-Painel de Controle'!D32</f>
        <v>35</v>
      </c>
      <c r="D43" s="1551" t="s">
        <v>260</v>
      </c>
    </row>
    <row r="44" spans="1:60" ht="15" hidden="1" customHeight="1" outlineLevel="1" x14ac:dyDescent="0.25">
      <c r="A44" s="1575">
        <f>A42-A43</f>
        <v>-1.551694080942525</v>
      </c>
      <c r="B44" s="1548" t="s">
        <v>930</v>
      </c>
      <c r="C44" s="33"/>
      <c r="D44" s="749"/>
      <c r="F44" s="1498"/>
      <c r="G44" s="1498"/>
    </row>
    <row r="45" spans="1:60" ht="15" hidden="1" customHeight="1" outlineLevel="1" x14ac:dyDescent="0.25">
      <c r="A45" s="1575"/>
      <c r="B45" s="1832" t="s">
        <v>1031</v>
      </c>
      <c r="C45" s="1833">
        <v>160</v>
      </c>
      <c r="D45" s="1834" t="s">
        <v>293</v>
      </c>
      <c r="E45" s="1835"/>
      <c r="F45" s="1836"/>
      <c r="G45" s="1836"/>
      <c r="H45" s="1835"/>
    </row>
    <row r="46" spans="1:60" ht="15" hidden="1" customHeight="1" outlineLevel="1" x14ac:dyDescent="0.25">
      <c r="B46" s="1501" t="s">
        <v>927</v>
      </c>
      <c r="C46" s="1563">
        <f>F46*$C$16/1000000</f>
        <v>1380.2013929720226</v>
      </c>
      <c r="D46" s="1518" t="s">
        <v>967</v>
      </c>
      <c r="E46" s="1518"/>
      <c r="F46" s="1534">
        <f>A27</f>
        <v>251.19943332338045</v>
      </c>
      <c r="G46" s="1518" t="s">
        <v>293</v>
      </c>
      <c r="H46" s="1518"/>
    </row>
    <row r="47" spans="1:60" ht="15" hidden="1" customHeight="1" outlineLevel="1" x14ac:dyDescent="0.25">
      <c r="B47" s="1618" t="s">
        <v>928</v>
      </c>
      <c r="C47" s="1619">
        <f>F47*$C$16/1000000</f>
        <v>0</v>
      </c>
      <c r="D47" s="1620" t="s">
        <v>967</v>
      </c>
      <c r="E47" s="1620"/>
      <c r="F47" s="1621">
        <f>A24</f>
        <v>0</v>
      </c>
      <c r="G47" s="1620" t="s">
        <v>293</v>
      </c>
      <c r="H47" s="1620"/>
    </row>
    <row r="48" spans="1:60" ht="15" hidden="1" customHeight="1" outlineLevel="1" thickBot="1" x14ac:dyDescent="0.3">
      <c r="B48" s="1501" t="s">
        <v>929</v>
      </c>
      <c r="C48" s="1563">
        <f>F48*$C$16/1000000</f>
        <v>60.724663896857848</v>
      </c>
      <c r="D48" s="1518" t="s">
        <v>967</v>
      </c>
      <c r="E48" s="1518"/>
      <c r="F48" s="1534">
        <f>A30</f>
        <v>11.052011132083127</v>
      </c>
      <c r="G48" s="1518" t="s">
        <v>293</v>
      </c>
      <c r="H48" s="1518"/>
    </row>
    <row r="49" spans="1:8" s="39" customFormat="1" ht="15" hidden="1" customHeight="1" outlineLevel="1" thickTop="1" x14ac:dyDescent="0.25">
      <c r="B49" s="1519" t="s">
        <v>931</v>
      </c>
      <c r="C49" s="1536">
        <f>C46+C47+C48</f>
        <v>1440.9260568688806</v>
      </c>
      <c r="D49" s="1520" t="s">
        <v>967</v>
      </c>
      <c r="E49" s="1520"/>
      <c r="F49" s="1521">
        <f>F46+F47+F48</f>
        <v>262.25144445546357</v>
      </c>
      <c r="G49" s="1520" t="s">
        <v>293</v>
      </c>
      <c r="H49" s="1520"/>
    </row>
    <row r="50" spans="1:8" ht="15" hidden="1" customHeight="1" outlineLevel="1" x14ac:dyDescent="0.25">
      <c r="B50" s="1618" t="s">
        <v>933</v>
      </c>
      <c r="C50" s="1619">
        <f>F50*$C$16/1000000</f>
        <v>1347.1973746204428</v>
      </c>
      <c r="D50" s="1620" t="s">
        <v>967</v>
      </c>
      <c r="E50" s="1620"/>
      <c r="F50" s="1621">
        <f>A18+A21</f>
        <v>245.1926355114619</v>
      </c>
      <c r="G50" s="1620" t="s">
        <v>293</v>
      </c>
      <c r="H50" s="1620"/>
    </row>
    <row r="51" spans="1:8" ht="15" hidden="1" customHeight="1" outlineLevel="1" x14ac:dyDescent="0.25">
      <c r="B51" s="1501" t="s">
        <v>934</v>
      </c>
      <c r="C51" s="1574">
        <f>F51*$C$16/1000000</f>
        <v>102.25437955455476</v>
      </c>
      <c r="D51" s="1518" t="s">
        <v>967</v>
      </c>
      <c r="E51" s="1518"/>
      <c r="F51" s="1535">
        <f>A36</f>
        <v>18.610503024944194</v>
      </c>
      <c r="G51" s="1518" t="s">
        <v>293</v>
      </c>
      <c r="H51" s="1518"/>
    </row>
    <row r="52" spans="1:8" s="1499" customFormat="1" ht="15" hidden="1" customHeight="1" outlineLevel="1" thickBot="1" x14ac:dyDescent="0.3">
      <c r="B52" s="1554"/>
      <c r="C52" s="1573"/>
      <c r="D52" s="1529"/>
      <c r="E52" s="1529"/>
      <c r="F52" s="1529"/>
      <c r="G52" s="1529"/>
      <c r="H52" s="1529"/>
    </row>
    <row r="53" spans="1:8" s="42" customFormat="1" ht="15" hidden="1" customHeight="1" outlineLevel="1" thickTop="1" x14ac:dyDescent="0.25">
      <c r="B53" s="1592" t="s">
        <v>932</v>
      </c>
      <c r="C53" s="1593">
        <f>C49-C50-C51</f>
        <v>-8.5256973061170243</v>
      </c>
      <c r="D53" s="1594" t="s">
        <v>967</v>
      </c>
      <c r="E53" s="1594"/>
      <c r="F53" s="1595">
        <f>F49-F50-F51</f>
        <v>-1.551694080942525</v>
      </c>
      <c r="G53" s="1594" t="s">
        <v>293</v>
      </c>
      <c r="H53" s="1594"/>
    </row>
    <row r="54" spans="1:8" ht="15" customHeight="1" thickTop="1" thickBot="1" x14ac:dyDescent="0.3">
      <c r="A54" s="1575"/>
      <c r="D54" s="749"/>
      <c r="F54" s="1498"/>
      <c r="G54" s="1498"/>
    </row>
    <row r="55" spans="1:8" s="1528" customFormat="1" ht="25.15" customHeight="1" collapsed="1" thickTop="1" thickBot="1" x14ac:dyDescent="0.3">
      <c r="B55" s="2921" t="s">
        <v>988</v>
      </c>
      <c r="C55" s="2922"/>
      <c r="D55" s="2922"/>
      <c r="E55" s="2922"/>
      <c r="F55" s="2922"/>
      <c r="G55" s="2922"/>
      <c r="H55" s="2923"/>
    </row>
    <row r="56" spans="1:8" s="1499" customFormat="1" ht="15" hidden="1" customHeight="1" outlineLevel="1" thickTop="1" x14ac:dyDescent="0.25">
      <c r="B56" s="1552"/>
      <c r="C56" s="1565"/>
      <c r="D56" s="1508"/>
      <c r="E56" s="1508"/>
      <c r="F56" s="1509"/>
      <c r="G56" s="1508"/>
      <c r="H56" s="1510"/>
    </row>
    <row r="57" spans="1:8" s="42" customFormat="1" ht="15" hidden="1" customHeight="1" outlineLevel="1" x14ac:dyDescent="0.25">
      <c r="B57" s="1511" t="s">
        <v>923</v>
      </c>
      <c r="C57" s="1523">
        <f>C58*C59</f>
        <v>10252146.216205735</v>
      </c>
      <c r="D57" s="1512" t="s">
        <v>922</v>
      </c>
      <c r="E57" s="1512"/>
      <c r="F57" s="1513">
        <f>C57/'R&amp;C-Painel de Controle'!$D$8</f>
        <v>70.22017956305298</v>
      </c>
      <c r="G57" s="1512" t="s">
        <v>293</v>
      </c>
      <c r="H57" s="1514">
        <f>F57/$F$99</f>
        <v>0.26780540934922747</v>
      </c>
    </row>
    <row r="58" spans="1:8" s="1499" customFormat="1" ht="15" hidden="1" customHeight="1" outlineLevel="1" x14ac:dyDescent="0.25">
      <c r="B58" s="1507" t="s">
        <v>940</v>
      </c>
      <c r="C58" s="1566">
        <f>('R&amp;C-Painel de Controle'!D8-'R&amp;C-Painel de Controle'!D9)</f>
        <v>94926.28</v>
      </c>
      <c r="D58" s="1508" t="s">
        <v>249</v>
      </c>
      <c r="E58" s="1508"/>
      <c r="F58" s="1509"/>
      <c r="G58" s="1508"/>
      <c r="H58" s="1510"/>
    </row>
    <row r="59" spans="1:8" s="1499" customFormat="1" ht="15" hidden="1" customHeight="1" outlineLevel="1" x14ac:dyDescent="0.25">
      <c r="B59" s="1524" t="s">
        <v>941</v>
      </c>
      <c r="C59" s="1567">
        <f>IF('R-Definição'!E121="Novo",(('R&amp;C-Painel de Controle'!L73*'C-Dados RT Simplif.'!C105+'R&amp;C-Painel de Controle'!P73*'C-Dados RT Simplif.'!C105*'C-Dados RT Simplif.'!C7)/('C-Dados RT Simplif.'!C7*'C-Dados RT Simplif.'!C105)),('R&amp;C-Painel de Controle'!D88+'R&amp;C-Painel de Controle'!D89))</f>
        <v>108.00113747431938</v>
      </c>
      <c r="D59" s="1525" t="s">
        <v>293</v>
      </c>
      <c r="E59" s="1525"/>
      <c r="F59" s="1526"/>
      <c r="G59" s="1525"/>
      <c r="H59" s="1527"/>
    </row>
    <row r="60" spans="1:8" s="1499" customFormat="1" ht="15" hidden="1" customHeight="1" outlineLevel="1" x14ac:dyDescent="0.25">
      <c r="B60" s="1553"/>
      <c r="C60" s="1568"/>
      <c r="D60" s="1503"/>
      <c r="E60" s="1503"/>
      <c r="F60" s="1504"/>
      <c r="G60" s="1503"/>
      <c r="H60" s="1505"/>
    </row>
    <row r="61" spans="1:8" s="42" customFormat="1" ht="15" hidden="1" customHeight="1" outlineLevel="1" x14ac:dyDescent="0.25">
      <c r="B61" s="1501" t="s">
        <v>942</v>
      </c>
      <c r="C61" s="1597">
        <f>IF(C68="Sim",(C62*C71+C63*C72+C64*C73+C65*C74+C66*C76+C67*C75)*C69*((1-C93)+(1-C70)*(1-C89)),0)</f>
        <v>11367731.503586518</v>
      </c>
      <c r="D61" s="1598" t="s">
        <v>922</v>
      </c>
      <c r="E61" s="1598"/>
      <c r="F61" s="1599">
        <f>C61/'R&amp;C-Painel de Controle'!$D$8</f>
        <v>77.861174682099431</v>
      </c>
      <c r="G61" s="1598" t="s">
        <v>293</v>
      </c>
      <c r="H61" s="1600">
        <f>F61/$F$99</f>
        <v>0.29694660264187983</v>
      </c>
    </row>
    <row r="62" spans="1:8" s="1499" customFormat="1" ht="15" hidden="1" customHeight="1" outlineLevel="1" x14ac:dyDescent="0.25">
      <c r="B62" s="1502" t="str">
        <f>'R&amp;C-Painel de Controle'!J36</f>
        <v>Mat. Recicl.: Papel/Papelão — Triagem Mecanizada</v>
      </c>
      <c r="C62" s="1569">
        <f>'R&amp;C-Painel de Controle'!L36</f>
        <v>5184.0582321483053</v>
      </c>
      <c r="D62" s="1503" t="s">
        <v>249</v>
      </c>
      <c r="E62" s="1503"/>
      <c r="F62" s="1504"/>
      <c r="G62" s="1503"/>
      <c r="H62" s="1505"/>
    </row>
    <row r="63" spans="1:8" s="1499" customFormat="1" ht="15" hidden="1" customHeight="1" outlineLevel="1" x14ac:dyDescent="0.25">
      <c r="B63" s="1507" t="str">
        <f>'R&amp;C-Painel de Controle'!J37</f>
        <v>Mat. Recicl.: Plástico Filme — Triagem Mecanizada</v>
      </c>
      <c r="C63" s="1566">
        <f>'R&amp;C-Painel de Controle'!L37</f>
        <v>3521.9937607725124</v>
      </c>
      <c r="D63" s="1508" t="s">
        <v>249</v>
      </c>
      <c r="E63" s="1508"/>
      <c r="F63" s="1509"/>
      <c r="G63" s="1508"/>
      <c r="H63" s="1510"/>
    </row>
    <row r="64" spans="1:8" s="1499" customFormat="1" ht="15" hidden="1" customHeight="1" outlineLevel="1" x14ac:dyDescent="0.25">
      <c r="B64" s="1507" t="str">
        <f>'R&amp;C-Painel de Controle'!J38</f>
        <v>Mat. Recicl.: Plástico Rígido — Triagem Mecanizada</v>
      </c>
      <c r="C64" s="1566">
        <f>'R&amp;C-Painel de Controle'!L38</f>
        <v>1820.3563257925346</v>
      </c>
      <c r="D64" s="1508" t="s">
        <v>249</v>
      </c>
      <c r="E64" s="1508"/>
      <c r="F64" s="1509"/>
      <c r="G64" s="1508"/>
      <c r="H64" s="1510"/>
    </row>
    <row r="65" spans="2:8" s="1499" customFormat="1" ht="15" hidden="1" customHeight="1" outlineLevel="1" x14ac:dyDescent="0.25">
      <c r="B65" s="1507" t="str">
        <f>'R&amp;C-Painel de Controle'!J39</f>
        <v>Mat. Recicl.: Vidros — Triagem Mecânica</v>
      </c>
      <c r="C65" s="1566">
        <f>'R&amp;C-Painel de Controle'!L39</f>
        <v>949.75112650045298</v>
      </c>
      <c r="D65" s="1508" t="s">
        <v>249</v>
      </c>
      <c r="E65" s="1508"/>
      <c r="F65" s="1509"/>
      <c r="G65" s="1508"/>
      <c r="H65" s="1510"/>
    </row>
    <row r="66" spans="2:8" s="1499" customFormat="1" ht="15" hidden="1" customHeight="1" outlineLevel="1" x14ac:dyDescent="0.25">
      <c r="B66" s="1507" t="str">
        <f>'R&amp;C-Painel de Controle'!J40</f>
        <v>Mat. Recicl.: Metais Não Ferrosos — Triagem Mecanizada</v>
      </c>
      <c r="C66" s="1566">
        <f>'R&amp;C-Painel de Controle'!L40</f>
        <v>237.43778162511325</v>
      </c>
      <c r="D66" s="1508" t="s">
        <v>249</v>
      </c>
      <c r="E66" s="1508"/>
      <c r="F66" s="1509"/>
      <c r="G66" s="1508"/>
      <c r="H66" s="1510"/>
    </row>
    <row r="67" spans="2:8" s="1499" customFormat="1" ht="15" hidden="1" customHeight="1" outlineLevel="1" x14ac:dyDescent="0.25">
      <c r="B67" s="1507" t="str">
        <f>'R&amp;C-Painel de Controle'!J41</f>
        <v>Mat. Recicl.: Metais Ferrosos — Triagem Mecanizada</v>
      </c>
      <c r="C67" s="1566">
        <f>'R&amp;C-Painel de Controle'!L41</f>
        <v>910.17816289626728</v>
      </c>
      <c r="D67" s="1508" t="s">
        <v>249</v>
      </c>
      <c r="E67" s="1508"/>
      <c r="F67" s="1509"/>
      <c r="G67" s="1508"/>
      <c r="H67" s="1510"/>
    </row>
    <row r="68" spans="2:8" s="1499" customFormat="1" ht="15" hidden="1" customHeight="1" outlineLevel="1" x14ac:dyDescent="0.25">
      <c r="B68" s="1507" t="str">
        <f>'R&amp;C-Painel de Controle'!B98</f>
        <v>Doação Receitas Venda Materiais Recicláveis</v>
      </c>
      <c r="C68" s="1566" t="str">
        <f>'R&amp;C-Painel de Controle'!D98</f>
        <v>Sim</v>
      </c>
      <c r="D68" s="1508" t="s">
        <v>357</v>
      </c>
      <c r="E68" s="1508"/>
      <c r="F68" s="1509"/>
      <c r="G68" s="1508"/>
      <c r="H68" s="1510"/>
    </row>
    <row r="69" spans="2:8" s="1499" customFormat="1" ht="15" hidden="1" customHeight="1" outlineLevel="1" x14ac:dyDescent="0.25">
      <c r="B69" s="1507" t="str">
        <f>'R&amp;C-Painel de Controle'!B99</f>
        <v>% Doação das Receitas aos Catadores</v>
      </c>
      <c r="C69" s="1570">
        <f>'R&amp;C-Painel de Controle'!D99</f>
        <v>1</v>
      </c>
      <c r="D69" s="1508" t="s">
        <v>194</v>
      </c>
      <c r="E69" s="1508"/>
      <c r="F69" s="1509"/>
      <c r="G69" s="1508"/>
      <c r="H69" s="1510"/>
    </row>
    <row r="70" spans="2:8" s="1499" customFormat="1" ht="15" hidden="1" customHeight="1" outlineLevel="1" x14ac:dyDescent="0.25">
      <c r="B70" s="1507" t="str">
        <f>'R&amp;C-Painel de Controle'!B100</f>
        <v>% Venda Matetriais Reciclávevis fora do Estado</v>
      </c>
      <c r="C70" s="1570">
        <f>'R&amp;C-Painel de Controle'!D100</f>
        <v>0.25</v>
      </c>
      <c r="D70" s="1508" t="s">
        <v>194</v>
      </c>
      <c r="E70" s="1508"/>
      <c r="F70" s="1509"/>
      <c r="G70" s="1508"/>
      <c r="H70" s="1510"/>
    </row>
    <row r="71" spans="2:8" s="1499" customFormat="1" ht="15" hidden="1" customHeight="1" outlineLevel="1" x14ac:dyDescent="0.25">
      <c r="B71" s="1507" t="str">
        <f>'R&amp;C-Painel de Controle'!B101</f>
        <v>Preço Médio Bruto — Venda (FOB): Papel/Papelão</v>
      </c>
      <c r="C71" s="1566">
        <f>'R&amp;C-Painel de Controle'!D101</f>
        <v>300</v>
      </c>
      <c r="D71" s="1508" t="s">
        <v>293</v>
      </c>
      <c r="E71" s="1508"/>
      <c r="F71" s="1509"/>
      <c r="G71" s="1508"/>
      <c r="H71" s="1510"/>
    </row>
    <row r="72" spans="2:8" s="1499" customFormat="1" ht="15" hidden="1" customHeight="1" outlineLevel="1" x14ac:dyDescent="0.25">
      <c r="B72" s="1507" t="str">
        <f>'R&amp;C-Painel de Controle'!B102</f>
        <v>Preço Médio Bruto — Venda (FOB): Plástico Filme</v>
      </c>
      <c r="C72" s="1566">
        <f>'R&amp;C-Painel de Controle'!D102</f>
        <v>750</v>
      </c>
      <c r="D72" s="1508" t="s">
        <v>293</v>
      </c>
      <c r="E72" s="1508"/>
      <c r="F72" s="1509"/>
      <c r="G72" s="1508"/>
      <c r="H72" s="1510"/>
    </row>
    <row r="73" spans="2:8" s="1499" customFormat="1" ht="15" hidden="1" customHeight="1" outlineLevel="1" x14ac:dyDescent="0.25">
      <c r="B73" s="1507" t="str">
        <f>'R&amp;C-Painel de Controle'!B103</f>
        <v>Preço Médio Bruto — Venda (FOB): Plástico Rígido</v>
      </c>
      <c r="C73" s="1566">
        <f>'R&amp;C-Painel de Controle'!D103</f>
        <v>1250</v>
      </c>
      <c r="D73" s="1508" t="s">
        <v>293</v>
      </c>
      <c r="E73" s="1508"/>
      <c r="F73" s="1509"/>
      <c r="G73" s="1508"/>
      <c r="H73" s="1510"/>
    </row>
    <row r="74" spans="2:8" s="1499" customFormat="1" ht="15" hidden="1" customHeight="1" outlineLevel="1" x14ac:dyDescent="0.25">
      <c r="B74" s="1507" t="str">
        <f>'R&amp;C-Painel de Controle'!B104</f>
        <v>Preço Médio Bruto — Venda(FOB): Vidros</v>
      </c>
      <c r="C74" s="1566">
        <f>'R&amp;C-Painel de Controle'!D104</f>
        <v>50</v>
      </c>
      <c r="D74" s="1508" t="s">
        <v>293</v>
      </c>
      <c r="E74" s="1508"/>
      <c r="F74" s="1509"/>
      <c r="G74" s="1508"/>
      <c r="H74" s="1510"/>
    </row>
    <row r="75" spans="2:8" s="1499" customFormat="1" ht="15" hidden="1" customHeight="1" outlineLevel="1" x14ac:dyDescent="0.25">
      <c r="B75" s="1507" t="str">
        <f>'R&amp;C-Painel de Controle'!B105</f>
        <v>Preço Médio Bruto — Venda (FOB): Metais Ferrosos</v>
      </c>
      <c r="C75" s="1566">
        <f>'R&amp;C-Painel de Controle'!D105</f>
        <v>570</v>
      </c>
      <c r="D75" s="1508" t="s">
        <v>293</v>
      </c>
      <c r="E75" s="1508"/>
      <c r="F75" s="1509"/>
      <c r="G75" s="1508"/>
      <c r="H75" s="1510"/>
    </row>
    <row r="76" spans="2:8" s="1499" customFormat="1" ht="15" hidden="1" customHeight="1" outlineLevel="1" x14ac:dyDescent="0.25">
      <c r="B76" s="1507" t="str">
        <f>'R&amp;C-Painel de Controle'!B106</f>
        <v>Preço Médio Bruto — Venda (FOB): Metais Não Ferrosos</v>
      </c>
      <c r="C76" s="1566">
        <f>'R&amp;C-Painel de Controle'!D106</f>
        <v>900</v>
      </c>
      <c r="D76" s="1508" t="s">
        <v>293</v>
      </c>
      <c r="E76" s="1508"/>
      <c r="F76" s="1509"/>
      <c r="G76" s="1508"/>
      <c r="H76" s="1510"/>
    </row>
    <row r="77" spans="2:8" s="1499" customFormat="1" ht="15" hidden="1" customHeight="1" outlineLevel="1" x14ac:dyDescent="0.25">
      <c r="B77" s="1552"/>
      <c r="C77" s="1565"/>
      <c r="D77" s="1508"/>
      <c r="E77" s="1508"/>
      <c r="F77" s="1509"/>
      <c r="G77" s="1508"/>
      <c r="H77" s="1510"/>
    </row>
    <row r="78" spans="2:8" ht="15" hidden="1" customHeight="1" outlineLevel="1" x14ac:dyDescent="0.25">
      <c r="B78" s="1501" t="s">
        <v>935</v>
      </c>
      <c r="C78" s="1597">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3055954.7527483171</v>
      </c>
      <c r="D78" s="1518" t="s">
        <v>922</v>
      </c>
      <c r="E78" s="1518"/>
      <c r="F78" s="1535">
        <f>C78/'R&amp;C-Painel de Controle'!$D$8</f>
        <v>20.931196936632308</v>
      </c>
      <c r="G78" s="1518" t="s">
        <v>293</v>
      </c>
      <c r="H78" s="1601">
        <f>F78/$F$99</f>
        <v>7.9827306034595966E-2</v>
      </c>
    </row>
    <row r="79" spans="2:8" ht="15" hidden="1" customHeight="1" outlineLevel="1" x14ac:dyDescent="0.25">
      <c r="B79" s="1501" t="s">
        <v>936</v>
      </c>
      <c r="C79" s="1597">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4278336.6538476441</v>
      </c>
      <c r="D79" s="1518" t="s">
        <v>922</v>
      </c>
      <c r="E79" s="1518"/>
      <c r="F79" s="1535">
        <f>C79/'R&amp;C-Painel de Controle'!$D$8</f>
        <v>29.303675711285234</v>
      </c>
      <c r="G79" s="1518" t="s">
        <v>293</v>
      </c>
      <c r="H79" s="1601">
        <f>F79/$F$99</f>
        <v>0.11175822844843436</v>
      </c>
    </row>
    <row r="80" spans="2:8" s="1499" customFormat="1" ht="15" hidden="1" customHeight="1" outlineLevel="1" x14ac:dyDescent="0.25">
      <c r="B80" s="1552"/>
      <c r="C80" s="1565"/>
      <c r="D80" s="1508"/>
      <c r="E80" s="1508"/>
      <c r="F80" s="1509"/>
      <c r="G80" s="1508"/>
      <c r="H80" s="1510"/>
    </row>
    <row r="81" spans="2:8" ht="15" hidden="1" customHeight="1" outlineLevel="1" x14ac:dyDescent="0.25">
      <c r="B81" s="1602" t="s">
        <v>937</v>
      </c>
      <c r="C81" s="1603">
        <f>(C82*C83+C84*C85)*C86</f>
        <v>2232577.8944896618</v>
      </c>
      <c r="D81" s="1604" t="s">
        <v>922</v>
      </c>
      <c r="E81" s="1604"/>
      <c r="F81" s="1605">
        <f>C81/'R&amp;C-Painel de Controle'!$D$8</f>
        <v>15.291629414312752</v>
      </c>
      <c r="G81" s="1604" t="s">
        <v>293</v>
      </c>
      <c r="H81" s="1606">
        <f>F81/$F$99</f>
        <v>5.8319148432816492E-2</v>
      </c>
    </row>
    <row r="82" spans="2:8" ht="15" hidden="1" customHeight="1" outlineLevel="1" x14ac:dyDescent="0.25">
      <c r="B82" s="1515" t="s">
        <v>943</v>
      </c>
      <c r="C82" s="1543">
        <f>'R&amp;C-Painel de Controle'!D8</f>
        <v>146000</v>
      </c>
      <c r="D82" s="1499" t="s">
        <v>249</v>
      </c>
      <c r="E82" s="1499"/>
      <c r="F82" s="1530"/>
      <c r="G82" s="1499"/>
      <c r="H82" s="1531"/>
    </row>
    <row r="83" spans="2:8" ht="15" hidden="1" customHeight="1" outlineLevel="1" x14ac:dyDescent="0.25">
      <c r="B83" s="1515" t="s">
        <v>944</v>
      </c>
      <c r="C83" s="1543">
        <f>'R&amp;C-Painel de Controle'!D33</f>
        <v>292.94394556662456</v>
      </c>
      <c r="D83" s="1499" t="s">
        <v>293</v>
      </c>
      <c r="E83" s="1499"/>
      <c r="F83" s="1530"/>
      <c r="G83" s="1499"/>
      <c r="H83" s="1531"/>
    </row>
    <row r="84" spans="2:8" ht="15" hidden="1" customHeight="1" outlineLevel="1" x14ac:dyDescent="0.25">
      <c r="B84" s="1515" t="s">
        <v>945</v>
      </c>
      <c r="C84" s="1543">
        <f>'R&amp;C-Painel de Controle'!D31*312</f>
        <v>18720</v>
      </c>
      <c r="D84" s="1499" t="s">
        <v>249</v>
      </c>
      <c r="E84" s="1499"/>
      <c r="F84" s="1530"/>
      <c r="G84" s="1499"/>
      <c r="H84" s="1531"/>
    </row>
    <row r="85" spans="2:8" ht="15" hidden="1" customHeight="1" outlineLevel="1" x14ac:dyDescent="0.25">
      <c r="B85" s="1515" t="s">
        <v>946</v>
      </c>
      <c r="C85" s="1543">
        <f>'R&amp;C-Painel de Controle'!H31</f>
        <v>100.52039727916925</v>
      </c>
      <c r="D85" s="1499" t="s">
        <v>293</v>
      </c>
      <c r="E85" s="1499"/>
      <c r="F85" s="1530"/>
      <c r="G85" s="1499"/>
      <c r="H85" s="1531"/>
    </row>
    <row r="86" spans="2:8" ht="15" hidden="1" customHeight="1" outlineLevel="1" x14ac:dyDescent="0.25">
      <c r="B86" s="1516" t="s">
        <v>947</v>
      </c>
      <c r="C86" s="1571">
        <f>'C-FCL Real'!C10</f>
        <v>0.05</v>
      </c>
      <c r="D86" s="1517" t="s">
        <v>194</v>
      </c>
      <c r="E86" s="1517"/>
      <c r="F86" s="1532"/>
      <c r="G86" s="1517"/>
      <c r="H86" s="1533"/>
    </row>
    <row r="87" spans="2:8" s="1499" customFormat="1" ht="15" hidden="1" customHeight="1" outlineLevel="1" x14ac:dyDescent="0.25">
      <c r="B87" s="1552"/>
      <c r="C87" s="1565"/>
      <c r="D87" s="1508"/>
      <c r="E87" s="1508"/>
      <c r="F87" s="1509"/>
      <c r="G87" s="1508"/>
      <c r="H87" s="1510"/>
    </row>
    <row r="88" spans="2:8" ht="15" hidden="1" customHeight="1" outlineLevel="1" x14ac:dyDescent="0.25">
      <c r="B88" s="1602" t="s">
        <v>938</v>
      </c>
      <c r="C88" s="1603">
        <f>(C62*C71+C63*C72+C64*C73+C65*C74+C66*C76+C67*C75)*C89*C90</f>
        <v>217564.23930309125</v>
      </c>
      <c r="D88" s="1604" t="s">
        <v>922</v>
      </c>
      <c r="E88" s="1604"/>
      <c r="F88" s="1605">
        <f>C88/'R&amp;C-Painel de Controle'!$D$8</f>
        <v>1.4901660226239126</v>
      </c>
      <c r="G88" s="1604" t="s">
        <v>293</v>
      </c>
      <c r="H88" s="1606">
        <f>F88/$F$99</f>
        <v>5.6831885673087057E-3</v>
      </c>
    </row>
    <row r="89" spans="2:8" ht="15" hidden="1" customHeight="1" outlineLevel="1" x14ac:dyDescent="0.25">
      <c r="B89" s="1516" t="s">
        <v>966</v>
      </c>
      <c r="C89" s="1571">
        <f>'C-FCL Real'!C11</f>
        <v>0.12</v>
      </c>
      <c r="D89" s="1517" t="s">
        <v>194</v>
      </c>
      <c r="E89" s="1517"/>
      <c r="F89" s="1532"/>
      <c r="G89" s="1517"/>
      <c r="H89" s="1533"/>
    </row>
    <row r="90" spans="2:8" ht="15" hidden="1" customHeight="1" outlineLevel="1" x14ac:dyDescent="0.25">
      <c r="B90" s="1516" t="str">
        <f>'R&amp;C-Painel de Controle'!B100</f>
        <v>% Venda Matetriais Reciclávevis fora do Estado</v>
      </c>
      <c r="C90" s="1571">
        <f>'R&amp;C-Painel de Controle'!D100</f>
        <v>0.25</v>
      </c>
      <c r="D90" s="1517" t="s">
        <v>194</v>
      </c>
      <c r="E90" s="1517"/>
      <c r="F90" s="1532"/>
      <c r="G90" s="1517"/>
      <c r="H90" s="1533"/>
    </row>
    <row r="91" spans="2:8" s="1499" customFormat="1" ht="15" hidden="1" customHeight="1" outlineLevel="1" x14ac:dyDescent="0.25">
      <c r="B91" s="1552"/>
      <c r="C91" s="1565"/>
      <c r="D91" s="1508"/>
      <c r="E91" s="1508"/>
      <c r="F91" s="1509"/>
      <c r="G91" s="1508"/>
      <c r="H91" s="1510"/>
    </row>
    <row r="92" spans="2:8" ht="15" hidden="1" customHeight="1" outlineLevel="1" x14ac:dyDescent="0.25">
      <c r="B92" s="1602" t="s">
        <v>939</v>
      </c>
      <c r="C92" s="1603">
        <f>'R&amp;C-Painel de Controle'!D33*'R&amp;C-Painel de Controle'!D8*(C93)+C36*1000000/'R&amp;C-Painel de Controle'!D32</f>
        <v>6877761.6864359714</v>
      </c>
      <c r="D92" s="1604" t="s">
        <v>922</v>
      </c>
      <c r="E92" s="1607"/>
      <c r="F92" s="1608">
        <f>C92/'R&amp;C-Painel de Controle'!$D$8</f>
        <v>47.107956756410765</v>
      </c>
      <c r="G92" s="1607" t="s">
        <v>293</v>
      </c>
      <c r="H92" s="1609">
        <f>F92/$F$99</f>
        <v>0.17966011652573724</v>
      </c>
    </row>
    <row r="93" spans="2:8" ht="15" hidden="1" customHeight="1" outlineLevel="1" x14ac:dyDescent="0.25">
      <c r="B93" s="1516" t="s">
        <v>976</v>
      </c>
      <c r="C93" s="1572">
        <v>9.2499999999999999E-2</v>
      </c>
      <c r="D93" s="1517" t="s">
        <v>194</v>
      </c>
      <c r="E93" s="1517"/>
      <c r="F93" s="1532"/>
      <c r="G93" s="1517"/>
      <c r="H93" s="1533"/>
    </row>
    <row r="94" spans="2:8" ht="15" hidden="1" customHeight="1" outlineLevel="1" x14ac:dyDescent="0.25">
      <c r="B94" s="1515" t="s">
        <v>943</v>
      </c>
      <c r="C94" s="1543">
        <f>C82</f>
        <v>146000</v>
      </c>
      <c r="D94" s="1499" t="s">
        <v>249</v>
      </c>
      <c r="E94" s="1499"/>
      <c r="F94" s="1530"/>
      <c r="G94" s="1499"/>
      <c r="H94" s="1531"/>
    </row>
    <row r="95" spans="2:8" ht="15" hidden="1" customHeight="1" outlineLevel="1" x14ac:dyDescent="0.25">
      <c r="B95" s="1515" t="s">
        <v>944</v>
      </c>
      <c r="C95" s="1543">
        <f>C83</f>
        <v>292.94394556662456</v>
      </c>
      <c r="D95" s="1499" t="s">
        <v>293</v>
      </c>
      <c r="E95" s="1499"/>
      <c r="F95" s="1530"/>
      <c r="G95" s="1499"/>
      <c r="H95" s="1531"/>
    </row>
    <row r="96" spans="2:8" ht="15" hidden="1" customHeight="1" outlineLevel="1" x14ac:dyDescent="0.25">
      <c r="B96" s="1515" t="s">
        <v>945</v>
      </c>
      <c r="C96" s="1543">
        <f>C84</f>
        <v>18720</v>
      </c>
      <c r="D96" s="1499" t="s">
        <v>249</v>
      </c>
      <c r="E96" s="1499"/>
      <c r="F96" s="1530"/>
      <c r="G96" s="1499"/>
      <c r="H96" s="1531"/>
    </row>
    <row r="97" spans="2:8" ht="15" hidden="1" customHeight="1" outlineLevel="1" x14ac:dyDescent="0.25">
      <c r="B97" s="1515" t="s">
        <v>946</v>
      </c>
      <c r="C97" s="1543">
        <f>C85</f>
        <v>100.52039727916925</v>
      </c>
      <c r="D97" s="1499" t="s">
        <v>293</v>
      </c>
      <c r="E97" s="1499"/>
      <c r="F97" s="1530"/>
      <c r="G97" s="1499"/>
      <c r="H97" s="1531"/>
    </row>
    <row r="98" spans="2:8" s="1499" customFormat="1" ht="15" hidden="1" customHeight="1" outlineLevel="1" thickBot="1" x14ac:dyDescent="0.3">
      <c r="B98" s="1554"/>
      <c r="C98" s="1573"/>
      <c r="D98" s="1529"/>
      <c r="E98" s="1529"/>
      <c r="F98" s="1529"/>
      <c r="G98" s="1529"/>
      <c r="H98" s="1529"/>
    </row>
    <row r="99" spans="2:8" s="39" customFormat="1" ht="15" hidden="1" customHeight="1" outlineLevel="1" thickTop="1" x14ac:dyDescent="0.25">
      <c r="B99" s="1610" t="s">
        <v>926</v>
      </c>
      <c r="C99" s="1611">
        <f>C57+C61+C78+C79+C81+C88+C92</f>
        <v>38282072.946616933</v>
      </c>
      <c r="D99" s="1612" t="s">
        <v>922</v>
      </c>
      <c r="E99" s="1613"/>
      <c r="F99" s="1614">
        <f>C99/'R&amp;C-Painel de Controle'!$D$8</f>
        <v>262.20597908641736</v>
      </c>
      <c r="G99" s="1613" t="s">
        <v>293</v>
      </c>
      <c r="H99" s="1615">
        <f>F99/$F$99</f>
        <v>1</v>
      </c>
    </row>
    <row r="100" spans="2:8" ht="15" customHeight="1" thickTop="1" thickBot="1" x14ac:dyDescent="0.3">
      <c r="D100" s="1499"/>
      <c r="E100" s="1499"/>
      <c r="F100" s="1499"/>
      <c r="G100" s="1499"/>
      <c r="H100" s="1499"/>
    </row>
    <row r="101" spans="2:8" ht="25.15" customHeight="1" collapsed="1" thickTop="1" thickBot="1" x14ac:dyDescent="0.3">
      <c r="B101" s="2921" t="s">
        <v>989</v>
      </c>
      <c r="C101" s="2922"/>
      <c r="D101" s="2922"/>
      <c r="E101" s="2922"/>
      <c r="F101" s="2922"/>
      <c r="G101" s="2922"/>
      <c r="H101" s="2923"/>
    </row>
    <row r="102" spans="2:8" ht="15" hidden="1" customHeight="1" outlineLevel="1" thickTop="1" x14ac:dyDescent="0.25">
      <c r="B102" s="1664" t="s">
        <v>241</v>
      </c>
      <c r="C102" s="1623">
        <f>'R&amp;C-Painel de Controle'!D6</f>
        <v>411597</v>
      </c>
      <c r="D102" s="1499" t="s">
        <v>242</v>
      </c>
      <c r="F102" s="37"/>
      <c r="G102" s="1522"/>
    </row>
    <row r="103" spans="2:8" ht="15" hidden="1" customHeight="1" outlineLevel="1" x14ac:dyDescent="0.25">
      <c r="B103" s="1622" t="s">
        <v>975</v>
      </c>
      <c r="C103" s="1623">
        <f>'R&amp;C-Painel de Controle'!D8</f>
        <v>146000</v>
      </c>
      <c r="D103" s="1624" t="s">
        <v>249</v>
      </c>
      <c r="E103" s="1625"/>
      <c r="F103" s="1625"/>
      <c r="G103" s="1625"/>
      <c r="H103" s="1625"/>
    </row>
    <row r="104" spans="2:8" ht="15" hidden="1" customHeight="1" outlineLevel="1" x14ac:dyDescent="0.25">
      <c r="B104" s="1622" t="s">
        <v>975</v>
      </c>
      <c r="C104" s="1623">
        <f>C103/312</f>
        <v>467.94871794871796</v>
      </c>
      <c r="D104" s="1624" t="s">
        <v>21</v>
      </c>
      <c r="E104" s="1625"/>
      <c r="F104" s="1625"/>
      <c r="G104" s="1625"/>
      <c r="H104" s="1625"/>
    </row>
    <row r="105" spans="2:8" ht="15" hidden="1" customHeight="1" outlineLevel="1" x14ac:dyDescent="0.25">
      <c r="B105" s="1626" t="s">
        <v>977</v>
      </c>
      <c r="C105" s="1623">
        <f>'R&amp;C-Painel de Controle'!D48</f>
        <v>158291.85441674214</v>
      </c>
      <c r="D105" s="1624" t="s">
        <v>249</v>
      </c>
      <c r="E105" s="1625"/>
      <c r="F105" s="1625"/>
      <c r="G105" s="1625"/>
      <c r="H105" s="1625"/>
    </row>
    <row r="106" spans="2:8" ht="15" hidden="1" customHeight="1" outlineLevel="1" x14ac:dyDescent="0.25">
      <c r="B106" s="1626" t="s">
        <v>992</v>
      </c>
      <c r="C106" s="1623">
        <f>C105/312</f>
        <v>507.34568723314788</v>
      </c>
      <c r="D106" s="1624" t="s">
        <v>21</v>
      </c>
      <c r="E106" s="1625"/>
      <c r="F106" s="1625"/>
      <c r="G106" s="1625"/>
      <c r="H106" s="1625"/>
    </row>
    <row r="107" spans="2:8" ht="15" hidden="1" customHeight="1" outlineLevel="1" x14ac:dyDescent="0.25">
      <c r="B107" s="1626" t="s">
        <v>1000</v>
      </c>
      <c r="C107" s="1663">
        <f>'R-Entrada'!E26/100</f>
        <v>0.48399999999999999</v>
      </c>
      <c r="D107" s="1624" t="s">
        <v>194</v>
      </c>
      <c r="E107" s="1625"/>
      <c r="F107" s="1625"/>
      <c r="G107" s="1625"/>
      <c r="H107" s="1625"/>
    </row>
    <row r="108" spans="2:8" ht="15" hidden="1" customHeight="1" outlineLevel="1" x14ac:dyDescent="0.25">
      <c r="B108" s="1627" t="s">
        <v>984</v>
      </c>
      <c r="C108" s="1628">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6046.7203165064111</v>
      </c>
      <c r="D108" s="1629" t="s">
        <v>257</v>
      </c>
      <c r="E108" s="1625"/>
      <c r="F108" s="1625"/>
      <c r="G108" s="1625"/>
      <c r="H108" s="1625"/>
    </row>
    <row r="109" spans="2:8" ht="15" hidden="1" customHeight="1" outlineLevel="1" x14ac:dyDescent="0.25">
      <c r="B109" s="1627" t="s">
        <v>985</v>
      </c>
      <c r="C109" s="1630">
        <f>'R&amp;C-Painel de Controle'!D68</f>
        <v>0</v>
      </c>
      <c r="D109" s="1631" t="s">
        <v>282</v>
      </c>
      <c r="E109" s="1625"/>
      <c r="F109" s="1625"/>
      <c r="G109" s="1625"/>
      <c r="H109" s="1625"/>
    </row>
    <row r="110" spans="2:8" ht="15" hidden="1" customHeight="1" outlineLevel="1" thickBot="1" x14ac:dyDescent="0.3">
      <c r="B110" s="1664" t="s">
        <v>1032</v>
      </c>
      <c r="C110" s="1837">
        <f>C103*1000/C102/365</f>
        <v>0.97182438161599816</v>
      </c>
      <c r="D110" s="1499" t="s">
        <v>1033</v>
      </c>
    </row>
    <row r="111" spans="2:8" ht="15" hidden="1" customHeight="1" outlineLevel="1" thickTop="1" x14ac:dyDescent="0.25">
      <c r="B111" s="1576" t="s">
        <v>978</v>
      </c>
      <c r="C111" s="1588"/>
      <c r="D111" s="1577"/>
      <c r="E111" s="1577"/>
      <c r="F111" s="1577"/>
      <c r="G111" s="1577"/>
      <c r="H111" s="1577"/>
    </row>
    <row r="112" spans="2:8" s="1499" customFormat="1" ht="15" hidden="1" customHeight="1" outlineLevel="1" x14ac:dyDescent="0.25">
      <c r="B112" s="1632"/>
      <c r="C112" s="1636">
        <f>'R-Resumo Bal. Massa'!G51</f>
        <v>104.86613782051283</v>
      </c>
      <c r="D112" s="1633" t="s">
        <v>971</v>
      </c>
      <c r="E112" s="1634"/>
      <c r="F112" s="1634"/>
      <c r="G112" s="1634"/>
      <c r="H112" s="1634"/>
    </row>
    <row r="113" spans="2:8" ht="15" hidden="1" customHeight="1" outlineLevel="1" x14ac:dyDescent="0.25">
      <c r="B113" s="1548"/>
      <c r="C113" s="1563">
        <f>C112*312*$C$106/$C$104/1000</f>
        <v>35.472808845155882</v>
      </c>
      <c r="D113" s="1578" t="s">
        <v>969</v>
      </c>
      <c r="E113" s="749"/>
      <c r="F113" s="749"/>
      <c r="G113" s="749"/>
      <c r="H113" s="749"/>
    </row>
    <row r="114" spans="2:8" ht="15" hidden="1" customHeight="1" outlineLevel="1" x14ac:dyDescent="0.25">
      <c r="B114" s="1583" t="s">
        <v>979</v>
      </c>
      <c r="C114" s="1589"/>
      <c r="D114" s="1584"/>
      <c r="E114" s="1584"/>
      <c r="F114" s="1584"/>
      <c r="G114" s="1584"/>
      <c r="H114" s="1584"/>
    </row>
    <row r="115" spans="2:8" s="1499" customFormat="1" ht="15" hidden="1" customHeight="1" outlineLevel="1" x14ac:dyDescent="0.25">
      <c r="B115" s="1632"/>
      <c r="C115" s="1636">
        <f>'R-Resumo Bal. Massa'!G49</f>
        <v>163.69782051282053</v>
      </c>
      <c r="D115" s="1633" t="s">
        <v>971</v>
      </c>
      <c r="E115" s="1634"/>
      <c r="F115" s="1634"/>
      <c r="G115" s="1634"/>
      <c r="H115" s="1634"/>
    </row>
    <row r="116" spans="2:8" ht="15" hidden="1" customHeight="1" outlineLevel="1" x14ac:dyDescent="0.25">
      <c r="B116" s="1585"/>
      <c r="C116" s="1563">
        <f>C115*312*$C$106/$C$104/1000</f>
        <v>55.373656512064734</v>
      </c>
      <c r="D116" s="1586" t="s">
        <v>969</v>
      </c>
      <c r="E116" s="1587"/>
      <c r="F116" s="1587"/>
      <c r="G116" s="1587"/>
      <c r="H116" s="1587"/>
    </row>
    <row r="117" spans="2:8" ht="15" hidden="1" customHeight="1" outlineLevel="1" x14ac:dyDescent="0.25">
      <c r="B117" s="1579" t="s">
        <v>980</v>
      </c>
      <c r="C117" s="1543"/>
      <c r="D117" s="749"/>
      <c r="E117" s="749"/>
      <c r="F117" s="749"/>
      <c r="G117" s="749"/>
      <c r="H117" s="749"/>
    </row>
    <row r="118" spans="2:8" s="1499" customFormat="1" ht="15" hidden="1" customHeight="1" outlineLevel="1" x14ac:dyDescent="0.25">
      <c r="B118" s="1632"/>
      <c r="C118" s="1636">
        <f>'R-Resumo Bal. Massa'!G50</f>
        <v>199.38475961538461</v>
      </c>
      <c r="D118" s="1633" t="s">
        <v>971</v>
      </c>
      <c r="E118" s="1634"/>
      <c r="F118" s="1634"/>
      <c r="G118" s="1634"/>
      <c r="H118" s="1634"/>
    </row>
    <row r="119" spans="2:8" ht="15" hidden="1" customHeight="1" outlineLevel="1" thickBot="1" x14ac:dyDescent="0.3">
      <c r="B119" s="1580"/>
      <c r="C119" s="1662">
        <f>C118*312*$C$106/$C$104/1000</f>
        <v>67.445389059521531</v>
      </c>
      <c r="D119" s="1581" t="s">
        <v>969</v>
      </c>
      <c r="E119" s="1582"/>
      <c r="F119" s="1582"/>
      <c r="G119" s="1582"/>
      <c r="H119" s="1582"/>
    </row>
    <row r="120" spans="2:8" ht="15" hidden="1" customHeight="1" outlineLevel="1" thickTop="1" thickBot="1" x14ac:dyDescent="0.3"/>
    <row r="121" spans="2:8" ht="15" hidden="1" customHeight="1" outlineLevel="1" thickTop="1" x14ac:dyDescent="0.25">
      <c r="B121" s="2917" t="s">
        <v>981</v>
      </c>
      <c r="C121" s="1590"/>
      <c r="D121" s="1577"/>
      <c r="E121" s="1577"/>
      <c r="F121" s="1577"/>
      <c r="G121" s="1577"/>
      <c r="H121" s="1577"/>
    </row>
    <row r="122" spans="2:8" ht="15" hidden="1" customHeight="1" outlineLevel="1" x14ac:dyDescent="0.25">
      <c r="B122" s="2915"/>
      <c r="C122" s="1637">
        <f>'R-Resumo Bal. Massa'!D64</f>
        <v>37.318910256410263</v>
      </c>
      <c r="D122" s="1629" t="s">
        <v>971</v>
      </c>
      <c r="E122" s="1625"/>
      <c r="F122" s="1625"/>
      <c r="G122" s="1625"/>
      <c r="H122" s="1625"/>
    </row>
    <row r="123" spans="2:8" ht="15" hidden="1" customHeight="1" outlineLevel="1" x14ac:dyDescent="0.25">
      <c r="B123" s="2916"/>
      <c r="C123" s="1563">
        <f>C122*312*$C$106/$C$104/1000</f>
        <v>12.623775389735187</v>
      </c>
      <c r="D123" s="1578" t="s">
        <v>969</v>
      </c>
      <c r="E123" s="749"/>
      <c r="F123" s="749"/>
      <c r="G123" s="749"/>
      <c r="H123" s="749"/>
    </row>
    <row r="124" spans="2:8" ht="15" hidden="1" customHeight="1" outlineLevel="1" x14ac:dyDescent="0.25">
      <c r="B124" s="2914" t="s">
        <v>987</v>
      </c>
      <c r="C124" s="1589"/>
      <c r="D124" s="1584"/>
      <c r="E124" s="1584"/>
      <c r="F124" s="1584"/>
      <c r="G124" s="1584"/>
      <c r="H124" s="1584"/>
    </row>
    <row r="125" spans="2:8" ht="15" hidden="1" customHeight="1" outlineLevel="1" x14ac:dyDescent="0.25">
      <c r="B125" s="2915"/>
      <c r="C125" s="1637">
        <f>'R-Resumo Bal. Massa'!D73</f>
        <v>162.06584935897433</v>
      </c>
      <c r="D125" s="1629" t="s">
        <v>971</v>
      </c>
      <c r="E125" s="1625"/>
      <c r="F125" s="1625"/>
      <c r="G125" s="1625"/>
      <c r="H125" s="1625"/>
    </row>
    <row r="126" spans="2:8" ht="15" hidden="1" customHeight="1" outlineLevel="1" x14ac:dyDescent="0.25">
      <c r="B126" s="2916"/>
      <c r="C126" s="1563">
        <f>C125*312*$C$106/$C$104/1000</f>
        <v>54.821613669786338</v>
      </c>
      <c r="D126" s="1578" t="s">
        <v>969</v>
      </c>
      <c r="E126" s="749"/>
      <c r="F126" s="749"/>
      <c r="G126" s="749"/>
      <c r="H126" s="749"/>
    </row>
    <row r="127" spans="2:8" ht="15" hidden="1" customHeight="1" outlineLevel="1" x14ac:dyDescent="0.25">
      <c r="B127" s="2914" t="s">
        <v>970</v>
      </c>
      <c r="C127" s="1589"/>
      <c r="D127" s="1584"/>
      <c r="E127" s="1584"/>
      <c r="F127" s="1584"/>
      <c r="G127" s="1584"/>
      <c r="H127" s="1584"/>
    </row>
    <row r="128" spans="2:8" ht="15" hidden="1" customHeight="1" outlineLevel="1" x14ac:dyDescent="0.25">
      <c r="B128" s="2915"/>
      <c r="C128" s="1637">
        <f>'R-Resumo Bal. Massa'!D69</f>
        <v>0</v>
      </c>
      <c r="D128" s="1629" t="s">
        <v>971</v>
      </c>
      <c r="E128" s="1625"/>
      <c r="F128" s="1625"/>
      <c r="G128" s="1625"/>
      <c r="H128" s="1625"/>
    </row>
    <row r="129" spans="2:8" ht="15" hidden="1" customHeight="1" outlineLevel="1" x14ac:dyDescent="0.25">
      <c r="B129" s="2916"/>
      <c r="C129" s="1563">
        <f>C128*312*$C$106/$C$104/1000</f>
        <v>0</v>
      </c>
      <c r="D129" s="1586" t="s">
        <v>969</v>
      </c>
      <c r="E129" s="1587"/>
      <c r="F129" s="1587"/>
      <c r="G129" s="1587"/>
      <c r="H129" s="1587"/>
    </row>
    <row r="130" spans="2:8" ht="15" hidden="1" customHeight="1" outlineLevel="1" x14ac:dyDescent="0.25">
      <c r="B130" s="2914" t="s">
        <v>1028</v>
      </c>
      <c r="C130" s="1830">
        <f>IF('R-Definição'!E112&gt;0,'R-Definição'!O111/'R-Definição'!E112,0)</f>
        <v>0</v>
      </c>
      <c r="D130" s="1551" t="s">
        <v>1030</v>
      </c>
      <c r="E130" s="749"/>
      <c r="F130" s="749"/>
      <c r="G130" s="749"/>
      <c r="H130" s="749"/>
    </row>
    <row r="131" spans="2:8" ht="15" hidden="1" customHeight="1" outlineLevel="1" x14ac:dyDescent="0.25">
      <c r="B131" s="2915"/>
      <c r="C131" s="1831">
        <f>C130*C106</f>
        <v>0</v>
      </c>
      <c r="D131" s="1629" t="s">
        <v>973</v>
      </c>
      <c r="E131" s="1625"/>
      <c r="F131" s="1625"/>
      <c r="G131" s="1625"/>
      <c r="H131" s="1625"/>
    </row>
    <row r="132" spans="2:8" ht="15" hidden="1" customHeight="1" outlineLevel="1" x14ac:dyDescent="0.25">
      <c r="B132" s="2916"/>
      <c r="C132" s="1616">
        <f>C130*C105/1000</f>
        <v>0</v>
      </c>
      <c r="D132" s="1586" t="s">
        <v>257</v>
      </c>
      <c r="E132" s="1587"/>
      <c r="F132" s="1587"/>
      <c r="G132" s="1587"/>
      <c r="H132" s="1587"/>
    </row>
    <row r="133" spans="2:8" ht="15" hidden="1" customHeight="1" outlineLevel="1" x14ac:dyDescent="0.25">
      <c r="B133" s="2914" t="s">
        <v>1029</v>
      </c>
      <c r="C133" s="1543">
        <f>IF(AND('R-Definição'!O62&gt;0,'R-Definição'!J65&gt;0),('R-Definição'!O69/('R-Definição'!O62*'R-Definição'!J65/100)),0)</f>
        <v>0</v>
      </c>
      <c r="D133" s="1551" t="s">
        <v>1001</v>
      </c>
      <c r="E133" s="749"/>
      <c r="F133" s="749"/>
      <c r="G133" s="749"/>
      <c r="H133" s="749"/>
    </row>
    <row r="134" spans="2:8" ht="15" hidden="1" customHeight="1" outlineLevel="1" x14ac:dyDescent="0.25">
      <c r="B134" s="2915"/>
      <c r="C134" s="1665">
        <f>C133*C106*C107</f>
        <v>0</v>
      </c>
      <c r="D134" s="1629" t="s">
        <v>973</v>
      </c>
      <c r="E134" s="1625"/>
      <c r="F134" s="1625"/>
      <c r="G134" s="1625"/>
      <c r="H134" s="1625"/>
    </row>
    <row r="135" spans="2:8" ht="15" hidden="1" customHeight="1" outlineLevel="1" x14ac:dyDescent="0.25">
      <c r="B135" s="2916"/>
      <c r="C135" s="1616">
        <f>C133*C105*C107/1000</f>
        <v>0</v>
      </c>
      <c r="D135" s="1586" t="s">
        <v>257</v>
      </c>
      <c r="E135" s="1587"/>
      <c r="F135" s="1587"/>
      <c r="G135" s="1587"/>
      <c r="H135" s="1587"/>
    </row>
    <row r="136" spans="2:8" ht="15" hidden="1" customHeight="1" outlineLevel="1" x14ac:dyDescent="0.25">
      <c r="B136" s="2914" t="s">
        <v>236</v>
      </c>
      <c r="C136" s="1543">
        <f>IF(AND('R-Definição'!O62&gt;0,'R-Definição'!J64&gt;0),('R-Definição'!O70/('R-Definição'!O62*'R-Definição'!J64/100)),0)</f>
        <v>0</v>
      </c>
      <c r="D136" s="1666" t="s">
        <v>1002</v>
      </c>
      <c r="E136" s="749"/>
      <c r="F136" s="749"/>
      <c r="G136" s="749"/>
      <c r="H136" s="749"/>
    </row>
    <row r="137" spans="2:8" ht="15" hidden="1" customHeight="1" outlineLevel="1" x14ac:dyDescent="0.25">
      <c r="B137" s="2915"/>
      <c r="C137" s="1665">
        <f>C136*C106*C107</f>
        <v>0</v>
      </c>
      <c r="D137" s="1629" t="s">
        <v>974</v>
      </c>
      <c r="E137" s="1625"/>
      <c r="F137" s="1625"/>
      <c r="G137" s="1625"/>
      <c r="H137" s="1625"/>
    </row>
    <row r="138" spans="2:8" ht="15" hidden="1" customHeight="1" outlineLevel="1" x14ac:dyDescent="0.25">
      <c r="B138" s="2915"/>
      <c r="C138" s="1616">
        <f>C136*C105*C107</f>
        <v>0</v>
      </c>
      <c r="D138" s="1633" t="s">
        <v>983</v>
      </c>
      <c r="E138" s="1625"/>
      <c r="F138" s="1625"/>
      <c r="G138" s="1625"/>
      <c r="H138" s="1625"/>
    </row>
    <row r="139" spans="2:8" ht="15" hidden="1" customHeight="1" outlineLevel="1" thickBot="1" x14ac:dyDescent="0.3">
      <c r="B139" s="1635" t="s">
        <v>982</v>
      </c>
      <c r="C139" s="1617">
        <f>(C138*90%)/1000</f>
        <v>0</v>
      </c>
      <c r="D139" s="1581" t="s">
        <v>986</v>
      </c>
      <c r="E139" s="1582"/>
      <c r="F139" s="1582"/>
      <c r="G139" s="1582"/>
      <c r="H139" s="1582"/>
    </row>
    <row r="140" spans="2:8" ht="15" customHeight="1" thickTop="1" x14ac:dyDescent="0.25">
      <c r="B140" s="2982" t="s">
        <v>1036</v>
      </c>
      <c r="C140" s="2983">
        <f>'R&amp;C-Painel de Controle'!D34</f>
        <v>97</v>
      </c>
    </row>
    <row r="141" spans="2:8" x14ac:dyDescent="0.25">
      <c r="B141" s="2984" t="s">
        <v>1500</v>
      </c>
      <c r="C141" s="2985">
        <f>'CO2 - Todos Resultados'!C38</f>
        <v>161122.19511908133</v>
      </c>
    </row>
    <row r="142" spans="2:8" x14ac:dyDescent="0.25">
      <c r="B142" s="2984" t="s">
        <v>1501</v>
      </c>
      <c r="C142" s="2985">
        <f>'CO2 - Todos Resultados'!H38</f>
        <v>-34836.778343970363</v>
      </c>
    </row>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18" customFormat="1" ht="19.899999999999999" customHeight="1" x14ac:dyDescent="0.25">
      <c r="A1" s="427"/>
      <c r="B1" s="2932" t="s">
        <v>756</v>
      </c>
      <c r="C1" s="427"/>
      <c r="D1" s="427"/>
      <c r="E1" s="427"/>
      <c r="F1" s="427"/>
      <c r="G1" s="427"/>
      <c r="H1" s="427"/>
      <c r="I1" s="427"/>
      <c r="J1" s="427"/>
      <c r="K1" s="427"/>
      <c r="L1" s="427"/>
      <c r="M1" s="427"/>
      <c r="N1" s="427"/>
      <c r="O1" s="427"/>
      <c r="P1" s="427"/>
      <c r="Q1" s="427"/>
      <c r="R1" s="427"/>
      <c r="S1" s="427"/>
      <c r="T1" s="427"/>
      <c r="U1" s="427"/>
      <c r="V1" s="427"/>
      <c r="W1" s="316"/>
      <c r="X1" s="316"/>
      <c r="Y1" s="316"/>
      <c r="Z1" s="316"/>
      <c r="AA1" s="316"/>
      <c r="AB1" s="316"/>
    </row>
    <row r="2" spans="1:28" s="318" customFormat="1" ht="19.899999999999999" customHeight="1" x14ac:dyDescent="0.3">
      <c r="A2" s="431"/>
      <c r="B2" s="2932"/>
      <c r="C2" s="430"/>
      <c r="D2" s="858">
        <f>'R-Resumo Bal. Massa'!B19*(1+'R&amp;C-Painel de Controle'!H53)</f>
        <v>0</v>
      </c>
      <c r="E2" s="1097" t="s">
        <v>21</v>
      </c>
      <c r="F2" s="1095"/>
      <c r="G2" s="859"/>
      <c r="H2" s="860">
        <f>D2*313</f>
        <v>0</v>
      </c>
      <c r="I2" s="870" t="s">
        <v>249</v>
      </c>
      <c r="J2" s="861"/>
      <c r="K2" s="862"/>
      <c r="L2" s="871" t="str">
        <f>IF(D2&gt;0,"Sim","Não")</f>
        <v>Não</v>
      </c>
      <c r="M2" s="863"/>
      <c r="N2" s="861"/>
      <c r="O2" s="862"/>
      <c r="P2" s="864" t="s">
        <v>436</v>
      </c>
      <c r="Q2" s="2930" t="str">
        <f>'R-Definição'!D2</f>
        <v>CIRSOP - Consórcio RSU Oeste Paulista</v>
      </c>
      <c r="R2" s="2931"/>
      <c r="S2" s="862"/>
      <c r="T2" s="864" t="s">
        <v>437</v>
      </c>
      <c r="U2" s="2930" t="str">
        <f>'R-Definição'!D3</f>
        <v>Biodigestão c/ Prod. E. Elétrica</v>
      </c>
      <c r="V2" s="2931"/>
      <c r="W2" s="319"/>
      <c r="X2" s="319"/>
      <c r="Y2" s="319"/>
      <c r="Z2" s="319"/>
      <c r="AA2" s="319"/>
      <c r="AB2" s="319"/>
    </row>
    <row r="3" spans="1:28" s="318" customFormat="1" ht="19.899999999999999" customHeight="1" x14ac:dyDescent="0.25">
      <c r="A3" s="427"/>
      <c r="B3" s="2932"/>
      <c r="C3" s="398"/>
      <c r="D3" s="428"/>
      <c r="E3" s="905"/>
      <c r="F3" s="1093"/>
      <c r="G3" s="428"/>
      <c r="H3" s="428"/>
      <c r="I3" s="428"/>
      <c r="J3" s="428"/>
      <c r="K3" s="428"/>
      <c r="L3" s="427" t="s">
        <v>840</v>
      </c>
      <c r="M3" s="835" t="s">
        <v>281</v>
      </c>
      <c r="N3" s="428"/>
      <c r="O3" s="429"/>
      <c r="P3" s="428"/>
      <c r="Q3" s="428"/>
      <c r="R3" s="428"/>
      <c r="S3" s="428"/>
      <c r="T3" s="428"/>
      <c r="U3" s="428"/>
      <c r="V3" s="426"/>
      <c r="W3" s="316"/>
      <c r="X3" s="316"/>
      <c r="Y3" s="316"/>
      <c r="Z3" s="316"/>
      <c r="AA3" s="316"/>
      <c r="AB3" s="316"/>
    </row>
    <row r="4" spans="1:28" s="318" customFormat="1" ht="7.5" customHeight="1" x14ac:dyDescent="0.25">
      <c r="A4" s="427"/>
      <c r="B4" s="683"/>
      <c r="C4" s="403"/>
      <c r="D4" s="1061"/>
      <c r="E4" s="1061"/>
      <c r="F4" s="1093"/>
      <c r="G4" s="403"/>
      <c r="H4" s="1061"/>
      <c r="I4" s="1061"/>
      <c r="J4" s="1061"/>
      <c r="K4" s="403"/>
      <c r="L4" s="1061"/>
      <c r="M4" s="1061"/>
      <c r="N4" s="1061"/>
      <c r="O4" s="403"/>
      <c r="P4" s="1061"/>
      <c r="Q4" s="1061"/>
      <c r="R4" s="1061"/>
      <c r="S4" s="905"/>
      <c r="T4" s="1061"/>
      <c r="U4" s="1061"/>
      <c r="V4" s="906"/>
      <c r="W4" s="316"/>
      <c r="X4" s="316"/>
      <c r="Y4" s="316"/>
      <c r="Z4" s="316"/>
      <c r="AA4" s="316"/>
      <c r="AB4" s="316"/>
    </row>
    <row r="5" spans="1:28" s="831" customFormat="1" ht="17.649999999999999" customHeight="1" x14ac:dyDescent="0.25">
      <c r="A5" s="843"/>
      <c r="B5" s="865" t="s">
        <v>755</v>
      </c>
      <c r="C5" s="866"/>
      <c r="D5" s="867">
        <v>4</v>
      </c>
      <c r="E5" s="1097" t="s">
        <v>766</v>
      </c>
      <c r="F5" s="1094"/>
      <c r="G5" s="868"/>
      <c r="H5" s="868"/>
      <c r="I5" s="868"/>
      <c r="J5" s="868"/>
      <c r="K5" s="868"/>
      <c r="L5" s="868"/>
      <c r="M5" s="868"/>
      <c r="N5" s="868"/>
      <c r="O5" s="868"/>
      <c r="P5" s="868"/>
      <c r="Q5" s="868"/>
      <c r="R5" s="868"/>
      <c r="S5" s="868"/>
      <c r="T5" s="868"/>
      <c r="U5" s="868"/>
      <c r="V5" s="869"/>
      <c r="W5" s="847"/>
      <c r="X5" s="847"/>
      <c r="Y5" s="847"/>
      <c r="Z5" s="847"/>
      <c r="AA5" s="847"/>
      <c r="AB5" s="847"/>
    </row>
    <row r="6" spans="1:28" s="318" customFormat="1" ht="7.5" customHeight="1" thickBot="1" x14ac:dyDescent="0.3">
      <c r="A6" s="427"/>
      <c r="B6" s="683"/>
      <c r="C6" s="403"/>
      <c r="D6" s="1061"/>
      <c r="E6" s="1061"/>
      <c r="F6" s="1093"/>
      <c r="G6" s="403"/>
      <c r="H6" s="1061"/>
      <c r="I6" s="1061"/>
      <c r="J6" s="1061"/>
      <c r="K6" s="403"/>
      <c r="L6" s="1061"/>
      <c r="M6" s="1061"/>
      <c r="N6" s="1061"/>
      <c r="O6" s="403"/>
      <c r="P6" s="1061"/>
      <c r="Q6" s="1061"/>
      <c r="R6" s="1061"/>
      <c r="S6" s="905"/>
      <c r="T6" s="1061"/>
      <c r="U6" s="1061"/>
      <c r="V6" s="906"/>
      <c r="W6" s="316"/>
      <c r="X6" s="316"/>
      <c r="Y6" s="316"/>
      <c r="Z6" s="316"/>
      <c r="AA6" s="316"/>
      <c r="AB6" s="316"/>
    </row>
    <row r="7" spans="1:28" s="854" customFormat="1" ht="19.899999999999999" customHeight="1" thickBot="1" x14ac:dyDescent="0.35">
      <c r="A7" s="849"/>
      <c r="B7" s="849"/>
      <c r="C7" s="849"/>
      <c r="D7" s="849"/>
      <c r="E7" s="1098" t="str">
        <f>IF(AND(L2="Sim",$D$2&gt;D11,$D$2&lt;=F11),"SIM","NÃO")</f>
        <v>NÃO</v>
      </c>
      <c r="F7" s="1096"/>
      <c r="G7" s="849"/>
      <c r="H7" s="853"/>
      <c r="I7" s="1087" t="str">
        <f>IF(AND(L2="Sim",$D$2&gt;H11,$D$2&lt;=J11),"SIM","NÃO")</f>
        <v>NÃO</v>
      </c>
      <c r="J7" s="853"/>
      <c r="K7" s="849"/>
      <c r="L7" s="853"/>
      <c r="M7" s="1087" t="str">
        <f>IF(AND(L2="Sim",$D$2&gt;L11,$D$2&lt;=N11),"SIM","NÃO")</f>
        <v>NÃO</v>
      </c>
      <c r="N7" s="853"/>
      <c r="O7" s="1088"/>
      <c r="P7" s="853"/>
      <c r="Q7" s="1087" t="str">
        <f>IF(AND(L2="Sim",$D$2&gt;P11,$D$2&lt;=R11),"SIM","NÃO")</f>
        <v>NÃO</v>
      </c>
      <c r="R7" s="853"/>
      <c r="S7" s="849"/>
      <c r="T7" s="853"/>
      <c r="U7" s="1089" t="str">
        <f>IF(AND(L2="Sim",$D$2&gt;T11,$D$2&lt;=V11*1.5),"SIM","NÃO")</f>
        <v>NÃO</v>
      </c>
      <c r="V7" s="849"/>
      <c r="W7" s="853"/>
      <c r="X7" s="853"/>
      <c r="Y7" s="853"/>
      <c r="Z7" s="853"/>
      <c r="AA7" s="853"/>
      <c r="AB7" s="853"/>
    </row>
    <row r="8" spans="1:28" s="318"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c r="W8" s="316"/>
      <c r="X8" s="316"/>
      <c r="Y8" s="316"/>
      <c r="Z8" s="316"/>
      <c r="AA8" s="316"/>
      <c r="AB8" s="316"/>
    </row>
    <row r="9" spans="1:28" s="855" customFormat="1" ht="17.649999999999999" customHeight="1" thickTop="1" thickBot="1" x14ac:dyDescent="0.35">
      <c r="A9" s="856"/>
      <c r="B9" s="2924" t="s">
        <v>640</v>
      </c>
      <c r="C9" s="901"/>
      <c r="D9" s="2927" t="s">
        <v>645</v>
      </c>
      <c r="E9" s="2928"/>
      <c r="F9" s="2928"/>
      <c r="G9" s="2928"/>
      <c r="H9" s="2928"/>
      <c r="I9" s="2928"/>
      <c r="J9" s="2928"/>
      <c r="K9" s="2928"/>
      <c r="L9" s="2928"/>
      <c r="M9" s="2928"/>
      <c r="N9" s="2928"/>
      <c r="O9" s="2928"/>
      <c r="P9" s="2928"/>
      <c r="Q9" s="2928"/>
      <c r="R9" s="2928"/>
      <c r="S9" s="2928"/>
      <c r="T9" s="2928"/>
      <c r="U9" s="2928"/>
      <c r="V9" s="2929"/>
      <c r="W9" s="857"/>
      <c r="X9" s="857"/>
      <c r="Y9" s="857"/>
      <c r="Z9" s="857"/>
      <c r="AA9" s="857"/>
      <c r="AB9" s="857"/>
    </row>
    <row r="10" spans="1:28" s="318" customFormat="1" ht="7.5" customHeight="1" x14ac:dyDescent="0.25">
      <c r="A10" s="427"/>
      <c r="B10" s="2925"/>
      <c r="C10" s="403"/>
      <c r="D10" s="1062"/>
      <c r="E10" s="753"/>
      <c r="F10" s="753"/>
      <c r="G10" s="741"/>
      <c r="H10" s="753"/>
      <c r="I10" s="753"/>
      <c r="J10" s="753"/>
      <c r="K10" s="741"/>
      <c r="L10" s="753"/>
      <c r="M10" s="753"/>
      <c r="N10" s="753"/>
      <c r="O10" s="741"/>
      <c r="P10" s="753"/>
      <c r="Q10" s="753"/>
      <c r="R10" s="753"/>
      <c r="S10" s="741"/>
      <c r="T10" s="753"/>
      <c r="U10" s="753"/>
      <c r="V10" s="1063"/>
      <c r="W10" s="316"/>
      <c r="X10" s="316"/>
      <c r="Y10" s="316"/>
      <c r="Z10" s="316"/>
      <c r="AA10" s="316"/>
      <c r="AB10" s="316"/>
    </row>
    <row r="11" spans="1:28" s="831" customFormat="1" ht="17.649999999999999" customHeight="1" thickBot="1" x14ac:dyDescent="0.3">
      <c r="A11" s="843"/>
      <c r="B11" s="2926"/>
      <c r="C11" s="902"/>
      <c r="D11" s="1064">
        <v>2.5</v>
      </c>
      <c r="E11" s="1065" t="s">
        <v>21</v>
      </c>
      <c r="F11" s="1066">
        <v>10</v>
      </c>
      <c r="G11" s="1067"/>
      <c r="H11" s="1066">
        <f>F11</f>
        <v>10</v>
      </c>
      <c r="I11" s="1065" t="s">
        <v>21</v>
      </c>
      <c r="J11" s="1066">
        <v>20</v>
      </c>
      <c r="K11" s="1067"/>
      <c r="L11" s="1066">
        <f>J11</f>
        <v>20</v>
      </c>
      <c r="M11" s="1065" t="s">
        <v>21</v>
      </c>
      <c r="N11" s="1066">
        <v>30</v>
      </c>
      <c r="O11" s="1067"/>
      <c r="P11" s="1066">
        <f>N11</f>
        <v>30</v>
      </c>
      <c r="Q11" s="1065" t="s">
        <v>21</v>
      </c>
      <c r="R11" s="1066">
        <v>40</v>
      </c>
      <c r="S11" s="1067"/>
      <c r="T11" s="1066">
        <f>R11</f>
        <v>40</v>
      </c>
      <c r="U11" s="1065" t="s">
        <v>21</v>
      </c>
      <c r="V11" s="1068">
        <v>50</v>
      </c>
      <c r="W11" s="847"/>
      <c r="X11" s="847"/>
      <c r="Y11" s="847"/>
      <c r="Z11" s="847"/>
      <c r="AA11" s="847"/>
      <c r="AB11" s="847"/>
    </row>
    <row r="12" spans="1:28" s="318" customFormat="1" ht="15" customHeight="1" thickTop="1" thickBot="1" x14ac:dyDescent="0.3">
      <c r="A12" s="427"/>
      <c r="B12" s="909"/>
      <c r="C12" s="685"/>
      <c r="D12" s="910"/>
      <c r="E12" s="910"/>
      <c r="F12" s="910"/>
      <c r="G12" s="741"/>
      <c r="H12" s="910"/>
      <c r="I12" s="910"/>
      <c r="J12" s="910"/>
      <c r="K12" s="741"/>
      <c r="L12" s="910"/>
      <c r="M12" s="910"/>
      <c r="N12" s="910"/>
      <c r="O12" s="685"/>
      <c r="P12" s="910"/>
      <c r="Q12" s="910"/>
      <c r="R12" s="910"/>
      <c r="S12" s="685"/>
      <c r="T12" s="910"/>
      <c r="U12" s="910"/>
      <c r="V12" s="911"/>
      <c r="W12" s="316"/>
      <c r="X12" s="316"/>
      <c r="Y12" s="316"/>
      <c r="Z12" s="316"/>
      <c r="AA12" s="316"/>
      <c r="AB12" s="316"/>
    </row>
    <row r="13" spans="1:28" s="854" customFormat="1" ht="19.899999999999999" customHeight="1" thickTop="1" thickBot="1" x14ac:dyDescent="0.35">
      <c r="A13" s="904"/>
      <c r="B13" s="977" t="s">
        <v>440</v>
      </c>
      <c r="C13" s="904"/>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053">
        <v>6.25</v>
      </c>
      <c r="X13" s="1054">
        <v>15</v>
      </c>
      <c r="Y13" s="1054">
        <v>25</v>
      </c>
      <c r="Z13" s="1054">
        <v>35</v>
      </c>
      <c r="AA13" s="1054">
        <v>45</v>
      </c>
      <c r="AB13" s="853"/>
    </row>
    <row r="14" spans="1:28" s="318" customFormat="1" ht="7.5" customHeight="1" x14ac:dyDescent="0.25">
      <c r="A14" s="903"/>
      <c r="B14" s="969"/>
      <c r="C14" s="403"/>
      <c r="D14" s="971"/>
      <c r="E14" s="682"/>
      <c r="F14" s="972"/>
      <c r="G14" s="403"/>
      <c r="H14" s="971"/>
      <c r="I14" s="682"/>
      <c r="J14" s="972"/>
      <c r="K14" s="905"/>
      <c r="L14" s="971"/>
      <c r="M14" s="682"/>
      <c r="N14" s="972"/>
      <c r="O14" s="403"/>
      <c r="P14" s="971"/>
      <c r="Q14" s="682"/>
      <c r="R14" s="972"/>
      <c r="S14" s="905"/>
      <c r="T14" s="971"/>
      <c r="U14" s="682"/>
      <c r="V14" s="973"/>
      <c r="W14" s="906"/>
      <c r="X14" s="316"/>
      <c r="Y14" s="316"/>
      <c r="Z14" s="316"/>
      <c r="AA14" s="316"/>
      <c r="AB14" s="316"/>
    </row>
    <row r="15" spans="1:28" s="831" customFormat="1" ht="17.649999999999999" customHeight="1" x14ac:dyDescent="0.25">
      <c r="A15" s="902"/>
      <c r="B15" s="913" t="s">
        <v>376</v>
      </c>
      <c r="C15" s="902"/>
      <c r="D15" s="916">
        <v>200</v>
      </c>
      <c r="E15" s="846" t="str">
        <f>(IF(E$7="SIM",(($H$2*D15)*E21*(1+'R&amp;C-Painel de Controle'!$D$61)+($H$2*D15*(1-E21)/$D$5*'R&amp;C-Painel de Controle'!D52*(1+'R&amp;C-Painel de Controle'!D54)))/1000000,"-"))</f>
        <v>-</v>
      </c>
      <c r="F15" s="917">
        <v>0.1</v>
      </c>
      <c r="G15" s="902"/>
      <c r="H15" s="916">
        <v>50</v>
      </c>
      <c r="I15" s="846" t="str">
        <f>(IF(I$7="SIM",((((($D$2/10*H15*1000)+(I30/10*12500)+(7500))/1000)+(I30/10*400))*(((I21)*(1+'R&amp;C-Painel de Controle'!$D$61))+((1-I21)/($D$5)*('R&amp;C-Painel de Controle'!$D$52)*(1+'R&amp;C-Painel de Controle'!$D$54))))/1000,"-"))</f>
        <v>-</v>
      </c>
      <c r="J15" s="917">
        <v>0.1</v>
      </c>
      <c r="K15" s="902"/>
      <c r="L15" s="916">
        <v>50</v>
      </c>
      <c r="M15" s="846" t="str">
        <f>(IF(M$7="SIM",((((($D$2/10*L15*1000)+(M30/10*12500)+(7500))/1000)+(M30/10*400))*(((M21)*(1+'R&amp;C-Painel de Controle'!$D$61))+((1-M21)/($D$5)*('R&amp;C-Painel de Controle'!$D$52)*(1+'R&amp;C-Painel de Controle'!$D$54))))/1000,"-"))</f>
        <v>-</v>
      </c>
      <c r="N15" s="917">
        <v>0.1</v>
      </c>
      <c r="O15" s="902"/>
      <c r="P15" s="916">
        <v>50</v>
      </c>
      <c r="Q15" s="846" t="str">
        <f>(IF(Q$7="SIM",((((($D$2/10*P15*1000)+(Q30/10*12500)+(7500))/1000)+(Q30/10*400))*(((Q21)*(1+'R&amp;C-Painel de Controle'!$D$61))+((1-Q21)/($D$5)*('R&amp;C-Painel de Controle'!$D$52)*(1+'R&amp;C-Painel de Controle'!$D$54))))/1000,"-"))</f>
        <v>-</v>
      </c>
      <c r="R15" s="917">
        <v>0.1</v>
      </c>
      <c r="S15" s="869"/>
      <c r="T15" s="916">
        <v>50</v>
      </c>
      <c r="U15" s="846" t="str">
        <f>(IF(U$7="SIM",((((($D$2/10*T15*1000)+(U30/10*12500)+(7500))/1000)+(U30/10*400))*(((U21)*(1+'R&amp;C-Painel de Controle'!$D$61))+((1-U21)/($D$5)*('R&amp;C-Painel de Controle'!$D$52)*(1+'R&amp;C-Painel de Controle'!$D$54))))/1000,"-"))</f>
        <v>-</v>
      </c>
      <c r="V15" s="917">
        <v>0.1</v>
      </c>
      <c r="W15" s="907">
        <v>0.23474999999999999</v>
      </c>
      <c r="X15" s="848">
        <v>2.5575000000000001</v>
      </c>
      <c r="Y15" s="848">
        <v>4.2575000000000003</v>
      </c>
      <c r="Z15" s="848">
        <v>5.9574999999999996</v>
      </c>
      <c r="AA15" s="848">
        <v>7.6574999999999998</v>
      </c>
      <c r="AB15" s="847"/>
    </row>
    <row r="16" spans="1:28" s="831" customFormat="1" ht="17.649999999999999" customHeight="1" x14ac:dyDescent="0.25">
      <c r="A16" s="902"/>
      <c r="B16" s="913" t="s">
        <v>641</v>
      </c>
      <c r="C16" s="902"/>
      <c r="D16" s="918">
        <v>1250</v>
      </c>
      <c r="E16" s="846" t="str">
        <f>(IF(E$7="SIM",((D17-F17)*('R&amp;C-Painel de Controle'!$D$57*0.25)+(F17*'R&amp;C-Painel de Controle'!$D$60*0.75)+((50)+(15+E30/5*30)+(25+E30/10*25)*1750))/1000000,"-"))</f>
        <v>-</v>
      </c>
      <c r="F16" s="919">
        <v>0.05</v>
      </c>
      <c r="G16" s="902"/>
      <c r="H16" s="918">
        <v>1250</v>
      </c>
      <c r="I16" s="846" t="str">
        <f>(IF(I$7="SIM",((H17-J17)*('R&amp;C-Painel de Controle'!$D$57*0.25)+(J17*'R&amp;C-Painel de Controle'!$D$60*0.75)+(((75)+(15+I30/5*30)+(25+I30/10*25))*H16))/1000000,"-"))</f>
        <v>-</v>
      </c>
      <c r="J16" s="919">
        <v>0.05</v>
      </c>
      <c r="K16" s="902"/>
      <c r="L16" s="918">
        <v>1250</v>
      </c>
      <c r="M16" s="846" t="str">
        <f>(IF(M$7="SIM",((L17-N17)*('R&amp;C-Painel de Controle'!$D$57*0.25)+(N17*'R&amp;C-Painel de Controle'!$D$60*0.75)+(((100)+(15+M30/5*30)+(25+M30/10*25))*L16))/1000000,"-"))</f>
        <v>-</v>
      </c>
      <c r="N16" s="919">
        <v>0.05</v>
      </c>
      <c r="O16" s="869"/>
      <c r="P16" s="918">
        <v>1250</v>
      </c>
      <c r="Q16" s="846" t="str">
        <f>(IF(Q$7="SIM",((P17-R17)*('R&amp;C-Painel de Controle'!$D$57*0.25)+(R17*'R&amp;C-Painel de Controle'!$D$60*0.75)+(((125)+(15+Q30/5*30)+(25+Q30/10*25))*P16))/1000000,"-"))</f>
        <v>-</v>
      </c>
      <c r="R16" s="919">
        <v>0.05</v>
      </c>
      <c r="S16" s="902"/>
      <c r="T16" s="918">
        <v>1250</v>
      </c>
      <c r="U16" s="846" t="str">
        <f>(IF(U$7="SIM",((T17-V17)*('R&amp;C-Painel de Controle'!$D$57*0.25)+(V17*'R&amp;C-Painel de Controle'!$D$60*0.75)+(((150)+(15+U30/5*30)+(25+U30/10*25))*T16))/1000000,"-"))</f>
        <v>-</v>
      </c>
      <c r="V16" s="919">
        <v>0.05</v>
      </c>
      <c r="W16" s="907">
        <v>0.80446499999999999</v>
      </c>
      <c r="X16" s="848">
        <v>3.4448249999999998</v>
      </c>
      <c r="Y16" s="848">
        <v>4.0352499999999996</v>
      </c>
      <c r="Z16" s="848">
        <v>5.4588791666666658</v>
      </c>
      <c r="AA16" s="848">
        <v>6.3754312500000001</v>
      </c>
      <c r="AB16" s="847"/>
    </row>
    <row r="17" spans="1:28" s="831" customFormat="1" ht="17.649999999999999" customHeight="1" x14ac:dyDescent="0.25">
      <c r="A17" s="902"/>
      <c r="B17" s="913" t="s">
        <v>753</v>
      </c>
      <c r="C17" s="902"/>
      <c r="D17" s="920">
        <f>(2*(20*(20+(SQRT(F17))+20))+2*(20*(SQRT(F17)))+F17+50+E30/5*25+E30/5*25)</f>
        <v>1650</v>
      </c>
      <c r="E17" s="846" t="str">
        <f>(IF(E$7="SIM",('R&amp;C-Painel de Controle'!$D$55+0.25)*D17/1000000,"-"))</f>
        <v>-</v>
      </c>
      <c r="F17" s="921">
        <f>(((E22*E30/10)/0.5)/25*20)+((E22*E30/10)/0.5)+(((E22*E30/10)/0.5)/25*15)</f>
        <v>0</v>
      </c>
      <c r="G17" s="902"/>
      <c r="H17" s="920">
        <f>(2*(20*(20+(SQRT(J17))+20))+2*(20*(SQRT(J17)))+J17+50+I30/5*25+I30/5*25)</f>
        <v>1650</v>
      </c>
      <c r="I17" s="846" t="str">
        <f>(IF(I$7="SIM",('R&amp;C-Painel de Controle'!$D$55+0.25)*H17/1000000,"-"))</f>
        <v>-</v>
      </c>
      <c r="J17" s="921">
        <f>((I22*I30/10)/25*25)+(I22*I30/10)+((I22*I30/10)/25*25)</f>
        <v>0</v>
      </c>
      <c r="K17" s="902"/>
      <c r="L17" s="920">
        <f>(2*(20*(20+(SQRT(N17))+20))+2*(20*(SQRT(N17)))+N17+100+M30/5*25+M30/5*25)</f>
        <v>1700</v>
      </c>
      <c r="M17" s="846" t="str">
        <f>(IF(M$7="SIM",('R&amp;C-Painel de Controle'!$D$55+0.25)*L17/1000000,"-"))</f>
        <v>-</v>
      </c>
      <c r="N17" s="921">
        <f>((M22*M30/10)/50*25)+(M22*M30/10)+((M22*M30/10)/50*25)</f>
        <v>0</v>
      </c>
      <c r="O17" s="869"/>
      <c r="P17" s="920">
        <f>(2*(20*(20+(SQRT(R17))+20))+2*(20*(SQRT(R17)))+R17+150+Q30/5*25+Q30/5*25)</f>
        <v>1750</v>
      </c>
      <c r="Q17" s="846" t="str">
        <f>(IF(Q$7="SIM",('R&amp;C-Painel de Controle'!$D$55+0.25)*P17/1000000,"-"))</f>
        <v>-</v>
      </c>
      <c r="R17" s="921">
        <f>((Q22*Q30/10)/75*50)+(Q22*Q30/10)+((Q22*Q30/10)/75*25)</f>
        <v>0</v>
      </c>
      <c r="S17" s="902"/>
      <c r="T17" s="920">
        <f>(2*(20*(20+(SQRT(V17))+20))+2*(20*(SQRT(V17)))+V17+200+U30/5*25+U30/5*25)</f>
        <v>1800</v>
      </c>
      <c r="U17" s="846" t="str">
        <f>(IF(U$7="SIM",('R&amp;C-Painel de Controle'!$D$55+0.25)*T17/1000000,"-"))</f>
        <v>-</v>
      </c>
      <c r="V17" s="921">
        <f>((U22*U30/10)/100*50)+(U22*U30/10)+((U22*U30/10)/100*25)</f>
        <v>0</v>
      </c>
      <c r="W17" s="907">
        <v>0.40139999999999998</v>
      </c>
      <c r="X17" s="848">
        <v>1.10331</v>
      </c>
      <c r="Y17" s="848">
        <v>1.0467</v>
      </c>
      <c r="Z17" s="848">
        <v>1.2973199999999998</v>
      </c>
      <c r="AA17" s="848">
        <v>1.4480325000000001</v>
      </c>
      <c r="AB17" s="847"/>
    </row>
    <row r="18" spans="1:28" s="831" customFormat="1" ht="17.649999999999999" customHeight="1" x14ac:dyDescent="0.25">
      <c r="A18" s="902"/>
      <c r="B18" s="913" t="s">
        <v>438</v>
      </c>
      <c r="C18" s="902"/>
      <c r="D18" s="916" t="str">
        <f>IF(E7="SIM",(E15+E16)*F18*1000000/$H$2,"-")</f>
        <v>-</v>
      </c>
      <c r="E18" s="846" t="str">
        <f>(IF(E$7="SIM",D18*$H$2/1000000,"-"))</f>
        <v>-</v>
      </c>
      <c r="F18" s="917">
        <v>0.1</v>
      </c>
      <c r="G18" s="902"/>
      <c r="H18" s="916" t="str">
        <f>IF(I7="SIM",(I15+I16)*J18*1000000/$H$2,"-")</f>
        <v>-</v>
      </c>
      <c r="I18" s="846" t="str">
        <f>(IF(I$7="SIM",H18*$H$2/1000000,"-"))</f>
        <v>-</v>
      </c>
      <c r="J18" s="917">
        <v>0.1</v>
      </c>
      <c r="K18" s="902"/>
      <c r="L18" s="916" t="str">
        <f>IF(M7="SIM",(M15+M16)*N18*1000000/$H$2,"-")</f>
        <v>-</v>
      </c>
      <c r="M18" s="846" t="str">
        <f>(IF(M$7="SIM",L18*$H$2/1000000,"-"))</f>
        <v>-</v>
      </c>
      <c r="N18" s="917">
        <v>0.1</v>
      </c>
      <c r="O18" s="902"/>
      <c r="P18" s="916" t="str">
        <f>IF(Q7="SIM",(Q15+Q16)*R18*1000000/$H$2,"-")</f>
        <v>-</v>
      </c>
      <c r="Q18" s="846" t="str">
        <f>(IF(Q$7="SIM",P18*$H$2/1000000,"-"))</f>
        <v>-</v>
      </c>
      <c r="R18" s="917">
        <v>7.4999999999999997E-2</v>
      </c>
      <c r="S18" s="869"/>
      <c r="T18" s="916" t="str">
        <f>IF(U7="SIM",(U15+U16)*V18*1000000/$H$2,"-")</f>
        <v>-</v>
      </c>
      <c r="U18" s="846" t="str">
        <f>(IF(U$7="SIM",T18*$H$2/1000000,"-"))</f>
        <v>-</v>
      </c>
      <c r="V18" s="917">
        <v>0.05</v>
      </c>
      <c r="W18" s="907">
        <v>2.5980375E-2</v>
      </c>
      <c r="X18" s="848">
        <v>0.15005812499999999</v>
      </c>
      <c r="Y18" s="848">
        <v>0.20731875</v>
      </c>
      <c r="Z18" s="848">
        <v>0.28540947916666665</v>
      </c>
      <c r="AA18" s="848">
        <v>0.35082328125000006</v>
      </c>
      <c r="AB18" s="847"/>
    </row>
    <row r="19" spans="1:28" s="854" customFormat="1" ht="19.899999999999999" customHeight="1" collapsed="1" thickBot="1" x14ac:dyDescent="0.35">
      <c r="A19" s="904"/>
      <c r="B19" s="914" t="s">
        <v>377</v>
      </c>
      <c r="C19" s="904"/>
      <c r="D19" s="1050">
        <v>2.5000000000000001E-2</v>
      </c>
      <c r="E19" s="922" t="str">
        <f>IF(E7="SIM",SUM(E15:E18)*(1+D19),"-")</f>
        <v>-</v>
      </c>
      <c r="F19" s="1051"/>
      <c r="G19" s="904"/>
      <c r="H19" s="1052">
        <v>0.05</v>
      </c>
      <c r="I19" s="922" t="str">
        <f>IF(I7="SIM",SUM(I15:I18)*(1+H19),"-")</f>
        <v>-</v>
      </c>
      <c r="J19" s="923" t="s">
        <v>289</v>
      </c>
      <c r="K19" s="904"/>
      <c r="L19" s="1052">
        <v>0.05</v>
      </c>
      <c r="M19" s="922" t="str">
        <f>IF(M7="SIM",SUM(M15:M18)*(1+L19),"-")</f>
        <v>-</v>
      </c>
      <c r="N19" s="1051" t="s">
        <v>289</v>
      </c>
      <c r="O19" s="904"/>
      <c r="P19" s="1052">
        <v>0.05</v>
      </c>
      <c r="Q19" s="922" t="str">
        <f>IF(Q7="SIM",SUM(Q15:Q18)*(1+P19),"-")</f>
        <v>-</v>
      </c>
      <c r="R19" s="1051" t="s">
        <v>289</v>
      </c>
      <c r="S19" s="904"/>
      <c r="T19" s="1052">
        <v>0.05</v>
      </c>
      <c r="U19" s="922" t="str">
        <f>IF(U7="SIM",SUM(U15:U18)*(1+T19),"-")</f>
        <v>-</v>
      </c>
      <c r="V19" s="1051" t="s">
        <v>289</v>
      </c>
      <c r="W19" s="908">
        <v>1.503260259375</v>
      </c>
      <c r="X19" s="852">
        <v>7.6184777812500002</v>
      </c>
      <c r="Y19" s="852">
        <v>10.0241071875</v>
      </c>
      <c r="Z19" s="852">
        <v>13.649064078124999</v>
      </c>
      <c r="AA19" s="852">
        <v>16.623376382812502</v>
      </c>
      <c r="AB19" s="853"/>
    </row>
    <row r="20" spans="1:28" s="237" customFormat="1" ht="17.649999999999999" hidden="1" customHeight="1" outlineLevel="1" thickTop="1" x14ac:dyDescent="0.25">
      <c r="A20" s="408"/>
      <c r="B20" s="912" t="s">
        <v>378</v>
      </c>
      <c r="C20" s="710"/>
      <c r="D20" s="877"/>
      <c r="E20" s="878" t="str">
        <f>IF(E7="SIM",E19*1000000/$H$2,"-")</f>
        <v>-</v>
      </c>
      <c r="F20" s="877"/>
      <c r="G20" s="710"/>
      <c r="H20" s="877" t="s">
        <v>289</v>
      </c>
      <c r="I20" s="878" t="str">
        <f>IF(I7="SIM",I19*1000000/$H$2,"-")</f>
        <v>-</v>
      </c>
      <c r="J20" s="877" t="s">
        <v>289</v>
      </c>
      <c r="K20" s="710"/>
      <c r="L20" s="877" t="s">
        <v>289</v>
      </c>
      <c r="M20" s="878" t="str">
        <f>IF(M7="SIM",M19*1000000/$H$2,"-")</f>
        <v>-</v>
      </c>
      <c r="N20" s="877" t="s">
        <v>289</v>
      </c>
      <c r="O20" s="710"/>
      <c r="P20" s="877" t="s">
        <v>289</v>
      </c>
      <c r="Q20" s="878" t="str">
        <f>IF(Q7="SIM",Q19*1000000/$H$2,"-")</f>
        <v>-</v>
      </c>
      <c r="R20" s="877" t="s">
        <v>289</v>
      </c>
      <c r="S20" s="710"/>
      <c r="T20" s="877" t="s">
        <v>289</v>
      </c>
      <c r="U20" s="878" t="str">
        <f>IF(U7="SIM",U19*1000000/$H$2,"-")</f>
        <v>-</v>
      </c>
      <c r="V20" s="877" t="s">
        <v>289</v>
      </c>
      <c r="W20" s="774">
        <v>1280.7329153354631</v>
      </c>
      <c r="X20" s="774">
        <v>1622.6789736421724</v>
      </c>
      <c r="Y20" s="774">
        <v>1281.0360623003196</v>
      </c>
      <c r="Z20" s="774">
        <v>1245.9209564696484</v>
      </c>
      <c r="AA20" s="774">
        <v>1180.218415535144</v>
      </c>
      <c r="AB20" s="139"/>
    </row>
    <row r="21" spans="1:28" s="318" customFormat="1" ht="17.649999999999999" hidden="1" customHeight="1" outlineLevel="1" x14ac:dyDescent="0.25">
      <c r="A21" s="427"/>
      <c r="B21" s="217" t="s">
        <v>639</v>
      </c>
      <c r="C21" s="685"/>
      <c r="D21" s="122"/>
      <c r="E21" s="324">
        <f>'R&amp;C-Painel de Controle'!$G$53</f>
        <v>1</v>
      </c>
      <c r="F21" s="231"/>
      <c r="G21" s="742"/>
      <c r="H21" s="231"/>
      <c r="I21" s="324">
        <f>'R&amp;C-Painel de Controle'!$G$53</f>
        <v>1</v>
      </c>
      <c r="J21" s="231"/>
      <c r="K21" s="685"/>
      <c r="L21" s="231"/>
      <c r="M21" s="324">
        <f>'R&amp;C-Painel de Controle'!$G$53</f>
        <v>1</v>
      </c>
      <c r="N21" s="231"/>
      <c r="O21" s="685"/>
      <c r="P21" s="231"/>
      <c r="Q21" s="324">
        <f>'R&amp;C-Painel de Controle'!$G$53</f>
        <v>1</v>
      </c>
      <c r="R21" s="231"/>
      <c r="S21" s="741"/>
      <c r="T21" s="231"/>
      <c r="U21" s="324">
        <f>'R&amp;C-Painel de Controle'!$G$53</f>
        <v>1</v>
      </c>
      <c r="V21" s="331"/>
      <c r="W21" s="316"/>
      <c r="X21" s="320">
        <f>(X20-W20)/X20</f>
        <v>0.21072933331920657</v>
      </c>
      <c r="Y21" s="320">
        <f>(Y20-X20)/Y20</f>
        <v>-0.26669265713595486</v>
      </c>
      <c r="Z21" s="320">
        <f>(Z20-Y20)/Z20</f>
        <v>-2.8184055857099297E-2</v>
      </c>
      <c r="AA21" s="320">
        <f>(AA20-Z20)/AA20</f>
        <v>-5.5669815069537845E-2</v>
      </c>
      <c r="AB21" s="316"/>
    </row>
    <row r="22" spans="1:28" s="318" customFormat="1" ht="17.649999999999999" hidden="1" customHeight="1" outlineLevel="1" x14ac:dyDescent="0.25">
      <c r="A22" s="427"/>
      <c r="B22" s="217" t="s">
        <v>713</v>
      </c>
      <c r="C22" s="685"/>
      <c r="D22" s="232">
        <v>5</v>
      </c>
      <c r="E22" s="232">
        <f>(D22*F22)/(8)*(10)</f>
        <v>50</v>
      </c>
      <c r="F22" s="232">
        <v>8</v>
      </c>
      <c r="G22" s="685"/>
      <c r="H22" s="232">
        <f>2+2*2.5</f>
        <v>7</v>
      </c>
      <c r="I22" s="232">
        <f>(H22*J22)</f>
        <v>192.5</v>
      </c>
      <c r="J22" s="232">
        <f>11*2.5</f>
        <v>27.5</v>
      </c>
      <c r="K22" s="742"/>
      <c r="L22" s="232">
        <f>2+2*2.5</f>
        <v>7</v>
      </c>
      <c r="M22" s="232">
        <f>(L22*N22)</f>
        <v>192.5</v>
      </c>
      <c r="N22" s="232">
        <f>11*2.5</f>
        <v>27.5</v>
      </c>
      <c r="O22" s="741"/>
      <c r="P22" s="232">
        <f>2+2*2.5</f>
        <v>7</v>
      </c>
      <c r="Q22" s="232">
        <f>(P22*R22)</f>
        <v>192.5</v>
      </c>
      <c r="R22" s="232">
        <f>11*2.5</f>
        <v>27.5</v>
      </c>
      <c r="S22" s="741"/>
      <c r="T22" s="232">
        <f>2+2*2.5</f>
        <v>7</v>
      </c>
      <c r="U22" s="232">
        <f>(T22*V22)</f>
        <v>192.5</v>
      </c>
      <c r="V22" s="748">
        <f>11*2.5</f>
        <v>27.5</v>
      </c>
      <c r="W22" s="316"/>
      <c r="X22" s="316"/>
      <c r="Y22" s="316"/>
      <c r="Z22" s="316"/>
      <c r="AA22" s="316"/>
      <c r="AB22" s="316"/>
    </row>
    <row r="23" spans="1:28" s="237" customFormat="1" ht="17.649999999999999" hidden="1" customHeight="1" outlineLevel="1" x14ac:dyDescent="0.25">
      <c r="A23" s="408"/>
      <c r="B23" s="211" t="s">
        <v>435</v>
      </c>
      <c r="C23" s="710"/>
      <c r="D23" s="700"/>
      <c r="E23" s="246" t="str">
        <f>IF(E7="SIM",(E15*F15+E16*F16)/4,"-")</f>
        <v>-</v>
      </c>
      <c r="F23" s="450"/>
      <c r="G23" s="710"/>
      <c r="H23" s="450"/>
      <c r="I23" s="246" t="str">
        <f>IF(I7="SIM",(I15*J15+I16*J16)/4,"-")</f>
        <v>-</v>
      </c>
      <c r="J23" s="450"/>
      <c r="K23" s="710"/>
      <c r="L23" s="450"/>
      <c r="M23" s="246" t="str">
        <f>IF(M7="SIM",(M15*N15+M16*N16)/4,"-")</f>
        <v>-</v>
      </c>
      <c r="N23" s="450"/>
      <c r="O23" s="710"/>
      <c r="P23" s="450"/>
      <c r="Q23" s="246" t="str">
        <f>IF(Q7="SIM",(Q15*R15+Q16*R16)/4,"-")</f>
        <v>-</v>
      </c>
      <c r="R23" s="450"/>
      <c r="S23" s="710"/>
      <c r="T23" s="450"/>
      <c r="U23" s="246" t="str">
        <f>IF(U7="SIM",(U15*V15+U16*V16)/4,"-")</f>
        <v>-</v>
      </c>
      <c r="V23" s="450"/>
      <c r="W23" s="139"/>
      <c r="X23" s="139"/>
      <c r="Y23" s="139"/>
      <c r="Z23" s="139"/>
      <c r="AA23" s="139"/>
      <c r="AB23" s="139"/>
    </row>
    <row r="24" spans="1:28"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29"/>
      <c r="X24" s="29"/>
      <c r="Y24" s="29"/>
      <c r="Z24" s="29"/>
      <c r="AA24" s="29"/>
      <c r="AB24" s="33"/>
    </row>
    <row r="25" spans="1:28" s="318" customFormat="1" ht="19.899999999999999" customHeight="1" thickTop="1" thickBot="1" x14ac:dyDescent="0.3">
      <c r="A25" s="903"/>
      <c r="B25" s="978" t="s">
        <v>439</v>
      </c>
      <c r="C25" s="403"/>
      <c r="D25" s="1055" t="s">
        <v>754</v>
      </c>
      <c r="E25" s="1056" t="s">
        <v>763</v>
      </c>
      <c r="F25" s="1057" t="s">
        <v>289</v>
      </c>
      <c r="G25" s="417"/>
      <c r="H25" s="1058" t="s">
        <v>754</v>
      </c>
      <c r="I25" s="1059" t="s">
        <v>763</v>
      </c>
      <c r="J25" s="1060" t="s">
        <v>289</v>
      </c>
      <c r="K25" s="417"/>
      <c r="L25" s="1058" t="s">
        <v>754</v>
      </c>
      <c r="M25" s="1059" t="s">
        <v>763</v>
      </c>
      <c r="N25" s="1060" t="s">
        <v>289</v>
      </c>
      <c r="O25" s="417"/>
      <c r="P25" s="1058" t="s">
        <v>754</v>
      </c>
      <c r="Q25" s="1059" t="s">
        <v>763</v>
      </c>
      <c r="R25" s="1060" t="s">
        <v>289</v>
      </c>
      <c r="S25" s="417"/>
      <c r="T25" s="1058" t="s">
        <v>754</v>
      </c>
      <c r="U25" s="1059" t="s">
        <v>763</v>
      </c>
      <c r="V25" s="1060" t="s">
        <v>289</v>
      </c>
      <c r="W25" s="906"/>
      <c r="X25" s="316"/>
      <c r="Y25" s="316"/>
      <c r="Z25" s="316"/>
      <c r="AA25" s="316"/>
      <c r="AB25" s="316"/>
    </row>
    <row r="26" spans="1:28" s="318" customFormat="1" ht="7.5" customHeight="1" thickBot="1" x14ac:dyDescent="0.3">
      <c r="A26" s="903"/>
      <c r="B26" s="970"/>
      <c r="C26" s="403"/>
      <c r="D26" s="974"/>
      <c r="E26" s="682"/>
      <c r="F26" s="975"/>
      <c r="G26" s="403"/>
      <c r="H26" s="974"/>
      <c r="I26" s="682"/>
      <c r="J26" s="975"/>
      <c r="K26" s="403"/>
      <c r="L26" s="974"/>
      <c r="M26" s="682"/>
      <c r="N26" s="975"/>
      <c r="O26" s="403"/>
      <c r="P26" s="974"/>
      <c r="Q26" s="682"/>
      <c r="R26" s="975"/>
      <c r="S26" s="905"/>
      <c r="T26" s="974"/>
      <c r="U26" s="682"/>
      <c r="V26" s="976"/>
      <c r="W26" s="906"/>
      <c r="X26" s="316"/>
      <c r="Y26" s="316"/>
      <c r="Z26" s="316"/>
      <c r="AA26" s="316"/>
      <c r="AB26" s="316"/>
    </row>
    <row r="27" spans="1:28" s="831" customFormat="1" ht="17.649999999999999" customHeight="1" collapsed="1" thickTop="1" thickBot="1" x14ac:dyDescent="0.3">
      <c r="A27" s="869"/>
      <c r="B27" s="937" t="s">
        <v>381</v>
      </c>
      <c r="C27" s="869"/>
      <c r="D27" s="943"/>
      <c r="E27" s="826" t="str">
        <f>IF(AND(E$7="SIM",'R&amp;C-Painel de Controle'!$C$66="Regime CLT"),E31*2.4*12/$H$2,IF(AND(E$7="SIM",'R&amp;C-Painel de Controle'!$C$66="Regime Cooperativa"),E31*1.4*12/$H$2,"-"))</f>
        <v>-</v>
      </c>
      <c r="F27" s="944"/>
      <c r="G27" s="926"/>
      <c r="H27" s="956"/>
      <c r="I27" s="828" t="str">
        <f>IF(AND(I$7="SIM",'R&amp;C-Painel de Controle'!$C$66="Regime CLT"),I31*2.4*12/$H$2,IF(AND(I$7="SIM",'R&amp;C-Painel de Controle'!$C$66="Regime Cooperativa"),I31*1.4*12/$H$2,"-"))</f>
        <v>-</v>
      </c>
      <c r="J27" s="957"/>
      <c r="K27" s="928"/>
      <c r="L27" s="956"/>
      <c r="M27" s="828" t="str">
        <f>IF(AND(M$7="SIM",'R&amp;C-Painel de Controle'!$C$66="Regime CLT"),M31*2.4*12/$H$2,IF(AND(M$7="SIM",'R&amp;C-Painel de Controle'!$C$66="Regime Cooperativa"),M31*1.4*12/$H$2,"-"))</f>
        <v>-</v>
      </c>
      <c r="N27" s="957"/>
      <c r="O27" s="869"/>
      <c r="P27" s="956"/>
      <c r="Q27" s="828" t="str">
        <f>IF(AND(Q$7="SIM",'R&amp;C-Painel de Controle'!$C$66="Regime CLT"),Q31*2.4*12/$H$2,IF(AND(Q$7="SIM",'R&amp;C-Painel de Controle'!$C$66="Regime Cooperativa"),Q31*1.4*12/$H$2,"-"))</f>
        <v>-</v>
      </c>
      <c r="R27" s="957"/>
      <c r="S27" s="869"/>
      <c r="T27" s="956"/>
      <c r="U27" s="829" t="str">
        <f>IF(AND(U$7="SIM",'R&amp;C-Painel de Controle'!$C$66="Regime CLT"),U31*2.4*12/$H$2,IF(AND(U$7="SIM",'R&amp;C-Painel de Controle'!$C$66="Regime Cooperativa"),U31*1.4*12/$H$2,"-"))</f>
        <v>-</v>
      </c>
      <c r="V27" s="962"/>
      <c r="W27" s="930"/>
      <c r="X27" s="830"/>
      <c r="Y27" s="830"/>
      <c r="Z27" s="830"/>
      <c r="AA27" s="830"/>
      <c r="AB27" s="830"/>
    </row>
    <row r="28" spans="1:28" s="318" customFormat="1" ht="17.649999999999999" hidden="1" customHeight="1" outlineLevel="1" thickTop="1" x14ac:dyDescent="0.25">
      <c r="A28" s="903"/>
      <c r="B28" s="938" t="s">
        <v>380</v>
      </c>
      <c r="C28" s="403"/>
      <c r="D28" s="945">
        <f>F28/1.25</f>
        <v>0.08</v>
      </c>
      <c r="E28" s="325">
        <f>IF('R-Definição'!$I$32="Baixa",D28,F28)</f>
        <v>0.08</v>
      </c>
      <c r="F28" s="946">
        <v>0.1</v>
      </c>
      <c r="G28" s="404"/>
      <c r="H28" s="945">
        <v>0.1</v>
      </c>
      <c r="I28" s="325">
        <f>IF('R-Definição'!$I$32="Baixa",H28,J28)</f>
        <v>0.1</v>
      </c>
      <c r="J28" s="948">
        <f>H28*1.25</f>
        <v>0.125</v>
      </c>
      <c r="K28" s="403"/>
      <c r="L28" s="945">
        <v>0.1</v>
      </c>
      <c r="M28" s="325">
        <f>IF('R-Definição'!$I$32="Baixa",L28,N28)</f>
        <v>0.1</v>
      </c>
      <c r="N28" s="948">
        <f>L28*1.25</f>
        <v>0.125</v>
      </c>
      <c r="O28" s="905"/>
      <c r="P28" s="945">
        <v>0.1</v>
      </c>
      <c r="Q28" s="325">
        <f>IF('R-Definição'!$I$32="Baixa",P28,R28)</f>
        <v>0.1</v>
      </c>
      <c r="R28" s="948">
        <f>P28*1.25</f>
        <v>0.125</v>
      </c>
      <c r="S28" s="905"/>
      <c r="T28" s="945">
        <v>0.1</v>
      </c>
      <c r="U28" s="325">
        <f>IF('R-Definição'!$I$32="Baixa",T28,V28)</f>
        <v>0.1</v>
      </c>
      <c r="V28" s="967">
        <f>T28*1.25</f>
        <v>0.125</v>
      </c>
      <c r="W28" s="906"/>
      <c r="X28" s="316"/>
      <c r="Y28" s="316"/>
      <c r="Z28" s="316"/>
      <c r="AA28" s="316"/>
      <c r="AB28" s="316"/>
    </row>
    <row r="29" spans="1:28" s="318" customFormat="1" ht="17.649999999999999" hidden="1" customHeight="1" outlineLevel="1" x14ac:dyDescent="0.25">
      <c r="A29" s="903"/>
      <c r="B29" s="938" t="s">
        <v>630</v>
      </c>
      <c r="C29" s="403"/>
      <c r="D29" s="942"/>
      <c r="E29" s="232">
        <v>2</v>
      </c>
      <c r="F29" s="947"/>
      <c r="G29" s="927"/>
      <c r="H29" s="958"/>
      <c r="I29" s="232">
        <v>2</v>
      </c>
      <c r="J29" s="947"/>
      <c r="K29" s="404"/>
      <c r="L29" s="958"/>
      <c r="M29" s="232">
        <v>2</v>
      </c>
      <c r="N29" s="947"/>
      <c r="O29" s="905"/>
      <c r="P29" s="958"/>
      <c r="Q29" s="232">
        <v>2</v>
      </c>
      <c r="R29" s="947"/>
      <c r="S29" s="403"/>
      <c r="T29" s="958"/>
      <c r="U29" s="232">
        <v>2</v>
      </c>
      <c r="V29" s="967"/>
      <c r="W29" s="906"/>
      <c r="X29" s="316"/>
      <c r="Y29" s="316"/>
      <c r="Z29" s="316"/>
      <c r="AA29" s="316"/>
      <c r="AB29" s="316"/>
    </row>
    <row r="30" spans="1:28" s="318" customFormat="1" ht="17.649999999999999" hidden="1" customHeight="1" outlineLevel="1" x14ac:dyDescent="0.25">
      <c r="A30" s="903"/>
      <c r="B30" s="938" t="s">
        <v>631</v>
      </c>
      <c r="C30" s="403"/>
      <c r="D30" s="942"/>
      <c r="E30" s="321">
        <f>$D$2/E29/E28</f>
        <v>0</v>
      </c>
      <c r="F30" s="948"/>
      <c r="G30" s="404"/>
      <c r="H30" s="949"/>
      <c r="I30" s="321">
        <f>$D$2/I29/I28</f>
        <v>0</v>
      </c>
      <c r="J30" s="948"/>
      <c r="K30" s="927"/>
      <c r="L30" s="949"/>
      <c r="M30" s="321">
        <f>$D$2/M29/M28</f>
        <v>0</v>
      </c>
      <c r="N30" s="948"/>
      <c r="O30" s="403"/>
      <c r="P30" s="949"/>
      <c r="Q30" s="321">
        <f>$D$2/Q29/Q28</f>
        <v>0</v>
      </c>
      <c r="R30" s="948"/>
      <c r="S30" s="403"/>
      <c r="T30" s="949"/>
      <c r="U30" s="321">
        <f>$D$2/U29/U28</f>
        <v>0</v>
      </c>
      <c r="V30" s="966"/>
      <c r="W30" s="906"/>
      <c r="X30" s="316"/>
      <c r="Y30" s="316"/>
      <c r="Z30" s="316"/>
      <c r="AA30" s="316"/>
      <c r="AB30" s="316"/>
    </row>
    <row r="31" spans="1:28" s="318" customFormat="1" ht="17.649999999999999" hidden="1" customHeight="1" outlineLevel="1" thickBot="1" x14ac:dyDescent="0.3">
      <c r="A31" s="903"/>
      <c r="B31" s="938" t="s">
        <v>632</v>
      </c>
      <c r="C31" s="403"/>
      <c r="D31" s="942"/>
      <c r="E31" s="743" t="str">
        <f>(IF(E$7="SIM",1*0.6*0.25*'R&amp;C-Painel de Controle'!$D$63+(E30/40)*E29*0.6*0.25*'R&amp;C-Painel de Controle'!$D$64+E30*E29*'R&amp;C-Painel de Controle'!$D$67,"-"))</f>
        <v>-</v>
      </c>
      <c r="F31" s="948"/>
      <c r="G31" s="404"/>
      <c r="H31" s="949"/>
      <c r="I31" s="323" t="str">
        <f>(IF(I$7="SIM",1*0.7*0.25*'R&amp;C-Painel de Controle'!$D$63+(I30/40)*I29*0.7*0.25*'R&amp;C-Painel de Controle'!$D$64+I30*I29*'R&amp;C-Painel de Controle'!$D$67,"-"))</f>
        <v>-</v>
      </c>
      <c r="J31" s="948"/>
      <c r="K31" s="404"/>
      <c r="L31" s="949"/>
      <c r="M31" s="323" t="str">
        <f>(IF(M$7="SIM",1*0.8*0.25*'R&amp;C-Painel de Controle'!$D$63+(M30/40)*M29*0.8*0.25*'R&amp;C-Painel de Controle'!$D$64+M30*M29*'R&amp;C-Painel de Controle'!$D$67,"-"))</f>
        <v>-</v>
      </c>
      <c r="N31" s="948"/>
      <c r="O31" s="403"/>
      <c r="P31" s="949"/>
      <c r="Q31" s="323" t="str">
        <f>(IF(Q$7="SIM",1*0.9*0.25*'R&amp;C-Painel de Controle'!$D$63+(Q30/40)*Q29*0.9*0.25*'R&amp;C-Painel de Controle'!$D$64+Q30*Q29*'R&amp;C-Painel de Controle'!$D$67,"-"))</f>
        <v>-</v>
      </c>
      <c r="R31" s="948"/>
      <c r="S31" s="905"/>
      <c r="T31" s="949"/>
      <c r="U31" s="323" t="str">
        <f>(IF(U$7="SIM",1*1*0.25*'R&amp;C-Painel de Controle'!$D$63+(U30/40)*U29*1*0.25*'R&amp;C-Painel de Controle'!$D$64+U30*U29*'R&amp;C-Painel de Controle'!$D$67,"-"))</f>
        <v>-</v>
      </c>
      <c r="V31" s="966"/>
      <c r="W31" s="906"/>
      <c r="X31" s="316"/>
      <c r="Y31" s="316"/>
      <c r="Z31" s="316"/>
      <c r="AA31" s="316"/>
      <c r="AB31" s="316"/>
    </row>
    <row r="32" spans="1:28" s="831" customFormat="1" ht="17.649999999999999" customHeight="1" collapsed="1" thickTop="1" thickBot="1" x14ac:dyDescent="0.3">
      <c r="A32" s="902"/>
      <c r="B32" s="937" t="s">
        <v>382</v>
      </c>
      <c r="C32" s="902"/>
      <c r="D32" s="943"/>
      <c r="E32" s="826" t="str">
        <f>(IF(E$7="SIM",(E33*$H$2/1000*'R&amp;C-Painel de Controle'!$D$68+E34/1000*'R&amp;C-Painel de Controle'!$D$69*12)/$H$2,"-"))</f>
        <v>-</v>
      </c>
      <c r="F32" s="944"/>
      <c r="G32" s="926"/>
      <c r="H32" s="956"/>
      <c r="I32" s="828" t="str">
        <f>(IF(I$7="SIM",(I33*$H$2/1000*'R&amp;C-Painel de Controle'!$D$68+I34/1000*'R&amp;C-Painel de Controle'!$D$69*12)/$H$2,"-"))</f>
        <v>-</v>
      </c>
      <c r="J32" s="957"/>
      <c r="K32" s="928"/>
      <c r="L32" s="956"/>
      <c r="M32" s="828" t="str">
        <f>(IF(M$7="SIM",(M33*$H$2/1000*'R&amp;C-Painel de Controle'!$D$68+M34/1000*'R&amp;C-Painel de Controle'!$D$69*12)/$H$2,"-"))</f>
        <v>-</v>
      </c>
      <c r="N32" s="957"/>
      <c r="O32" s="902"/>
      <c r="P32" s="956"/>
      <c r="Q32" s="828" t="str">
        <f>(IF(Q$7="SIM",(Q33*$H$2/1000*'R&amp;C-Painel de Controle'!$D$68+Q34/1000*'R&amp;C-Painel de Controle'!$D$69*12)/$H$2,"-"))</f>
        <v>-</v>
      </c>
      <c r="R32" s="957"/>
      <c r="S32" s="869"/>
      <c r="T32" s="956"/>
      <c r="U32" s="829" t="str">
        <f>(IF(U$7="SIM",(U33*$H$2/1000*'R&amp;C-Painel de Controle'!$D$68+U34/1000*'R&amp;C-Painel de Controle'!$D$69*12)/$H$2,"-"))</f>
        <v>-</v>
      </c>
      <c r="V32" s="962"/>
      <c r="W32" s="931"/>
      <c r="X32" s="847"/>
      <c r="Y32" s="847"/>
      <c r="Z32" s="847"/>
      <c r="AA32" s="847"/>
      <c r="AB32" s="847"/>
    </row>
    <row r="33" spans="1:28" s="318" customFormat="1" ht="17.649999999999999" hidden="1" customHeight="1" outlineLevel="1" thickTop="1" x14ac:dyDescent="0.25">
      <c r="A33" s="903"/>
      <c r="B33" s="938" t="s">
        <v>633</v>
      </c>
      <c r="C33" s="403"/>
      <c r="D33" s="942"/>
      <c r="E33" s="684">
        <v>2.5</v>
      </c>
      <c r="F33" s="948"/>
      <c r="G33" s="404"/>
      <c r="H33" s="949"/>
      <c r="I33" s="231">
        <v>15</v>
      </c>
      <c r="J33" s="948"/>
      <c r="K33" s="929"/>
      <c r="L33" s="949"/>
      <c r="M33" s="231">
        <v>15</v>
      </c>
      <c r="N33" s="948"/>
      <c r="O33" s="905"/>
      <c r="P33" s="949"/>
      <c r="Q33" s="231">
        <v>15</v>
      </c>
      <c r="R33" s="948"/>
      <c r="S33" s="403"/>
      <c r="T33" s="949"/>
      <c r="U33" s="231">
        <v>15</v>
      </c>
      <c r="V33" s="966"/>
      <c r="W33" s="906"/>
      <c r="X33" s="316"/>
      <c r="Y33" s="316"/>
      <c r="Z33" s="316"/>
      <c r="AA33" s="316"/>
      <c r="AB33" s="316"/>
    </row>
    <row r="34" spans="1:28" s="318" customFormat="1" ht="17.649999999999999" hidden="1" customHeight="1" outlineLevel="1" thickBot="1" x14ac:dyDescent="0.3">
      <c r="A34" s="903"/>
      <c r="B34" s="938" t="s">
        <v>634</v>
      </c>
      <c r="C34" s="403"/>
      <c r="D34" s="949"/>
      <c r="E34" s="744">
        <f>E33*F11*(0.9)*0.92/16</f>
        <v>1.29375</v>
      </c>
      <c r="F34" s="948"/>
      <c r="G34" s="404"/>
      <c r="H34" s="949"/>
      <c r="I34" s="326">
        <f>I33*J11*(0.9)*0.92/16</f>
        <v>15.525</v>
      </c>
      <c r="J34" s="948"/>
      <c r="K34" s="404"/>
      <c r="L34" s="949"/>
      <c r="M34" s="326">
        <f>M33*N11*(0.9)*0.92/16</f>
        <v>23.287500000000001</v>
      </c>
      <c r="N34" s="948"/>
      <c r="O34" s="403"/>
      <c r="P34" s="949"/>
      <c r="Q34" s="326">
        <f>Q33*R11*(0.9)*0.92/16</f>
        <v>31.05</v>
      </c>
      <c r="R34" s="948"/>
      <c r="S34" s="403"/>
      <c r="T34" s="949"/>
      <c r="U34" s="326">
        <f>U33*V11*(0.9)*0.92/16</f>
        <v>38.8125</v>
      </c>
      <c r="V34" s="966"/>
      <c r="W34" s="906"/>
      <c r="X34" s="316"/>
      <c r="Y34" s="316"/>
      <c r="Z34" s="316"/>
      <c r="AA34" s="316"/>
      <c r="AB34" s="316"/>
    </row>
    <row r="35" spans="1:28" s="831" customFormat="1" ht="17.649999999999999" customHeight="1" collapsed="1" thickTop="1" thickBot="1" x14ac:dyDescent="0.3">
      <c r="A35" s="902"/>
      <c r="B35" s="937" t="s">
        <v>383</v>
      </c>
      <c r="C35" s="902"/>
      <c r="D35" s="943"/>
      <c r="E35" s="826" t="str">
        <f>(IF(E$7="SIM",(E15*1000000*E36+E37*12)/$H$2,"-"))</f>
        <v>-</v>
      </c>
      <c r="F35" s="944"/>
      <c r="G35" s="926"/>
      <c r="H35" s="956"/>
      <c r="I35" s="828" t="str">
        <f>(IF(I$7="SIM",(I15*1000000*I36+I37*12)/$H$2,"-"))</f>
        <v>-</v>
      </c>
      <c r="J35" s="957"/>
      <c r="K35" s="928"/>
      <c r="L35" s="956"/>
      <c r="M35" s="828" t="str">
        <f>(IF(M$7="SIM",(M15*1000000*M36+M37*12)/$H$2,"-"))</f>
        <v>-</v>
      </c>
      <c r="N35" s="957"/>
      <c r="O35" s="902"/>
      <c r="P35" s="956"/>
      <c r="Q35" s="828" t="str">
        <f>(IF(Q$7="SIM",(Q15*1000000*Q36+Q37*12)/$H$2,"-"))</f>
        <v>-</v>
      </c>
      <c r="R35" s="957"/>
      <c r="S35" s="869"/>
      <c r="T35" s="956"/>
      <c r="U35" s="829" t="str">
        <f>(IF(U$7="SIM",(U15*1000000*U36+U37*12)/$H$2,"-"))</f>
        <v>-</v>
      </c>
      <c r="V35" s="962"/>
      <c r="W35" s="931"/>
      <c r="X35" s="847"/>
      <c r="Y35" s="847"/>
      <c r="Z35" s="847"/>
      <c r="AA35" s="847"/>
      <c r="AB35" s="847"/>
    </row>
    <row r="36" spans="1:28" s="318" customFormat="1" ht="17.649999999999999" hidden="1" customHeight="1" outlineLevel="1" thickTop="1" x14ac:dyDescent="0.25">
      <c r="A36" s="903"/>
      <c r="B36" s="938" t="s">
        <v>635</v>
      </c>
      <c r="C36" s="403"/>
      <c r="D36" s="942"/>
      <c r="E36" s="746">
        <v>2.5000000000000001E-2</v>
      </c>
      <c r="F36" s="948"/>
      <c r="G36" s="404"/>
      <c r="H36" s="949"/>
      <c r="I36" s="322">
        <v>2.5000000000000001E-2</v>
      </c>
      <c r="J36" s="948"/>
      <c r="K36" s="929"/>
      <c r="L36" s="949"/>
      <c r="M36" s="322">
        <v>2.5000000000000001E-2</v>
      </c>
      <c r="N36" s="948"/>
      <c r="O36" s="905"/>
      <c r="P36" s="949"/>
      <c r="Q36" s="322">
        <v>2.5000000000000001E-2</v>
      </c>
      <c r="R36" s="948"/>
      <c r="S36" s="905"/>
      <c r="T36" s="949"/>
      <c r="U36" s="322">
        <v>2.5000000000000001E-2</v>
      </c>
      <c r="V36" s="966"/>
      <c r="W36" s="906"/>
      <c r="X36" s="316"/>
      <c r="Y36" s="316"/>
      <c r="Z36" s="316"/>
      <c r="AA36" s="316"/>
      <c r="AB36" s="316"/>
    </row>
    <row r="37" spans="1:28" s="318" customFormat="1" ht="17.649999999999999" hidden="1" customHeight="1" outlineLevel="1" thickBot="1" x14ac:dyDescent="0.3">
      <c r="A37" s="903"/>
      <c r="B37" s="938" t="s">
        <v>441</v>
      </c>
      <c r="C37" s="403"/>
      <c r="D37" s="942"/>
      <c r="E37" s="743">
        <v>10000</v>
      </c>
      <c r="F37" s="948"/>
      <c r="G37" s="404"/>
      <c r="H37" s="949"/>
      <c r="I37" s="323">
        <v>25000</v>
      </c>
      <c r="J37" s="948"/>
      <c r="K37" s="404"/>
      <c r="L37" s="949"/>
      <c r="M37" s="323">
        <v>25000</v>
      </c>
      <c r="N37" s="948"/>
      <c r="O37" s="905"/>
      <c r="P37" s="949"/>
      <c r="Q37" s="323">
        <v>25000</v>
      </c>
      <c r="R37" s="948"/>
      <c r="S37" s="403"/>
      <c r="T37" s="949"/>
      <c r="U37" s="323">
        <v>25000</v>
      </c>
      <c r="V37" s="966"/>
      <c r="W37" s="906"/>
      <c r="X37" s="316"/>
      <c r="Y37" s="316"/>
      <c r="Z37" s="316"/>
      <c r="AA37" s="316"/>
      <c r="AB37" s="316"/>
    </row>
    <row r="38" spans="1:28" s="831" customFormat="1" ht="17.649999999999999" customHeight="1" collapsed="1" thickTop="1" thickBot="1" x14ac:dyDescent="0.3">
      <c r="A38" s="869"/>
      <c r="B38" s="937" t="s">
        <v>638</v>
      </c>
      <c r="C38" s="902"/>
      <c r="D38" s="950">
        <v>0.1</v>
      </c>
      <c r="E38" s="872" t="str">
        <f>(IF(E$7="SIM",D38*E39*E40*12/$H$2,"-"))</f>
        <v>-</v>
      </c>
      <c r="F38" s="944"/>
      <c r="G38" s="926"/>
      <c r="H38" s="959">
        <v>0.1</v>
      </c>
      <c r="I38" s="873" t="str">
        <f>(IF(I$7="SIM",H38*I39*I40*12/$H$2,"-"))</f>
        <v>-</v>
      </c>
      <c r="J38" s="957"/>
      <c r="K38" s="928"/>
      <c r="L38" s="959">
        <v>0.1</v>
      </c>
      <c r="M38" s="873" t="str">
        <f>(IF(M$7="SIM",L38*M39*M40*12/$H$2,"-"))</f>
        <v>-</v>
      </c>
      <c r="N38" s="957"/>
      <c r="O38" s="869"/>
      <c r="P38" s="959">
        <v>0.1</v>
      </c>
      <c r="Q38" s="873" t="str">
        <f>(IF(Q$7="SIM",P38*Q39*Q40*12/$H$2,"-"))</f>
        <v>-</v>
      </c>
      <c r="R38" s="957"/>
      <c r="S38" s="902"/>
      <c r="T38" s="959">
        <v>0.1</v>
      </c>
      <c r="U38" s="874" t="str">
        <f>(IF(U$7="SIM",T38*U39*U40*12/$H$2,"-"))</f>
        <v>-</v>
      </c>
      <c r="V38" s="962"/>
      <c r="W38" s="930"/>
      <c r="X38" s="830"/>
      <c r="Y38" s="830"/>
      <c r="Z38" s="830"/>
      <c r="AA38" s="830"/>
      <c r="AB38" s="830"/>
    </row>
    <row r="39" spans="1:28" s="318" customFormat="1" ht="17.649999999999999" hidden="1" customHeight="1" outlineLevel="1" thickTop="1" x14ac:dyDescent="0.25">
      <c r="A39" s="925"/>
      <c r="B39" s="938" t="s">
        <v>636</v>
      </c>
      <c r="C39" s="905"/>
      <c r="D39" s="942"/>
      <c r="E39" s="747">
        <f>'R&amp;C-Painel de Controle'!$D$70</f>
        <v>100000</v>
      </c>
      <c r="F39" s="948"/>
      <c r="G39" s="404"/>
      <c r="H39" s="949"/>
      <c r="I39" s="323">
        <f>'R&amp;C-Painel de Controle'!$D$70</f>
        <v>100000</v>
      </c>
      <c r="J39" s="948"/>
      <c r="K39" s="929"/>
      <c r="L39" s="949"/>
      <c r="M39" s="323">
        <f>'R&amp;C-Painel de Controle'!$D$70</f>
        <v>100000</v>
      </c>
      <c r="N39" s="948"/>
      <c r="O39" s="403"/>
      <c r="P39" s="949"/>
      <c r="Q39" s="323">
        <f>'R&amp;C-Painel de Controle'!$D$70</f>
        <v>100000</v>
      </c>
      <c r="R39" s="948"/>
      <c r="S39" s="905"/>
      <c r="T39" s="949"/>
      <c r="U39" s="323">
        <f>'R&amp;C-Painel de Controle'!$D$70</f>
        <v>100000</v>
      </c>
      <c r="V39" s="966"/>
      <c r="W39" s="932"/>
      <c r="X39" s="317"/>
      <c r="Y39" s="317"/>
      <c r="Z39" s="317"/>
      <c r="AA39" s="317"/>
      <c r="AB39" s="317"/>
    </row>
    <row r="40" spans="1:28" s="318" customFormat="1" ht="17.649999999999999" hidden="1" customHeight="1" outlineLevel="1" thickBot="1" x14ac:dyDescent="0.3">
      <c r="A40" s="903"/>
      <c r="B40" s="938" t="s">
        <v>637</v>
      </c>
      <c r="C40" s="905"/>
      <c r="D40" s="942"/>
      <c r="E40" s="745">
        <v>0.25</v>
      </c>
      <c r="F40" s="948"/>
      <c r="G40" s="404"/>
      <c r="H40" s="949"/>
      <c r="I40" s="324">
        <v>0.5</v>
      </c>
      <c r="J40" s="948"/>
      <c r="K40" s="404"/>
      <c r="L40" s="949"/>
      <c r="M40" s="324">
        <v>1</v>
      </c>
      <c r="N40" s="948"/>
      <c r="O40" s="905"/>
      <c r="P40" s="949"/>
      <c r="Q40" s="324">
        <v>1.25</v>
      </c>
      <c r="R40" s="948"/>
      <c r="S40" s="403"/>
      <c r="T40" s="949"/>
      <c r="U40" s="324">
        <v>1.5</v>
      </c>
      <c r="V40" s="966"/>
      <c r="W40" s="906"/>
      <c r="X40" s="316"/>
      <c r="Y40" s="316"/>
      <c r="Z40" s="316"/>
      <c r="AA40" s="316"/>
      <c r="AB40" s="316"/>
    </row>
    <row r="41" spans="1:28" s="831" customFormat="1" ht="17.649999999999999" customHeight="1" thickTop="1" thickBot="1" x14ac:dyDescent="0.3">
      <c r="A41" s="902"/>
      <c r="B41" s="937" t="s">
        <v>390</v>
      </c>
      <c r="C41" s="902"/>
      <c r="D41" s="943"/>
      <c r="E41" s="875" t="str">
        <f>(IF(E$7="SIM",0.05*'R&amp;C-Painel de Controle'!$D$74,"-"))</f>
        <v>-</v>
      </c>
      <c r="F41" s="944"/>
      <c r="G41" s="926"/>
      <c r="H41" s="956"/>
      <c r="I41" s="827" t="str">
        <f>(IF(I$7="SIM",2.5+1.5*'R&amp;C-Painel de Controle'!$D$74,"-"))</f>
        <v>-</v>
      </c>
      <c r="J41" s="957"/>
      <c r="K41" s="926"/>
      <c r="L41" s="956"/>
      <c r="M41" s="827" t="str">
        <f>(IF(M$7="SIM",2.5+1.5*'R&amp;C-Painel de Controle'!$D$74,"-"))</f>
        <v>-</v>
      </c>
      <c r="N41" s="957"/>
      <c r="O41" s="902"/>
      <c r="P41" s="956"/>
      <c r="Q41" s="827" t="str">
        <f>(IF(Q$7="SIM",2.5+1.5*'R&amp;C-Painel de Controle'!$D$74,"-"))</f>
        <v>-</v>
      </c>
      <c r="R41" s="957"/>
      <c r="S41" s="869"/>
      <c r="T41" s="956"/>
      <c r="U41" s="876" t="str">
        <f>(IF(U$7="SIM",2.5+1.5*'R&amp;C-Painel de Controle'!$D$74,"-"))</f>
        <v>-</v>
      </c>
      <c r="V41" s="962"/>
      <c r="W41" s="931"/>
      <c r="X41" s="847"/>
      <c r="Y41" s="847"/>
      <c r="Z41" s="847"/>
      <c r="AA41" s="847"/>
      <c r="AB41" s="847"/>
    </row>
    <row r="42" spans="1:28" s="854" customFormat="1" ht="19.899999999999999" customHeight="1" thickTop="1" thickBot="1" x14ac:dyDescent="0.35">
      <c r="A42" s="904"/>
      <c r="B42" s="939" t="s">
        <v>386</v>
      </c>
      <c r="C42" s="904"/>
      <c r="D42" s="950">
        <v>0.05</v>
      </c>
      <c r="E42" s="1042" t="str">
        <f>(IF(E$7="SIM",(E27+E32+E35+E38+E41)*(1+D42),"-"))</f>
        <v>-</v>
      </c>
      <c r="F42" s="1043"/>
      <c r="G42" s="1002"/>
      <c r="H42" s="959">
        <v>0.1</v>
      </c>
      <c r="I42" s="887" t="str">
        <f>(IF(I$7="SIM",(I27+I32+I35+I38+I41)*(1+H42),"-"))</f>
        <v>-</v>
      </c>
      <c r="J42" s="1044"/>
      <c r="K42" s="1002"/>
      <c r="L42" s="959">
        <v>0.1</v>
      </c>
      <c r="M42" s="887" t="str">
        <f>(IF(M$7="SIM",(M27+M32+M35+M38+M41)*(1+L42),"-"))</f>
        <v>-</v>
      </c>
      <c r="N42" s="1044"/>
      <c r="O42" s="904"/>
      <c r="P42" s="959">
        <v>0.1</v>
      </c>
      <c r="Q42" s="887" t="str">
        <f>(IF(Q$7="SIM",(Q27+Q32+Q35+Q38+Q41)*(1+P42),"-"))</f>
        <v>-</v>
      </c>
      <c r="R42" s="1044"/>
      <c r="S42" s="904"/>
      <c r="T42" s="959">
        <v>0.1</v>
      </c>
      <c r="U42" s="1045" t="str">
        <f>(IF(U$7="SIM",(U27+U32+U35+U38+U41)*(1+T42),"-"))</f>
        <v>-</v>
      </c>
      <c r="V42" s="1046"/>
      <c r="W42" s="933"/>
      <c r="X42" s="853"/>
      <c r="Y42" s="853"/>
      <c r="Z42" s="853"/>
      <c r="AA42" s="853"/>
      <c r="AB42" s="853"/>
    </row>
    <row r="43" spans="1:28" s="854" customFormat="1" ht="19.899999999999999" customHeight="1" thickTop="1" thickBot="1" x14ac:dyDescent="0.35">
      <c r="A43" s="904"/>
      <c r="B43" s="939" t="s">
        <v>387</v>
      </c>
      <c r="C43" s="904"/>
      <c r="D43" s="951"/>
      <c r="E43" s="1047" t="str">
        <f>(IF(E$7="SIM",E42*$H$2/1000000,"-"))</f>
        <v>-</v>
      </c>
      <c r="F43" s="1048"/>
      <c r="G43" s="904"/>
      <c r="H43" s="960"/>
      <c r="I43" s="886" t="str">
        <f>(IF(I$7="SIM",I42*$H$2/1000000,"-"))</f>
        <v>-</v>
      </c>
      <c r="J43" s="1046"/>
      <c r="K43" s="1002"/>
      <c r="L43" s="960"/>
      <c r="M43" s="886" t="str">
        <f>(IF(M$7="SIM",M42*$H$2/1000000,"-"))</f>
        <v>-</v>
      </c>
      <c r="N43" s="1046"/>
      <c r="O43" s="904"/>
      <c r="P43" s="1049"/>
      <c r="Q43" s="886" t="str">
        <f>(IF(Q$7="SIM",Q42*$H$2/1000000,"-"))</f>
        <v>-</v>
      </c>
      <c r="R43" s="1046"/>
      <c r="S43" s="904"/>
      <c r="T43" s="960"/>
      <c r="U43" s="851" t="str">
        <f>(IF(U$7="SIM",U42*$H$2/1000000,"-"))</f>
        <v>-</v>
      </c>
      <c r="V43" s="1046"/>
      <c r="W43" s="933"/>
      <c r="X43" s="853"/>
      <c r="Y43" s="853"/>
      <c r="Z43" s="853"/>
      <c r="AA43" s="853"/>
      <c r="AB43" s="853"/>
    </row>
    <row r="44" spans="1:28" s="831" customFormat="1" ht="17.649999999999999" customHeight="1" thickTop="1" thickBot="1" x14ac:dyDescent="0.3">
      <c r="A44" s="902"/>
      <c r="B44" s="940" t="s">
        <v>388</v>
      </c>
      <c r="C44" s="902"/>
      <c r="D44" s="943"/>
      <c r="E44" s="844" t="str">
        <f>(IF(E$7="SIM",(((E27*$H$2/12)+(E34/1000*'R&amp;C-Painel de Controle'!$D$69*12)+(E37*12)+(E39*E40*12))/1000000),"-"))</f>
        <v>-</v>
      </c>
      <c r="F44" s="952"/>
      <c r="G44" s="902"/>
      <c r="H44" s="961"/>
      <c r="I44" s="845" t="str">
        <f>(IF(I$7="SIM",(((I27*$H$2/12)+(I34/1000*'R&amp;C-Painel de Controle'!$D$69*12)+(I37*12)+(I39*I40*12))/1000000),"-"))</f>
        <v>-</v>
      </c>
      <c r="J44" s="962"/>
      <c r="K44" s="902"/>
      <c r="L44" s="961"/>
      <c r="M44" s="845" t="str">
        <f>(IF(M$7="SIM",(((M27*$H$2/12)+(M34/1000*'R&amp;C-Painel de Controle'!$D$69*12)+(M37*12)+(M39*M40*12))/1000000),"-"))</f>
        <v>-</v>
      </c>
      <c r="N44" s="962"/>
      <c r="O44" s="869"/>
      <c r="P44" s="961"/>
      <c r="Q44" s="845" t="str">
        <f>(IF(Q$7="SIM",(((Q27*$H$2/12)+(Q34/1000*'R&amp;C-Painel de Controle'!$D$69*12)+(Q37*12)+(Q39*Q40*12))/1000000),"-"))</f>
        <v>-</v>
      </c>
      <c r="R44" s="962"/>
      <c r="S44" s="902"/>
      <c r="T44" s="961"/>
      <c r="U44" s="846" t="str">
        <f>(IF(U$7="SIM",(((U27*$H$2/12)+(U34/1000*'R&amp;C-Painel de Controle'!$D$69*12)+(U37*12)+(U39*U40*12))/1000000),"-"))</f>
        <v>-</v>
      </c>
      <c r="V44" s="962"/>
      <c r="W44" s="931"/>
      <c r="X44" s="847"/>
      <c r="Y44" s="847"/>
      <c r="Z44" s="847"/>
      <c r="AA44" s="847"/>
      <c r="AB44" s="847"/>
    </row>
    <row r="45" spans="1:28" s="831" customFormat="1" ht="17.649999999999999" customHeight="1" thickTop="1" thickBot="1" x14ac:dyDescent="0.3">
      <c r="A45" s="902"/>
      <c r="B45" s="941" t="s">
        <v>389</v>
      </c>
      <c r="C45" s="902"/>
      <c r="D45" s="953"/>
      <c r="E45" s="954" t="str">
        <f>(IF(E$7="SIM",((E43-E44)*1000000)/$H$2,"-"))</f>
        <v>-</v>
      </c>
      <c r="F45" s="955"/>
      <c r="G45" s="902"/>
      <c r="H45" s="963"/>
      <c r="I45" s="964" t="str">
        <f>(IF(I$7="SIM",((I43-I44)*1000000)/$H$2,"-"))</f>
        <v>-</v>
      </c>
      <c r="J45" s="965"/>
      <c r="K45" s="902"/>
      <c r="L45" s="963"/>
      <c r="M45" s="964" t="str">
        <f>(IF(M$7="SIM",((M43-M44)*1000000)/$H$2,"-"))</f>
        <v>-</v>
      </c>
      <c r="N45" s="965"/>
      <c r="O45" s="902"/>
      <c r="P45" s="963"/>
      <c r="Q45" s="964" t="str">
        <f>(IF(Q$7="SIM",((Q43-Q44)*1000000)/$H$2,"-"))</f>
        <v>-</v>
      </c>
      <c r="R45" s="965"/>
      <c r="S45" s="869"/>
      <c r="T45" s="963"/>
      <c r="U45" s="968" t="str">
        <f>(IF(U$7="SIM",((U43-U44)*1000000)/$H$2,"-"))</f>
        <v>-</v>
      </c>
      <c r="V45" s="965"/>
      <c r="W45" s="931"/>
      <c r="X45" s="847"/>
      <c r="Y45" s="847"/>
      <c r="Z45" s="847"/>
      <c r="AA45" s="847"/>
      <c r="AB45" s="847"/>
    </row>
    <row r="46" spans="1:28" ht="14.25" customHeight="1" thickTop="1" x14ac:dyDescent="0.25">
      <c r="A46" s="33"/>
      <c r="B46" s="936"/>
      <c r="C46" s="33"/>
      <c r="D46" s="749"/>
      <c r="E46" s="749"/>
      <c r="F46" s="749"/>
      <c r="G46" s="33"/>
      <c r="H46" s="749"/>
      <c r="I46" s="749"/>
      <c r="J46" s="749"/>
      <c r="K46" s="33"/>
      <c r="L46" s="749"/>
      <c r="M46" s="749"/>
      <c r="N46" s="749"/>
      <c r="O46" s="33"/>
      <c r="P46" s="749"/>
      <c r="Q46" s="749"/>
      <c r="R46" s="749"/>
      <c r="S46" s="750"/>
      <c r="T46" s="749"/>
      <c r="U46" s="749"/>
      <c r="V46" s="749"/>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A6"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06"/>
      <c r="B1" s="2939" t="s">
        <v>765</v>
      </c>
      <c r="C1" s="433"/>
      <c r="D1" s="433"/>
      <c r="E1" s="433"/>
      <c r="F1" s="433"/>
      <c r="G1" s="433"/>
      <c r="H1" s="433"/>
      <c r="I1" s="433"/>
      <c r="J1" s="433"/>
      <c r="K1" s="433"/>
      <c r="L1" s="433"/>
      <c r="M1" s="433"/>
      <c r="N1" s="433"/>
      <c r="O1" s="433"/>
      <c r="P1" s="433"/>
      <c r="Q1" s="433"/>
      <c r="R1" s="433"/>
      <c r="S1" s="433"/>
      <c r="T1" s="433"/>
      <c r="U1" s="433"/>
      <c r="V1" s="433"/>
      <c r="W1" s="406"/>
      <c r="X1" s="406"/>
      <c r="Y1" s="406"/>
      <c r="Z1" s="406"/>
      <c r="AA1" s="406"/>
      <c r="AB1" s="406"/>
    </row>
    <row r="2" spans="1:28" ht="19.899999999999999" customHeight="1" x14ac:dyDescent="0.3">
      <c r="A2" s="434"/>
      <c r="B2" s="2939"/>
      <c r="C2" s="436"/>
      <c r="D2" s="899">
        <f>('R-Resumo Bal. Massa'!B20+'R-Resumo Bal. Massa'!B21)*(1+'R&amp;C-Painel de Controle'!H56)</f>
        <v>467.94871794871801</v>
      </c>
      <c r="E2" s="900" t="s">
        <v>21</v>
      </c>
      <c r="H2" s="1105">
        <f>D2*313</f>
        <v>146467.94871794875</v>
      </c>
      <c r="I2" s="1104" t="s">
        <v>249</v>
      </c>
      <c r="L2" s="1086" t="str">
        <f>IF(D2&gt;0,"Sim","Não")</f>
        <v>Sim</v>
      </c>
      <c r="M2" s="431"/>
      <c r="N2" s="431"/>
      <c r="O2" s="431"/>
      <c r="P2" s="1106" t="s">
        <v>436</v>
      </c>
      <c r="Q2" s="2930" t="str">
        <f>'R-Definição'!D2</f>
        <v>CIRSOP - Consórcio RSU Oeste Paulista</v>
      </c>
      <c r="R2" s="2931"/>
      <c r="S2" s="429"/>
      <c r="T2" s="1106" t="s">
        <v>437</v>
      </c>
      <c r="U2" s="2930" t="str">
        <f>'R-Definição'!D3</f>
        <v>Biodigestão c/ Prod. E. Elétrica</v>
      </c>
      <c r="V2" s="2931"/>
      <c r="W2" s="47"/>
      <c r="X2" s="47"/>
      <c r="Y2" s="47"/>
      <c r="Z2" s="47"/>
      <c r="AA2" s="47"/>
      <c r="AB2" s="47"/>
    </row>
    <row r="3" spans="1:28" ht="19.899999999999999" customHeight="1" x14ac:dyDescent="0.25">
      <c r="A3" s="406"/>
      <c r="B3" s="2939"/>
      <c r="C3" s="427"/>
      <c r="D3" s="426"/>
      <c r="E3" s="426"/>
      <c r="F3" s="426"/>
      <c r="G3" s="426"/>
      <c r="H3" s="426"/>
      <c r="I3" s="426"/>
      <c r="J3" s="426"/>
      <c r="K3" s="426"/>
      <c r="L3" s="426"/>
      <c r="M3" s="426"/>
      <c r="N3" s="426"/>
      <c r="O3" s="431"/>
      <c r="P3" s="426"/>
      <c r="Q3" s="426"/>
      <c r="R3" s="426"/>
      <c r="S3" s="426"/>
      <c r="T3" s="426"/>
      <c r="U3" s="426"/>
      <c r="V3" s="426"/>
      <c r="W3" s="33"/>
      <c r="X3" s="33"/>
      <c r="Y3" s="33"/>
      <c r="Z3" s="33"/>
      <c r="AA3" s="33"/>
      <c r="AB3" s="33"/>
    </row>
    <row r="4" spans="1:28" s="318" customFormat="1" ht="7.5" customHeight="1" x14ac:dyDescent="0.25">
      <c r="A4" s="427"/>
      <c r="B4" s="683"/>
      <c r="C4" s="403"/>
      <c r="D4" s="1061"/>
      <c r="E4" s="1061"/>
      <c r="F4" s="1061"/>
      <c r="G4" s="403"/>
      <c r="H4" s="1061"/>
      <c r="I4" s="1061"/>
      <c r="J4" s="1061"/>
      <c r="K4" s="403"/>
      <c r="L4" s="1061"/>
      <c r="M4" s="1061"/>
      <c r="N4" s="1061"/>
      <c r="O4" s="403"/>
      <c r="P4" s="1061"/>
      <c r="Q4" s="1061"/>
      <c r="R4" s="1061"/>
      <c r="S4" s="905"/>
      <c r="T4" s="1061"/>
      <c r="U4" s="1061"/>
      <c r="V4" s="906"/>
      <c r="W4" s="316"/>
      <c r="X4" s="316"/>
      <c r="Y4" s="316"/>
      <c r="Z4" s="316"/>
      <c r="AA4" s="316"/>
      <c r="AB4" s="316"/>
    </row>
    <row r="5" spans="1:28" ht="17.649999999999999" customHeight="1" x14ac:dyDescent="0.25">
      <c r="A5" s="406"/>
      <c r="B5" s="865" t="s">
        <v>755</v>
      </c>
      <c r="C5" s="437"/>
      <c r="D5" s="834">
        <v>4.25</v>
      </c>
      <c r="E5" s="870" t="s">
        <v>766</v>
      </c>
      <c r="F5" s="868"/>
      <c r="G5" s="868"/>
      <c r="H5" s="868"/>
      <c r="I5" s="868"/>
      <c r="J5" s="868"/>
      <c r="K5" s="868"/>
      <c r="L5" s="868"/>
      <c r="M5" s="868"/>
      <c r="N5" s="868"/>
      <c r="O5" s="868"/>
      <c r="P5" s="868"/>
      <c r="Q5" s="868"/>
      <c r="R5" s="868"/>
      <c r="S5" s="868"/>
      <c r="T5" s="868"/>
      <c r="U5" s="868"/>
      <c r="V5" s="317"/>
      <c r="W5" s="33"/>
      <c r="X5" s="33"/>
      <c r="Y5" s="33"/>
      <c r="Z5" s="33"/>
      <c r="AA5" s="33"/>
      <c r="AB5" s="33"/>
    </row>
    <row r="6" spans="1:28" s="318" customFormat="1" ht="7.5" customHeight="1" x14ac:dyDescent="0.25">
      <c r="A6" s="427"/>
      <c r="B6" s="683"/>
      <c r="C6" s="403"/>
      <c r="D6" s="1061"/>
      <c r="E6" s="1061"/>
      <c r="F6" s="1061"/>
      <c r="G6" s="403"/>
      <c r="H6" s="1061"/>
      <c r="I6" s="1061"/>
      <c r="J6" s="1061"/>
      <c r="K6" s="403"/>
      <c r="L6" s="1061"/>
      <c r="M6" s="1061"/>
      <c r="N6" s="1061"/>
      <c r="O6" s="403"/>
      <c r="P6" s="1061"/>
      <c r="Q6" s="1061"/>
      <c r="R6" s="1061"/>
      <c r="S6" s="905"/>
      <c r="T6" s="1061"/>
      <c r="U6" s="1061"/>
      <c r="V6" s="906"/>
      <c r="W6" s="316"/>
      <c r="X6" s="316"/>
      <c r="Y6" s="316"/>
      <c r="Z6" s="316"/>
      <c r="AA6" s="316"/>
      <c r="AB6" s="316"/>
    </row>
    <row r="7" spans="1:28" s="1092" customFormat="1" ht="19.899999999999999" customHeight="1" x14ac:dyDescent="0.3">
      <c r="A7" s="879"/>
      <c r="B7" s="849"/>
      <c r="C7" s="849"/>
      <c r="D7" s="849"/>
      <c r="E7" s="1054" t="str">
        <f>IF(AND(L2="Sim",$D$2&gt;D11,$D$2&lt;=F11),"SIM","NÃO")</f>
        <v>NÃO</v>
      </c>
      <c r="F7" s="853"/>
      <c r="G7" s="849"/>
      <c r="H7" s="853"/>
      <c r="I7" s="1090" t="str">
        <f>IF(AND(L2="Sim",$D$2&gt;H11,$D$2&lt;=J11),"SIM","NÃO")</f>
        <v>SIM</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881"/>
      <c r="X7" s="881"/>
      <c r="Y7" s="881"/>
      <c r="Z7" s="881"/>
      <c r="AA7" s="881"/>
      <c r="AB7" s="881"/>
    </row>
    <row r="8" spans="1:28" s="318"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c r="W8" s="316"/>
      <c r="X8" s="316"/>
      <c r="Y8" s="316"/>
      <c r="Z8" s="316"/>
      <c r="AA8" s="316"/>
      <c r="AB8" s="316"/>
    </row>
    <row r="9" spans="1:28" s="882" customFormat="1" ht="17.649999999999999" customHeight="1" thickTop="1" thickBot="1" x14ac:dyDescent="0.35">
      <c r="A9" s="991"/>
      <c r="B9" s="2933" t="s">
        <v>640</v>
      </c>
      <c r="C9" s="901"/>
      <c r="D9" s="2936" t="s">
        <v>644</v>
      </c>
      <c r="E9" s="2937"/>
      <c r="F9" s="2937"/>
      <c r="G9" s="2937"/>
      <c r="H9" s="2937"/>
      <c r="I9" s="2937"/>
      <c r="J9" s="2937"/>
      <c r="K9" s="2937"/>
      <c r="L9" s="2937"/>
      <c r="M9" s="2937"/>
      <c r="N9" s="2937"/>
      <c r="O9" s="2937"/>
      <c r="P9" s="2937"/>
      <c r="Q9" s="2937"/>
      <c r="R9" s="2937"/>
      <c r="S9" s="2937"/>
      <c r="T9" s="2937"/>
      <c r="U9" s="2937"/>
      <c r="V9" s="2938"/>
      <c r="W9" s="1069"/>
      <c r="X9" s="885"/>
      <c r="Y9" s="885"/>
      <c r="Z9" s="885"/>
      <c r="AA9" s="885"/>
      <c r="AB9" s="885"/>
    </row>
    <row r="10" spans="1:28" s="882" customFormat="1" ht="7.5" customHeight="1" x14ac:dyDescent="0.3">
      <c r="A10" s="991"/>
      <c r="B10" s="2934"/>
      <c r="C10" s="901"/>
      <c r="D10" s="1072"/>
      <c r="E10" s="898"/>
      <c r="F10" s="898"/>
      <c r="G10" s="850"/>
      <c r="H10" s="898"/>
      <c r="I10" s="898"/>
      <c r="J10" s="898"/>
      <c r="K10" s="850"/>
      <c r="L10" s="898"/>
      <c r="M10" s="898"/>
      <c r="N10" s="898"/>
      <c r="O10" s="850"/>
      <c r="P10" s="898"/>
      <c r="Q10" s="898"/>
      <c r="R10" s="898"/>
      <c r="S10" s="850"/>
      <c r="T10" s="898"/>
      <c r="U10" s="898"/>
      <c r="V10" s="1073"/>
      <c r="W10" s="1069"/>
      <c r="X10" s="885"/>
      <c r="Y10" s="885"/>
      <c r="Z10" s="885"/>
      <c r="AA10" s="885"/>
      <c r="AB10" s="885"/>
    </row>
    <row r="11" spans="1:28" s="882" customFormat="1" ht="17.649999999999999" customHeight="1" thickBot="1" x14ac:dyDescent="0.35">
      <c r="A11" s="991"/>
      <c r="B11" s="2935"/>
      <c r="C11" s="901"/>
      <c r="D11" s="1064">
        <v>5</v>
      </c>
      <c r="E11" s="1066" t="s">
        <v>21</v>
      </c>
      <c r="F11" s="1066">
        <v>250</v>
      </c>
      <c r="G11" s="1067"/>
      <c r="H11" s="1066">
        <f>F11</f>
        <v>250</v>
      </c>
      <c r="I11" s="1066" t="s">
        <v>21</v>
      </c>
      <c r="J11" s="1066">
        <v>500</v>
      </c>
      <c r="K11" s="1067"/>
      <c r="L11" s="1066">
        <f>J11</f>
        <v>500</v>
      </c>
      <c r="M11" s="1066" t="s">
        <v>21</v>
      </c>
      <c r="N11" s="1066">
        <v>1500</v>
      </c>
      <c r="O11" s="1067"/>
      <c r="P11" s="1066">
        <f>N11</f>
        <v>1500</v>
      </c>
      <c r="Q11" s="1066" t="s">
        <v>21</v>
      </c>
      <c r="R11" s="1066">
        <v>2000</v>
      </c>
      <c r="S11" s="1067"/>
      <c r="T11" s="1066">
        <f>R11</f>
        <v>2000</v>
      </c>
      <c r="U11" s="1066" t="s">
        <v>21</v>
      </c>
      <c r="V11" s="1068">
        <v>2500</v>
      </c>
      <c r="W11" s="1069"/>
      <c r="X11" s="885"/>
      <c r="Y11" s="885"/>
      <c r="Z11" s="885"/>
      <c r="AA11" s="885"/>
      <c r="AB11" s="885"/>
    </row>
    <row r="12" spans="1:28"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row>
    <row r="13" spans="1:28" ht="19.899999999999999" customHeight="1" thickTop="1" thickBot="1" x14ac:dyDescent="0.3">
      <c r="A13" s="988"/>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749"/>
      <c r="X13" s="33"/>
      <c r="Y13" s="33"/>
      <c r="Z13" s="33"/>
      <c r="AA13" s="33"/>
      <c r="AB13" s="33"/>
    </row>
    <row r="14" spans="1:28" ht="7.5" customHeight="1" x14ac:dyDescent="0.25">
      <c r="A14" s="988"/>
      <c r="B14" s="1009"/>
      <c r="C14" s="903"/>
      <c r="D14" s="1015"/>
      <c r="E14" s="331"/>
      <c r="F14" s="924"/>
      <c r="G14" s="903"/>
      <c r="H14" s="1015"/>
      <c r="I14" s="331"/>
      <c r="J14" s="924"/>
      <c r="K14" s="903"/>
      <c r="L14" s="1015"/>
      <c r="M14" s="331"/>
      <c r="N14" s="924"/>
      <c r="O14" s="903"/>
      <c r="P14" s="1015"/>
      <c r="Q14" s="331"/>
      <c r="R14" s="924"/>
      <c r="S14" s="903"/>
      <c r="T14" s="1015"/>
      <c r="U14" s="331"/>
      <c r="V14" s="924"/>
      <c r="W14" s="749"/>
      <c r="X14" s="33"/>
      <c r="Y14" s="33"/>
      <c r="Z14" s="33"/>
      <c r="AA14" s="33"/>
      <c r="AB14" s="33"/>
    </row>
    <row r="15" spans="1:28" s="691" customFormat="1" ht="17.649999999999999" customHeight="1" x14ac:dyDescent="0.25">
      <c r="A15" s="989"/>
      <c r="B15" s="913" t="s">
        <v>376</v>
      </c>
      <c r="C15" s="869"/>
      <c r="D15" s="1075">
        <f>IF('R-Definição'!$I$34="Alta",(14961570+179440+150030)/313000,(14961570+179440+150030)/313000*0.85)</f>
        <v>41.525188498402549</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v>
      </c>
      <c r="F15" s="917">
        <v>0.1</v>
      </c>
      <c r="G15" s="869"/>
      <c r="H15" s="1075">
        <f>IF('R-Definição'!$I$34="Alta",(14961570+179440+150030)/313000,(14961570+179440+150030)/313000*0.85)</f>
        <v>41.525188498402549</v>
      </c>
      <c r="I15" s="846">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54.962271007179481</v>
      </c>
      <c r="J15" s="917">
        <v>0.1</v>
      </c>
      <c r="K15" s="869"/>
      <c r="L15" s="1075">
        <f>IF('R-Definição'!$I$34="Alta",(14961570+179440+150030)/313000,(14961570+179440+150030)/313000*0.85)</f>
        <v>41.525188498402549</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IF('R-Definição'!$I$34="Alta",(14961570+179440+150030)/313000,(14961570+179440+150030)/313000*0.85)</f>
        <v>41.525188498402549</v>
      </c>
      <c r="Q15" s="846" t="str">
        <f>IF(Q7="SIM",(((P15*$H$2/1000)*1*Q21*$D$5*(1+'R&amp;C-Painel de Controle'!$D$61)+(P15*$H$2/1000)*1*(1-Q21)*'R&amp;C-Painel de Controle'!$D$52*(1+'R&amp;C-Painel de Controle'!$D$54))/1000), "-")</f>
        <v>-</v>
      </c>
      <c r="R15" s="917">
        <v>0.1</v>
      </c>
      <c r="S15" s="993"/>
      <c r="T15" s="1075">
        <f>IF('R-Definição'!$I$34="Alta",(14961570+179440+150030)/313000,(14961570+179440+150030)/313000*0.85)</f>
        <v>41.525188498402549</v>
      </c>
      <c r="U15" s="846" t="str">
        <f>IF(U7="SIM",(((T15*$H$2/1000)*1*U21*$D$5*(1+'R&amp;C-Painel de Controle'!$D$61)+(T15*$H$2/1000)*1*(1-U21)*'R&amp;C-Painel de Controle'!$D$52*(1+'R&amp;C-Painel de Controle'!$D$54))/1000), "-")</f>
        <v>-</v>
      </c>
      <c r="V15" s="917">
        <v>0.1</v>
      </c>
      <c r="W15" s="994">
        <v>35.170799280000004</v>
      </c>
      <c r="X15" s="690">
        <v>50.558023964999997</v>
      </c>
      <c r="Y15" s="690">
        <v>109.90874775</v>
      </c>
      <c r="Z15" s="690">
        <v>192.34030856249998</v>
      </c>
      <c r="AA15" s="690">
        <v>247.2946824375</v>
      </c>
      <c r="AB15" s="39"/>
    </row>
    <row r="16" spans="1:28" s="691" customFormat="1" ht="17.649999999999999" customHeight="1" x14ac:dyDescent="0.25">
      <c r="A16" s="989"/>
      <c r="B16" s="913" t="s">
        <v>641</v>
      </c>
      <c r="C16" s="869"/>
      <c r="D16" s="918">
        <v>2000</v>
      </c>
      <c r="E16" s="846" t="str">
        <f>(IF(E$7="SIM",(((D17-F17)*'R&amp;C-Painel de Controle'!$D$57+F17*('R&amp;C-Painel de Controle'!$D$60)+(((75)+(15+E30/5*30)+(25+E30/10*25))*D16)))/1000000,"-"))</f>
        <v>-</v>
      </c>
      <c r="F16" s="919">
        <v>0.05</v>
      </c>
      <c r="G16" s="869"/>
      <c r="H16" s="918">
        <v>2000</v>
      </c>
      <c r="I16" s="846">
        <f>(IF(I$7="SIM",(((H17-J17)*'R&amp;C-Painel de Controle'!$D$57+J17*('R&amp;C-Painel de Controle'!$D$60)+(((150)+(15+I30/5*30)+(25+I30/10*25))*H16)))/1000000,"-"))</f>
        <v>14.010886676965933</v>
      </c>
      <c r="J16" s="919">
        <v>0.05</v>
      </c>
      <c r="K16" s="869"/>
      <c r="L16" s="918">
        <v>2000</v>
      </c>
      <c r="M16" s="846" t="str">
        <f>(IF(M$7="SIM",(((L17-N17)*'R&amp;C-Painel de Controle'!$D$57+N17*('R&amp;C-Painel de Controle'!$D$60)+(((150)+(15+M30/5*30)+(25+M30/10*25))*L16)))/1000000,"-"))</f>
        <v>-</v>
      </c>
      <c r="N16" s="919">
        <v>0.05</v>
      </c>
      <c r="O16" s="869"/>
      <c r="P16" s="918">
        <v>2000</v>
      </c>
      <c r="Q16" s="846" t="str">
        <f>(IF(Q$7="SIM",(((P17-R17)*'R&amp;C-Painel de Controle'!$D$57+R17*('R&amp;C-Painel de Controle'!$D$60)+(((250)+(15+Q30/5*30)+(25+Q30/10*25))*P16)))/1000000,"-"))</f>
        <v>-</v>
      </c>
      <c r="R16" s="919">
        <v>0.05</v>
      </c>
      <c r="S16" s="993"/>
      <c r="T16" s="918">
        <v>2000</v>
      </c>
      <c r="U16" s="846" t="str">
        <f>(IF(U$7="SIM",(((T17-V17)*'R&amp;C-Painel de Controle'!$D$57+V17*('R&amp;C-Painel de Controle'!$D$60)+(((250)+(15+U30/5*30)+(25+U30/10*25))*T16)))/1000000,"-"))</f>
        <v>-</v>
      </c>
      <c r="V16" s="919">
        <v>0.05</v>
      </c>
      <c r="W16" s="994">
        <v>8.0029804791094481</v>
      </c>
      <c r="X16" s="690">
        <v>9.735510696599782</v>
      </c>
      <c r="Y16" s="690">
        <v>15.844336665618133</v>
      </c>
      <c r="Z16" s="690">
        <v>19.108266044899672</v>
      </c>
      <c r="AA16" s="690">
        <v>27.725632137977193</v>
      </c>
      <c r="AB16" s="39"/>
    </row>
    <row r="17" spans="1:28" s="691" customFormat="1" ht="17.649999999999999" customHeight="1" x14ac:dyDescent="0.25">
      <c r="A17" s="989"/>
      <c r="B17" s="913" t="s">
        <v>753</v>
      </c>
      <c r="C17" s="869"/>
      <c r="D17" s="920">
        <f>(2*(20*(20+(SQRT(F17))+20))+2*(20*(F17/(SQRT(F17))))+F17+((75)+(15+E30/5*30)+(25+E30/10*25)))</f>
        <v>12134.725575051662</v>
      </c>
      <c r="E17" s="846" t="str">
        <f>(IF(E$7="SIM",('R&amp;C-Painel de Controle'!$D$55+0.25)*D17/1000000,"-"))</f>
        <v>-</v>
      </c>
      <c r="F17" s="921">
        <f>IF('R-Definição'!$I$34="Alta",(50*15+50*100+50*10),(50*15+50*100+50*10)*0.75)</f>
        <v>4687.5</v>
      </c>
      <c r="G17" s="869"/>
      <c r="H17" s="920">
        <f>(2*(20*(20+(SQRT(J17))+20))+2*(20*(J17/(SQRT(J17))))+J17+((150)+(15+I30/5*30)+(25+I30/10*25)))</f>
        <v>14241.773353931867</v>
      </c>
      <c r="I17" s="846">
        <f>(IF(I$7="SIM",('R&amp;C-Painel de Controle'!$D$55+0.25)*H17/1000000,"-"))</f>
        <v>3.5604433384829669E-3</v>
      </c>
      <c r="J17" s="921">
        <f>IF('R-Definição'!$I$34="Alta",(50*20+50*125+50*15),(50*20+50*125+50*15)*0.75)</f>
        <v>6000</v>
      </c>
      <c r="K17" s="869"/>
      <c r="L17" s="920">
        <f>(2*(20*(20+(SQRT(N17))+20))+2*(20*(N17/(SQRT(N17))))+N17+((150)+(15+M30/5*30)+(25+M30/10*25)))</f>
        <v>21780.28137423857</v>
      </c>
      <c r="M17" s="846" t="str">
        <f>(IF(M$7="SIM",('R&amp;C-Painel de Controle'!$D$55+0.25)*L17/1000000,"-"))</f>
        <v>-</v>
      </c>
      <c r="N17" s="921">
        <f>IF('R-Definição'!$I$34="Alta",(75*30+75*150+75*20),((75*30+75*150+75*20)*0.75))</f>
        <v>11250</v>
      </c>
      <c r="O17" s="869"/>
      <c r="P17" s="920">
        <f>(2*(20*(20+(SQRT(R17))+20))+2*(20*(R17/(SQRT(R17))))+R17+((250)+(15+Q30/5*30)+(25+Q30/10*25)))</f>
        <v>25195.160030897801</v>
      </c>
      <c r="Q17" s="846" t="str">
        <f>(IF(Q$7="SIM",('R&amp;C-Painel de Controle'!$D$55+0.25)*P17/1000000,"-"))</f>
        <v>-</v>
      </c>
      <c r="R17" s="921">
        <f>IF('R-Definição'!$I$34="Alta",(75*40+75*175+75*25),((75*40+75*175+75*25)*0.75))</f>
        <v>13500</v>
      </c>
      <c r="S17" s="869"/>
      <c r="T17" s="920">
        <f>(2*(20*(20+(SQRT(V17))+20))+2*(20*(V17/(SQRT(V17))))+V17+((250)+(15+U30/5*30)+(25+U30/10*25)))</f>
        <v>35120.601396951548</v>
      </c>
      <c r="U17" s="846" t="str">
        <f>(IF(U$7="SIM",('R&amp;C-Painel de Controle'!$D$55+0.25)*T17/1000000,"-"))</f>
        <v>-</v>
      </c>
      <c r="V17" s="921">
        <f>IF('R-Definição'!$I$34="Alta",(100*50+100*200+100*30),((100*50+100*200+100*30)*0.75))</f>
        <v>21000</v>
      </c>
      <c r="W17" s="994">
        <v>1.2757099788303083</v>
      </c>
      <c r="X17" s="690">
        <v>1.5079875775199396</v>
      </c>
      <c r="Y17" s="690">
        <v>2.3758163074019443</v>
      </c>
      <c r="Z17" s="690">
        <v>2.7299813662799091</v>
      </c>
      <c r="AA17" s="690">
        <v>3.8687904382090688</v>
      </c>
      <c r="AB17" s="39"/>
    </row>
    <row r="18" spans="1:28" s="691" customFormat="1" ht="17.649999999999999" customHeight="1" x14ac:dyDescent="0.25">
      <c r="A18" s="989"/>
      <c r="B18" s="913" t="s">
        <v>438</v>
      </c>
      <c r="C18" s="869"/>
      <c r="D18" s="1076" t="str">
        <f>IF(E7="SIM",(E15+E16)*F18*1000/$H$2,"-")</f>
        <v>-</v>
      </c>
      <c r="E18" s="846" t="str">
        <f>(IF(E$7="SIM",$H$2*D18/1000,"-"))</f>
        <v>-</v>
      </c>
      <c r="F18" s="917">
        <v>7.4999999999999997E-2</v>
      </c>
      <c r="G18" s="869"/>
      <c r="H18" s="1076">
        <f>IF(I7="SIM",(I15+I16)*J18*1000/$H$2,"-")</f>
        <v>3.5318217204451018E-2</v>
      </c>
      <c r="I18" s="846">
        <f>(IF(I$7="SIM",$H$2*H18/1000,"-"))</f>
        <v>5.1729868263109067</v>
      </c>
      <c r="J18" s="917">
        <v>7.4999999999999997E-2</v>
      </c>
      <c r="K18" s="869"/>
      <c r="L18" s="1076" t="str">
        <f>IF(M7="SIM",(M15+M16)*N18*1000/$H$2,"-")</f>
        <v>-</v>
      </c>
      <c r="M18" s="846" t="str">
        <f>(IF(M$7="SIM",$H$2*L18/1000,"-"))</f>
        <v>-</v>
      </c>
      <c r="N18" s="917">
        <v>7.4999999999999997E-2</v>
      </c>
      <c r="O18" s="869"/>
      <c r="P18" s="1076" t="str">
        <f>IF(Q7="SIM",(Q15+Q16)*R18*1000/$H$2,"-")</f>
        <v>-</v>
      </c>
      <c r="Q18" s="846" t="str">
        <f>(IF(Q$7="SIM",$H$2*P18/1000,"-"))</f>
        <v>-</v>
      </c>
      <c r="R18" s="917">
        <v>7.4999999999999997E-2</v>
      </c>
      <c r="S18" s="869"/>
      <c r="T18" s="1076" t="str">
        <f>IF(U7="SIM",(U15+U16)*V18*1000/$H$2,"-")</f>
        <v>-</v>
      </c>
      <c r="U18" s="846" t="str">
        <f>(IF(U$7="SIM",$H$2*T18/1000,"-"))</f>
        <v>-</v>
      </c>
      <c r="V18" s="917">
        <v>0.05</v>
      </c>
      <c r="W18" s="994">
        <v>2.1586889879554727</v>
      </c>
      <c r="X18" s="690">
        <v>3.0146767330799893</v>
      </c>
      <c r="Y18" s="690">
        <v>9.4314813311713603</v>
      </c>
      <c r="Z18" s="690">
        <v>10.572428730369984</v>
      </c>
      <c r="AA18" s="690">
        <v>13.75101572877386</v>
      </c>
      <c r="AB18" s="39"/>
    </row>
    <row r="19" spans="1:28" s="882" customFormat="1" ht="19.899999999999999" customHeight="1" collapsed="1" thickBot="1" x14ac:dyDescent="0.35">
      <c r="A19" s="990"/>
      <c r="B19" s="914" t="s">
        <v>377</v>
      </c>
      <c r="C19" s="904"/>
      <c r="D19" s="1052">
        <v>0.05</v>
      </c>
      <c r="E19" s="922" t="str">
        <f>IF(E7="SIM",SUM(E15:E18)*(1+D19),"-")</f>
        <v>-</v>
      </c>
      <c r="F19" s="1051" t="s">
        <v>289</v>
      </c>
      <c r="G19" s="904"/>
      <c r="H19" s="1052">
        <v>0.05</v>
      </c>
      <c r="I19" s="922">
        <f>IF(I7="SIM",SUM(I15:I18)*(1+H19),"-")</f>
        <v>77.857190201484556</v>
      </c>
      <c r="J19" s="1051" t="s">
        <v>289</v>
      </c>
      <c r="K19" s="904"/>
      <c r="L19" s="1052">
        <v>0.05</v>
      </c>
      <c r="M19" s="922" t="str">
        <f>IF(M7="SIM",SUM(M15:M18)*(1+L19),"-")</f>
        <v>-</v>
      </c>
      <c r="N19" s="1051" t="s">
        <v>289</v>
      </c>
      <c r="O19" s="904"/>
      <c r="P19" s="1050">
        <v>7.4999999999999997E-2</v>
      </c>
      <c r="Q19" s="922" t="str">
        <f>IF(Q7="SIM",SUM(Q15:Q18)*(1+P19),"-")</f>
        <v>-</v>
      </c>
      <c r="R19" s="1051" t="s">
        <v>289</v>
      </c>
      <c r="S19" s="904"/>
      <c r="T19" s="1050">
        <v>7.4999999999999997E-2</v>
      </c>
      <c r="U19" s="922" t="str">
        <f>IF(U7="SIM",SUM(U15:U18)*(1+T19),"-")</f>
        <v>-</v>
      </c>
      <c r="V19" s="1051" t="s">
        <v>289</v>
      </c>
      <c r="W19" s="995">
        <v>48.938587662189995</v>
      </c>
      <c r="X19" s="880">
        <v>68.057008920809707</v>
      </c>
      <c r="Y19" s="880">
        <v>144.43840115690102</v>
      </c>
      <c r="Z19" s="880">
        <v>241.60730855685324</v>
      </c>
      <c r="AA19" s="880">
        <v>314.58812979814462</v>
      </c>
      <c r="AB19" s="881"/>
    </row>
    <row r="20" spans="1:28" ht="17.649999999999999" hidden="1" customHeight="1" outlineLevel="1" thickTop="1" x14ac:dyDescent="0.25">
      <c r="A20" s="406"/>
      <c r="B20" s="1006" t="s">
        <v>378</v>
      </c>
      <c r="C20" s="751"/>
      <c r="D20" s="1007" t="s">
        <v>289</v>
      </c>
      <c r="E20" s="1008" t="str">
        <f>IF(E7="SIM",E19*1000000/$H$2,"-")</f>
        <v>-</v>
      </c>
      <c r="F20" s="1007" t="s">
        <v>289</v>
      </c>
      <c r="G20" s="751"/>
      <c r="H20" s="1007" t="s">
        <v>289</v>
      </c>
      <c r="I20" s="1008">
        <f>IF(I7="SIM",I19*1000000/$H$2,"-")</f>
        <v>531.56469304703</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7">
        <v>1042.3554347644301</v>
      </c>
      <c r="X20" s="37">
        <v>669.02933321022067</v>
      </c>
      <c r="Y20" s="37">
        <v>461.4645404373835</v>
      </c>
      <c r="Z20" s="37">
        <v>441.09047659854537</v>
      </c>
      <c r="AA20" s="37">
        <v>446.69950983052132</v>
      </c>
      <c r="AB20" s="33"/>
    </row>
    <row r="21" spans="1:28" ht="17.649999999999999" hidden="1" customHeight="1" outlineLevel="1" x14ac:dyDescent="0.25">
      <c r="A21" s="406"/>
      <c r="B21" s="217" t="s">
        <v>639</v>
      </c>
      <c r="C21" s="751"/>
      <c r="D21" s="333"/>
      <c r="E21" s="336">
        <f>'R&amp;C-Painel de Controle'!$G$56</f>
        <v>0.25</v>
      </c>
      <c r="F21" s="334"/>
      <c r="G21" s="752"/>
      <c r="H21" s="334"/>
      <c r="I21" s="336">
        <f>'R&amp;C-Painel de Controle'!$G$56</f>
        <v>0.25</v>
      </c>
      <c r="J21" s="334"/>
      <c r="K21" s="752"/>
      <c r="L21" s="334"/>
      <c r="M21" s="336">
        <f>'R&amp;C-Painel de Controle'!$G$56</f>
        <v>0.25</v>
      </c>
      <c r="N21" s="334"/>
      <c r="O21" s="752"/>
      <c r="P21" s="334"/>
      <c r="Q21" s="336">
        <f>'R&amp;C-Painel de Controle'!$G$56</f>
        <v>0.25</v>
      </c>
      <c r="R21" s="334"/>
      <c r="S21" s="752"/>
      <c r="T21" s="334"/>
      <c r="U21" s="336">
        <f>'R&amp;C-Painel de Controle'!$G$56</f>
        <v>0.25</v>
      </c>
      <c r="V21" s="331"/>
      <c r="W21" s="33"/>
      <c r="X21" s="49">
        <f>(X20-W20)/X20</f>
        <v>-0.55801155946760839</v>
      </c>
      <c r="Y21" s="49">
        <f>(Y20-X20)/Y20</f>
        <v>-0.44979575803615141</v>
      </c>
      <c r="Z21" s="49">
        <f>(Z20-Y20)/Z20</f>
        <v>-4.6190214751295609E-2</v>
      </c>
      <c r="AA21" s="49">
        <f>(AA20-Z20)/AA20</f>
        <v>1.2556613805338705E-2</v>
      </c>
      <c r="AB21" s="33"/>
    </row>
    <row r="22" spans="1:28" ht="17.649999999999999" hidden="1" customHeight="1" outlineLevel="1" x14ac:dyDescent="0.25">
      <c r="A22" s="406"/>
      <c r="B22" s="755"/>
      <c r="C22" s="751"/>
      <c r="D22" s="333"/>
      <c r="E22" s="331"/>
      <c r="F22" s="331"/>
      <c r="G22" s="751"/>
      <c r="H22" s="331"/>
      <c r="I22" s="337" t="str">
        <f>IF(I14="SIM",(((H22*0.8*$H$2/1000)*1*I30*$D$5*(1+'R&amp;C-Painel de Controle'!$D$54)+(H22*0.8*$H$2/1000)*1*(1-I30)*'R&amp;C-Painel de Controle'!$D$52*(1+'R&amp;C-Painel de Controle'!$D$54))/1000)+(((H22*0.2*313000/1000)*1*I30*$D$5*(1+'R&amp;C-Painel de Controle'!$D$54)+(H22*0.2*313000/1000)*1*(1-I30)*'R&amp;C-Painel de Controle'!$D$52*(1+'R&amp;C-Painel de Controle'!$D$54))/1000), "-")</f>
        <v>-</v>
      </c>
      <c r="J22" s="331"/>
      <c r="K22" s="751"/>
      <c r="L22" s="331"/>
      <c r="M22" s="331"/>
      <c r="N22" s="331"/>
      <c r="O22" s="751"/>
      <c r="P22" s="331"/>
      <c r="Q22" s="331"/>
      <c r="R22" s="331"/>
      <c r="S22" s="751"/>
      <c r="T22" s="331"/>
      <c r="U22" s="331"/>
      <c r="V22" s="331"/>
      <c r="W22" s="33"/>
      <c r="X22" s="33"/>
      <c r="Y22" s="33"/>
      <c r="Z22" s="33"/>
      <c r="AA22" s="33"/>
      <c r="AB22" s="33"/>
    </row>
    <row r="23" spans="1:28" ht="17.649999999999999" hidden="1" customHeight="1" outlineLevel="1" x14ac:dyDescent="0.25">
      <c r="A23" s="406"/>
      <c r="B23" s="754" t="s">
        <v>435</v>
      </c>
      <c r="C23" s="751"/>
      <c r="D23" s="338"/>
      <c r="E23" s="337" t="str">
        <f>IF(E7="SIM",(E15*F15+E16*F16)/4,"-")</f>
        <v>-</v>
      </c>
      <c r="F23" s="331"/>
      <c r="G23" s="751"/>
      <c r="H23" s="331"/>
      <c r="I23" s="337">
        <f>IF(I7="SIM",(I15*J15+I16*J16)/4,"-")</f>
        <v>1.5491928586415613</v>
      </c>
      <c r="J23" s="331"/>
      <c r="K23" s="751"/>
      <c r="L23" s="331"/>
      <c r="M23" s="337" t="str">
        <f>IF(M7="SIM",(M15*N15+M16*N16)/4,"-")</f>
        <v>-</v>
      </c>
      <c r="N23" s="331"/>
      <c r="O23" s="751"/>
      <c r="P23" s="331"/>
      <c r="Q23" s="337" t="str">
        <f>IF(Q7="SIM",(Q15*R15+Q16*R16)/4,"-")</f>
        <v>-</v>
      </c>
      <c r="R23" s="331"/>
      <c r="S23" s="751"/>
      <c r="T23" s="331"/>
      <c r="U23" s="337" t="str">
        <f>IF(U7="SIM",(U15*V15+U16*V16)/4,"-")</f>
        <v>-</v>
      </c>
      <c r="V23" s="331"/>
      <c r="W23" s="29"/>
      <c r="X23" s="29"/>
      <c r="Y23" s="29"/>
      <c r="Z23" s="29"/>
      <c r="AA23" s="29"/>
      <c r="AB23" s="33"/>
    </row>
    <row r="24" spans="1:28"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29"/>
      <c r="X24" s="29"/>
      <c r="Y24" s="29"/>
      <c r="Z24" s="29"/>
      <c r="AA24" s="29"/>
      <c r="AB24" s="33"/>
    </row>
    <row r="25" spans="1:28" s="882" customFormat="1" ht="19.899999999999999" customHeight="1" thickTop="1" thickBot="1" x14ac:dyDescent="0.35">
      <c r="A25" s="991"/>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1003"/>
      <c r="X25" s="884"/>
      <c r="Y25" s="884"/>
      <c r="Z25" s="884"/>
      <c r="AA25" s="884"/>
      <c r="AB25" s="885"/>
    </row>
    <row r="26" spans="1:28" ht="7.5" customHeight="1" x14ac:dyDescent="0.25">
      <c r="A26" s="988"/>
      <c r="B26" s="1084"/>
      <c r="C26" s="903"/>
      <c r="D26" s="1015"/>
      <c r="E26" s="339"/>
      <c r="F26" s="1016"/>
      <c r="G26" s="996"/>
      <c r="H26" s="1031"/>
      <c r="I26" s="339"/>
      <c r="J26" s="1023"/>
      <c r="K26" s="996"/>
      <c r="L26" s="1036"/>
      <c r="M26" s="339"/>
      <c r="N26" s="1023"/>
      <c r="O26" s="996"/>
      <c r="P26" s="1036"/>
      <c r="Q26" s="339"/>
      <c r="R26" s="1023"/>
      <c r="S26" s="996"/>
      <c r="T26" s="1036"/>
      <c r="U26" s="339"/>
      <c r="V26" s="1038"/>
      <c r="W26" s="1004"/>
      <c r="X26" s="33"/>
      <c r="Y26" s="33"/>
      <c r="Z26" s="33"/>
      <c r="AA26" s="33"/>
      <c r="AB26" s="51"/>
    </row>
    <row r="27" spans="1:28" s="691" customFormat="1" ht="17.649999999999999" customHeight="1" x14ac:dyDescent="0.25">
      <c r="A27" s="989"/>
      <c r="B27" s="913" t="s">
        <v>381</v>
      </c>
      <c r="C27" s="869"/>
      <c r="D27" s="1017"/>
      <c r="E27" s="890" t="str">
        <f>(IF(E$7="SIM",(E31)*2.4*12/$H$2,"-"))</f>
        <v>-</v>
      </c>
      <c r="F27" s="917"/>
      <c r="G27" s="993"/>
      <c r="H27" s="1032"/>
      <c r="I27" s="890">
        <f>(IF(I$7="SIM",(I31)*2.4*12/$H$2,"-"))</f>
        <v>28.707987220447279</v>
      </c>
      <c r="J27" s="1033"/>
      <c r="K27" s="993"/>
      <c r="L27" s="1032"/>
      <c r="M27" s="890" t="str">
        <f>(IF(M$7="SIM",(M31)*2.4*12/$H$2,"-"))</f>
        <v>-</v>
      </c>
      <c r="N27" s="1033"/>
      <c r="O27" s="993"/>
      <c r="P27" s="1032"/>
      <c r="Q27" s="890" t="str">
        <f>(IF(Q$7="SIM",(Q31)*2.4*12/$H$2,"-"))</f>
        <v>-</v>
      </c>
      <c r="R27" s="1033"/>
      <c r="S27" s="993"/>
      <c r="T27" s="1032"/>
      <c r="U27" s="891" t="str">
        <f>(IF(U$7="SIM",(U31)*2.4*12/$H$2,"-"))</f>
        <v>-</v>
      </c>
      <c r="V27" s="1039"/>
      <c r="W27" s="696"/>
      <c r="X27" s="39"/>
      <c r="Y27" s="39"/>
      <c r="Z27" s="39"/>
      <c r="AA27" s="39"/>
      <c r="AB27" s="892"/>
    </row>
    <row r="28" spans="1:28" ht="17.649999999999999" customHeight="1" outlineLevel="1" x14ac:dyDescent="0.25">
      <c r="A28" s="992"/>
      <c r="B28" s="1010"/>
      <c r="C28" s="925"/>
      <c r="D28" s="1015"/>
      <c r="E28" s="332"/>
      <c r="F28" s="1016"/>
      <c r="G28" s="997"/>
      <c r="H28" s="1031"/>
      <c r="I28" s="332"/>
      <c r="J28" s="1034"/>
      <c r="K28" s="997"/>
      <c r="L28" s="1031"/>
      <c r="M28" s="332"/>
      <c r="N28" s="1034"/>
      <c r="O28" s="997"/>
      <c r="P28" s="1031"/>
      <c r="Q28" s="332"/>
      <c r="R28" s="1034"/>
      <c r="S28" s="997"/>
      <c r="T28" s="1031"/>
      <c r="U28" s="341"/>
      <c r="V28" s="924"/>
      <c r="W28" s="936"/>
      <c r="X28" s="42"/>
      <c r="Y28" s="42"/>
      <c r="Z28" s="42"/>
      <c r="AA28" s="42"/>
      <c r="AB28" s="51"/>
    </row>
    <row r="29" spans="1:28" ht="17.649999999999999" customHeight="1" outlineLevel="1" x14ac:dyDescent="0.25">
      <c r="A29" s="988"/>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c r="W29" s="749"/>
      <c r="X29" s="33"/>
      <c r="Y29" s="33"/>
      <c r="Z29" s="33"/>
      <c r="AA29" s="33"/>
      <c r="AB29" s="51"/>
    </row>
    <row r="30" spans="1:28" ht="17.649999999999999" customHeight="1" outlineLevel="1" x14ac:dyDescent="0.25">
      <c r="A30" s="988"/>
      <c r="B30" s="1011" t="s">
        <v>642</v>
      </c>
      <c r="C30" s="903"/>
      <c r="D30" s="1015"/>
      <c r="E30" s="338">
        <v>30</v>
      </c>
      <c r="F30" s="1016"/>
      <c r="G30" s="998"/>
      <c r="H30" s="1031"/>
      <c r="I30" s="338">
        <v>30</v>
      </c>
      <c r="J30" s="1035"/>
      <c r="K30" s="998"/>
      <c r="L30" s="1037"/>
      <c r="M30" s="338">
        <v>30</v>
      </c>
      <c r="N30" s="1035"/>
      <c r="O30" s="998"/>
      <c r="P30" s="1037"/>
      <c r="Q30" s="338">
        <f>2000/1000*30</f>
        <v>60</v>
      </c>
      <c r="R30" s="1035"/>
      <c r="S30" s="998"/>
      <c r="T30" s="1037"/>
      <c r="U30" s="338">
        <f>2500/1000*M30</f>
        <v>75</v>
      </c>
      <c r="V30" s="924"/>
      <c r="W30" s="749"/>
      <c r="X30" s="33"/>
      <c r="Y30" s="33"/>
      <c r="Z30" s="33"/>
      <c r="AA30" s="33"/>
      <c r="AB30" s="51"/>
    </row>
    <row r="31" spans="1:28" ht="17.649999999999999" customHeight="1" outlineLevel="1" x14ac:dyDescent="0.25">
      <c r="A31" s="988"/>
      <c r="B31" s="1011" t="s">
        <v>632</v>
      </c>
      <c r="C31" s="903"/>
      <c r="D31" s="1015"/>
      <c r="E31" s="335">
        <f>0.6*'R&amp;C-Painel de Controle'!$D$63+0.6*E30/10*E29*'R&amp;C-Painel de Controle'!$D$64+E30*E29*'R&amp;C-Painel de Controle'!$D$65</f>
        <v>138000</v>
      </c>
      <c r="F31" s="1016"/>
      <c r="G31" s="996"/>
      <c r="H31" s="1031"/>
      <c r="I31" s="335">
        <f>0.7*'R&amp;C-Painel de Controle'!$D$63+0.7*I30/10*I29*'R&amp;C-Painel de Controle'!$D$64+I30*I29*'R&amp;C-Painel de Controle'!$D$65</f>
        <v>146000</v>
      </c>
      <c r="J31" s="1023"/>
      <c r="K31" s="996"/>
      <c r="L31" s="1036"/>
      <c r="M31" s="335">
        <f>0.8*'R&amp;C-Painel de Controle'!$D$63+0.8*M30/10*M29*'R&amp;C-Painel de Controle'!$D$64+M30*M29*'R&amp;C-Painel de Controle'!$D$65</f>
        <v>154000</v>
      </c>
      <c r="N31" s="1023"/>
      <c r="O31" s="996"/>
      <c r="P31" s="1036"/>
      <c r="Q31" s="335">
        <f>0.9*'R&amp;C-Painel de Controle'!$D$63+0.9*Q30/10*Q29*'R&amp;C-Painel de Controle'!$D$64+Q30*Q29*'R&amp;C-Painel de Controle'!$D$65</f>
        <v>306000</v>
      </c>
      <c r="R31" s="1023"/>
      <c r="S31" s="996"/>
      <c r="T31" s="1036"/>
      <c r="U31" s="335">
        <f>1*'R&amp;C-Painel de Controle'!$D$63+1*U30/10*U29*'R&amp;C-Painel de Controle'!$D$64+U30*U29*'R&amp;C-Painel de Controle'!$D$65</f>
        <v>395000</v>
      </c>
      <c r="V31" s="924"/>
      <c r="W31" s="749"/>
      <c r="X31" s="33"/>
      <c r="Y31" s="33"/>
      <c r="Z31" s="33"/>
      <c r="AA31" s="33"/>
      <c r="AB31" s="51"/>
    </row>
    <row r="32" spans="1:28" s="691" customFormat="1" ht="17.649999999999999" customHeight="1" collapsed="1" x14ac:dyDescent="0.25">
      <c r="A32" s="989"/>
      <c r="B32" s="913" t="s">
        <v>382</v>
      </c>
      <c r="C32" s="869"/>
      <c r="D32" s="1017"/>
      <c r="E32" s="890" t="str">
        <f>(IF(E$7="SIM",(E33*$H$2/1000*'R&amp;C-Painel de Controle'!$D$68+E34/1000*'R&amp;C-Painel de Controle'!$D$69*12)/$H$2,"-"))</f>
        <v>-</v>
      </c>
      <c r="F32" s="917"/>
      <c r="G32" s="993"/>
      <c r="H32" s="1077"/>
      <c r="I32" s="890">
        <f>(IF(I$7="SIM",(I33*$H$2/1000*'R&amp;C-Painel de Controle'!$D$68+I34/1000*'R&amp;C-Painel de Controle'!$D$69*12)/$H$2,"-"))</f>
        <v>0</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696"/>
      <c r="X32" s="39"/>
      <c r="Y32" s="39"/>
      <c r="Z32" s="39"/>
      <c r="AA32" s="39"/>
      <c r="AB32" s="892"/>
    </row>
    <row r="33" spans="1:28" ht="17.649999999999999" hidden="1" customHeight="1" outlineLevel="1" x14ac:dyDescent="0.25">
      <c r="A33" s="988"/>
      <c r="B33" s="1011" t="s">
        <v>633</v>
      </c>
      <c r="C33" s="903"/>
      <c r="D33" s="1018">
        <v>0.85</v>
      </c>
      <c r="E33" s="342">
        <f>IF('R-Definição'!$I$34="Alta",I33/0.8*F33,I33/0.8*D33)</f>
        <v>33.5849609375</v>
      </c>
      <c r="F33" s="1019">
        <v>1</v>
      </c>
      <c r="G33" s="996"/>
      <c r="H33" s="1078">
        <v>0.85</v>
      </c>
      <c r="I33" s="342">
        <f>IF('R-Definição'!$I$34="Alta",M33/0.8*J33,M33/0.8*H33)</f>
        <v>31.609375</v>
      </c>
      <c r="J33" s="1019">
        <v>1</v>
      </c>
      <c r="K33" s="996"/>
      <c r="L33" s="1078">
        <v>0.85</v>
      </c>
      <c r="M33" s="334">
        <f>IF('R-Definição'!$I$34="Alta",35*N33,35*L33)</f>
        <v>29.75</v>
      </c>
      <c r="N33" s="1019">
        <v>1</v>
      </c>
      <c r="O33" s="996"/>
      <c r="P33" s="1078">
        <v>0.85</v>
      </c>
      <c r="Q33" s="334">
        <f>IF('R-Definição'!$I$34="Alta",35*R33,35*P33)</f>
        <v>29.75</v>
      </c>
      <c r="R33" s="1019">
        <v>1</v>
      </c>
      <c r="S33" s="996"/>
      <c r="T33" s="1078">
        <v>0.85</v>
      </c>
      <c r="U33" s="334">
        <f>IF('R-Definição'!$I$34="Alta",35*V33,35*T33)</f>
        <v>29.75</v>
      </c>
      <c r="V33" s="1019">
        <v>1</v>
      </c>
      <c r="W33" s="936"/>
      <c r="X33" s="42"/>
      <c r="Y33" s="42"/>
      <c r="Z33" s="42"/>
      <c r="AA33" s="42"/>
      <c r="AB33" s="51"/>
    </row>
    <row r="34" spans="1:28" ht="17.649999999999999" hidden="1" customHeight="1" outlineLevel="1" x14ac:dyDescent="0.25">
      <c r="A34" s="992"/>
      <c r="B34" s="1011" t="s">
        <v>634</v>
      </c>
      <c r="C34" s="925"/>
      <c r="D34" s="1015"/>
      <c r="E34" s="335">
        <f>E33*F11*(0.9)*0.92/16</f>
        <v>434.50543212890625</v>
      </c>
      <c r="F34" s="1016"/>
      <c r="G34" s="999"/>
      <c r="H34" s="1082"/>
      <c r="I34" s="335">
        <f>I33*J11*(0.9)*0.92/16</f>
        <v>817.892578125</v>
      </c>
      <c r="J34" s="1022"/>
      <c r="K34" s="999"/>
      <c r="L34" s="1079"/>
      <c r="M34" s="335">
        <f>M33*N11*(0.9)*0.92/16</f>
        <v>2309.34375</v>
      </c>
      <c r="N34" s="1022"/>
      <c r="O34" s="999"/>
      <c r="P34" s="1079"/>
      <c r="Q34" s="335">
        <f>Q33*R11*(0.9)*0.92/16</f>
        <v>3079.125</v>
      </c>
      <c r="R34" s="1022"/>
      <c r="S34" s="999"/>
      <c r="T34" s="1079"/>
      <c r="U34" s="335">
        <f>U33*V11*(0.9)*0.92/16</f>
        <v>3848.90625</v>
      </c>
      <c r="V34" s="924"/>
      <c r="W34" s="936"/>
      <c r="X34" s="42"/>
      <c r="Y34" s="42"/>
      <c r="Z34" s="42"/>
      <c r="AA34" s="42"/>
      <c r="AB34" s="51"/>
    </row>
    <row r="35" spans="1:28" s="691" customFormat="1" ht="17.649999999999999" customHeight="1" collapsed="1" x14ac:dyDescent="0.25">
      <c r="A35" s="989"/>
      <c r="B35" s="913" t="s">
        <v>383</v>
      </c>
      <c r="C35" s="869"/>
      <c r="D35" s="1017"/>
      <c r="E35" s="890" t="str">
        <f>(IF(E$7="SIM",(E15*1000000*E36+E37*12)/$H$2,"-"))</f>
        <v>-</v>
      </c>
      <c r="F35" s="1021"/>
      <c r="G35" s="1000"/>
      <c r="H35" s="1080"/>
      <c r="I35" s="890">
        <f>(IF(I$7="SIM",(I15*1000000*I36+I37*12)/$H$2,"-"))</f>
        <v>29.17568131955008</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696"/>
      <c r="X35" s="39"/>
      <c r="Y35" s="39"/>
      <c r="Z35" s="39"/>
      <c r="AA35" s="39"/>
      <c r="AB35" s="892"/>
    </row>
    <row r="36" spans="1:28" ht="17.649999999999999" hidden="1" customHeight="1" outlineLevel="1" x14ac:dyDescent="0.25">
      <c r="A36" s="988"/>
      <c r="B36" s="1011" t="s">
        <v>643</v>
      </c>
      <c r="C36" s="903"/>
      <c r="D36" s="915"/>
      <c r="E36" s="340">
        <v>4.4999999999999998E-2</v>
      </c>
      <c r="F36" s="1016"/>
      <c r="G36" s="1001"/>
      <c r="H36" s="1081"/>
      <c r="I36" s="340">
        <v>4.4999999999999998E-2</v>
      </c>
      <c r="J36" s="1016"/>
      <c r="K36" s="1001"/>
      <c r="L36" s="1081"/>
      <c r="M36" s="340">
        <v>4.4999999999999998E-2</v>
      </c>
      <c r="N36" s="1016"/>
      <c r="O36" s="1001"/>
      <c r="P36" s="1081"/>
      <c r="Q36" s="340">
        <v>4.4999999999999998E-2</v>
      </c>
      <c r="R36" s="1016"/>
      <c r="S36" s="1001"/>
      <c r="T36" s="1081"/>
      <c r="U36" s="340">
        <v>4.4999999999999998E-2</v>
      </c>
      <c r="V36" s="924"/>
      <c r="W36" s="749"/>
      <c r="X36" s="33"/>
      <c r="Y36" s="33"/>
      <c r="Z36" s="33"/>
      <c r="AA36" s="33"/>
      <c r="AB36" s="51"/>
    </row>
    <row r="37" spans="1:28" ht="17.649999999999999" hidden="1" customHeight="1" outlineLevel="1" x14ac:dyDescent="0.25">
      <c r="A37" s="988"/>
      <c r="B37" s="1011" t="s">
        <v>441</v>
      </c>
      <c r="C37" s="903"/>
      <c r="D37" s="915"/>
      <c r="E37" s="335">
        <v>100000</v>
      </c>
      <c r="F37" s="1022"/>
      <c r="G37" s="999"/>
      <c r="H37" s="1079"/>
      <c r="I37" s="335">
        <v>150000</v>
      </c>
      <c r="J37" s="1022"/>
      <c r="K37" s="999"/>
      <c r="L37" s="1079"/>
      <c r="M37" s="335">
        <v>200000</v>
      </c>
      <c r="N37" s="1022"/>
      <c r="O37" s="999"/>
      <c r="P37" s="1079"/>
      <c r="Q37" s="335">
        <v>250000</v>
      </c>
      <c r="R37" s="1022"/>
      <c r="S37" s="999"/>
      <c r="T37" s="1079"/>
      <c r="U37" s="335">
        <v>300000</v>
      </c>
      <c r="V37" s="924"/>
      <c r="W37" s="749"/>
      <c r="X37" s="33"/>
      <c r="Y37" s="33"/>
      <c r="Z37" s="33"/>
      <c r="AA37" s="33"/>
      <c r="AB37" s="51"/>
    </row>
    <row r="38" spans="1:28" s="691" customFormat="1" ht="17.649999999999999" customHeight="1" collapsed="1" x14ac:dyDescent="0.25">
      <c r="A38" s="989"/>
      <c r="B38" s="913" t="s">
        <v>638</v>
      </c>
      <c r="C38" s="869"/>
      <c r="D38" s="1074">
        <v>0.5</v>
      </c>
      <c r="E38" s="890" t="str">
        <f>(IF(E$7="SIM",D38*E39*E40*12/$H$2,"-"))</f>
        <v>-</v>
      </c>
      <c r="F38" s="1021"/>
      <c r="G38" s="1000"/>
      <c r="H38" s="1074">
        <f>D38</f>
        <v>0.5</v>
      </c>
      <c r="I38" s="890">
        <f>(IF(I$7="SIM",H38*I39*I40*12/$H$2,"-"))</f>
        <v>5.1205742045603735</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696"/>
      <c r="X38" s="39"/>
      <c r="Y38" s="39"/>
      <c r="Z38" s="39"/>
      <c r="AA38" s="39"/>
      <c r="AB38" s="892"/>
    </row>
    <row r="39" spans="1:28" ht="17.649999999999999" hidden="1" customHeight="1" outlineLevel="1" x14ac:dyDescent="0.25">
      <c r="A39" s="99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936"/>
      <c r="X39" s="42"/>
      <c r="Y39" s="42"/>
      <c r="Z39" s="42"/>
      <c r="AA39" s="42"/>
      <c r="AB39" s="51"/>
    </row>
    <row r="40" spans="1:28" ht="17.649999999999999" hidden="1" customHeight="1" outlineLevel="1" x14ac:dyDescent="0.25">
      <c r="A40" s="988"/>
      <c r="B40" s="1011" t="s">
        <v>637</v>
      </c>
      <c r="C40" s="925"/>
      <c r="D40" s="915"/>
      <c r="E40" s="336">
        <v>1</v>
      </c>
      <c r="F40" s="1023"/>
      <c r="G40" s="996"/>
      <c r="H40" s="1082"/>
      <c r="I40" s="336">
        <v>1.25</v>
      </c>
      <c r="J40" s="1023"/>
      <c r="K40" s="996"/>
      <c r="L40" s="1082"/>
      <c r="M40" s="336">
        <v>2</v>
      </c>
      <c r="N40" s="1023"/>
      <c r="O40" s="996"/>
      <c r="P40" s="1082"/>
      <c r="Q40" s="336">
        <v>2.5</v>
      </c>
      <c r="R40" s="1023"/>
      <c r="S40" s="996"/>
      <c r="T40" s="1082"/>
      <c r="U40" s="336">
        <v>3</v>
      </c>
      <c r="V40" s="924"/>
      <c r="W40" s="749"/>
      <c r="X40" s="33"/>
      <c r="Y40" s="33"/>
      <c r="Z40" s="33"/>
      <c r="AA40" s="33"/>
      <c r="AB40" s="51"/>
    </row>
    <row r="41" spans="1:28" s="691" customFormat="1" ht="17.649999999999999" customHeight="1" x14ac:dyDescent="0.25">
      <c r="A41" s="989"/>
      <c r="B41" s="913" t="s">
        <v>390</v>
      </c>
      <c r="C41" s="869"/>
      <c r="D41" s="1017"/>
      <c r="E41" s="893" t="str">
        <f>(IF(E$7="SIM",7.5+1.5*'R&amp;C-Painel de Controle'!$D$74,"-"))</f>
        <v>-</v>
      </c>
      <c r="F41" s="1021"/>
      <c r="G41" s="1000"/>
      <c r="H41" s="1080"/>
      <c r="I41" s="893">
        <f>(IF(I$7="SIM",7.5+1.5*'R&amp;C-Painel de Controle'!$D$74,"-"))</f>
        <v>12</v>
      </c>
      <c r="J41" s="1021"/>
      <c r="K41" s="1000"/>
      <c r="L41" s="1080"/>
      <c r="M41" s="893" t="str">
        <f>(IF(M$7="SIM",7.5+1.5*'R&amp;C-Painel de Controle'!$D$74,"-"))</f>
        <v>-</v>
      </c>
      <c r="N41" s="1021"/>
      <c r="O41" s="1000"/>
      <c r="P41" s="1080"/>
      <c r="Q41" s="893" t="str">
        <f>(IF(Q$7="SIM",7.5+1.5*'R&amp;C-Painel de Controle'!$D$74,"-"))</f>
        <v>-</v>
      </c>
      <c r="R41" s="1021"/>
      <c r="S41" s="1000"/>
      <c r="T41" s="1080"/>
      <c r="U41" s="894" t="str">
        <f>(IF(U$7="SIM",7.5+1.5*'R&amp;C-Painel de Controle'!$D$74,"-"))</f>
        <v>-</v>
      </c>
      <c r="V41" s="1039"/>
      <c r="W41" s="696"/>
      <c r="X41" s="39"/>
      <c r="Y41" s="39"/>
      <c r="Z41" s="39"/>
      <c r="AA41" s="39"/>
      <c r="AB41" s="892"/>
    </row>
    <row r="42" spans="1:28" s="882" customFormat="1" ht="19.899999999999999" customHeight="1" x14ac:dyDescent="0.3">
      <c r="A42" s="990"/>
      <c r="B42" s="1012" t="s">
        <v>386</v>
      </c>
      <c r="C42" s="904"/>
      <c r="D42" s="1074">
        <v>0.1</v>
      </c>
      <c r="E42" s="887" t="str">
        <f>(IF(E$7="SIM",(E27+E32+E35+E38+E41)*(1+D42),"-"))</f>
        <v>-</v>
      </c>
      <c r="F42" s="1024"/>
      <c r="G42" s="1002"/>
      <c r="H42" s="1074">
        <v>0.1</v>
      </c>
      <c r="I42" s="887">
        <f>(IF(I$7="SIM",(I27+I32+I35+I38+I41)*(1+H42),"-"))</f>
        <v>82.50466701901351</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1005"/>
      <c r="X42" s="881"/>
      <c r="Y42" s="881"/>
      <c r="Z42" s="881"/>
      <c r="AA42" s="881"/>
      <c r="AB42" s="889"/>
    </row>
    <row r="43" spans="1:28" s="882" customFormat="1" ht="19.899999999999999" customHeight="1" x14ac:dyDescent="0.3">
      <c r="A43" s="990"/>
      <c r="B43" s="1012" t="s">
        <v>387</v>
      </c>
      <c r="C43" s="904"/>
      <c r="D43" s="1025"/>
      <c r="E43" s="886" t="str">
        <f>(IF(E$7="SIM",E42*$H$2/1000000,"-"))</f>
        <v>-</v>
      </c>
      <c r="F43" s="1026"/>
      <c r="G43" s="904"/>
      <c r="H43" s="1025"/>
      <c r="I43" s="886">
        <f>(IF(I$7="SIM",I42*$H$2/1000000,"-"))</f>
        <v>12.08428933793231</v>
      </c>
      <c r="J43" s="1026"/>
      <c r="K43" s="904"/>
      <c r="L43" s="1025"/>
      <c r="M43" s="886" t="str">
        <f>(IF(M$7="SIM",M42*$H$2/1000000,"-"))</f>
        <v>-</v>
      </c>
      <c r="N43" s="1026"/>
      <c r="O43" s="904"/>
      <c r="P43" s="1083"/>
      <c r="Q43" s="886" t="str">
        <f>(IF(Q$7="SIM",Q42*$H$2/1000000,"-"))</f>
        <v>-</v>
      </c>
      <c r="R43" s="1026"/>
      <c r="S43" s="904"/>
      <c r="T43" s="1025"/>
      <c r="U43" s="851" t="str">
        <f>(IF(U$7="SIM",U42*$H$2/1000000,"-"))</f>
        <v>-</v>
      </c>
      <c r="V43" s="1026"/>
      <c r="W43" s="1005"/>
      <c r="X43" s="881"/>
      <c r="Y43" s="881"/>
      <c r="Z43" s="881"/>
      <c r="AA43" s="881"/>
      <c r="AB43" s="881"/>
    </row>
    <row r="44" spans="1:28" s="897" customFormat="1" ht="17.649999999999999" customHeight="1" x14ac:dyDescent="0.25">
      <c r="A44" s="989"/>
      <c r="B44" s="1013" t="s">
        <v>388</v>
      </c>
      <c r="C44" s="869"/>
      <c r="D44" s="1020"/>
      <c r="E44" s="895" t="str">
        <f>(IF(E$7="SIM",(((E27*$H$2/12)+(E34/1000*'R&amp;C-Painel de Controle'!$D$69*12)+(E37*12)+(E39*E40*12))/1000000),"-"))</f>
        <v>-</v>
      </c>
      <c r="F44" s="1027"/>
      <c r="G44" s="869"/>
      <c r="H44" s="1020"/>
      <c r="I44" s="895">
        <f>(IF(I$7="SIM",(((I27*$H$2/12)+(I34/1000*'R&amp;C-Painel de Controle'!$D$69*12)+(I37*12)+(I39*I40*12))/1000000),"-"))</f>
        <v>3.6503999999999999</v>
      </c>
      <c r="J44" s="1027"/>
      <c r="K44" s="869"/>
      <c r="L44" s="1020"/>
      <c r="M44" s="895" t="str">
        <f>(IF(M$7="SIM",(((M27*$H$2/12)+(M34/1000*'R&amp;C-Painel de Controle'!$D$69*12)+(M37*12)+(M39*M40*12))/1000000),"-"))</f>
        <v>-</v>
      </c>
      <c r="N44" s="1027"/>
      <c r="O44" s="869"/>
      <c r="P44" s="1020"/>
      <c r="Q44" s="895" t="str">
        <f>(IF(Q$7="SIM",(((Q27*$H$2/12)+(Q34/1000*'R&amp;C-Painel de Controle'!$D$69*12)+(Q37*12)+(Q39*Q40*12))/1000000)*(1+P42),"-"))</f>
        <v>-</v>
      </c>
      <c r="R44" s="1027"/>
      <c r="S44" s="869"/>
      <c r="T44" s="1020"/>
      <c r="U44" s="896" t="str">
        <f>(IF(U$7="SIM",(((U27*$H$2/12)+(U34/1000*'R&amp;C-Painel de Controle'!$D$69*12)+(U37*12)+(U39*U40*12))/1000000),"-"))</f>
        <v>-</v>
      </c>
      <c r="V44" s="1027"/>
      <c r="W44" s="696"/>
      <c r="X44" s="39"/>
      <c r="Y44" s="39"/>
      <c r="Z44" s="39"/>
      <c r="AA44" s="39"/>
      <c r="AB44" s="39"/>
    </row>
    <row r="45" spans="1:28" s="897" customFormat="1" ht="17.649999999999999" customHeight="1" thickBot="1" x14ac:dyDescent="0.3">
      <c r="A45" s="989"/>
      <c r="B45" s="1014" t="s">
        <v>389</v>
      </c>
      <c r="C45" s="869"/>
      <c r="D45" s="1028"/>
      <c r="E45" s="1029" t="str">
        <f>(IF(E$7="SIM",((E43-E44)*1000000)/$H$2,"-"))</f>
        <v>-</v>
      </c>
      <c r="F45" s="1030"/>
      <c r="G45" s="869"/>
      <c r="H45" s="1028"/>
      <c r="I45" s="1029">
        <f>(IF(I$7="SIM",((I43-I44)*1000000)/$H$2,"-"))</f>
        <v>57.581808250577282</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696"/>
      <c r="X45" s="39"/>
      <c r="Y45" s="39"/>
      <c r="Z45" s="39"/>
      <c r="AA45" s="39"/>
      <c r="AB45" s="39"/>
    </row>
    <row r="46" spans="1:28" ht="14.25" customHeight="1" thickTop="1" x14ac:dyDescent="0.25">
      <c r="A46" s="33"/>
      <c r="B46" s="936"/>
      <c r="C46" s="33"/>
      <c r="D46" s="749"/>
      <c r="E46" s="749"/>
      <c r="F46" s="749"/>
      <c r="G46" s="33"/>
      <c r="H46" s="749"/>
      <c r="I46" s="749"/>
      <c r="J46" s="749"/>
      <c r="K46" s="33"/>
      <c r="L46" s="749"/>
      <c r="M46" s="749"/>
      <c r="N46" s="749"/>
      <c r="O46" s="33"/>
      <c r="P46" s="749"/>
      <c r="Q46" s="749"/>
      <c r="R46" s="749"/>
      <c r="S46" s="33"/>
      <c r="T46" s="749"/>
      <c r="U46" s="749"/>
      <c r="V46" s="749"/>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QHGQcAhKj6CsNK1jmDWRsjuxeRgHsu4elAqFXFiac2vOhm46cU3C/Cym0mlrF5GGM9d24aVI2co8KhMEvOWqvA==" saltValue="BDTVeVcKVcQlDf4xWXH3Sg=="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V12" sqref="V12"/>
    </sheetView>
  </sheetViews>
  <sheetFormatPr defaultColWidth="14.42578125" defaultRowHeight="15" customHeight="1" outlineLevelRow="1" x14ac:dyDescent="0.25"/>
  <cols>
    <col min="1" max="1" width="1.7109375" style="33" customWidth="1"/>
    <col min="2" max="2" width="60.7109375" style="33" customWidth="1"/>
    <col min="3" max="3" width="1.7109375" style="33" customWidth="1"/>
    <col min="4" max="4" width="11.7109375" style="33" customWidth="1"/>
    <col min="5" max="5" width="15.7109375" style="33" customWidth="1"/>
    <col min="6" max="6" width="11.7109375" style="33" customWidth="1"/>
    <col min="7" max="7" width="1.7109375" style="33" customWidth="1"/>
    <col min="8" max="8" width="11.7109375" style="33" customWidth="1"/>
    <col min="9" max="9" width="15.7109375" style="33" customWidth="1"/>
    <col min="10" max="10" width="11.7109375" style="33" customWidth="1"/>
    <col min="11" max="11" width="1.7109375" style="33" customWidth="1"/>
    <col min="12" max="12" width="11.7109375" style="33" customWidth="1"/>
    <col min="13" max="13" width="15.7109375" style="33" customWidth="1"/>
    <col min="14" max="14" width="11.7109375" style="33" customWidth="1"/>
    <col min="15" max="15" width="1.7109375" style="33" customWidth="1"/>
    <col min="16" max="16" width="11.7109375" style="33" customWidth="1"/>
    <col min="17" max="17" width="15.7109375" style="33" customWidth="1"/>
    <col min="18" max="18" width="11.7109375" style="33" customWidth="1"/>
    <col min="19" max="19" width="1.7109375" style="33" customWidth="1"/>
    <col min="20" max="20" width="11.7109375" style="33" customWidth="1"/>
    <col min="21" max="21" width="15.7109375" style="33" customWidth="1"/>
    <col min="22" max="22" width="11.7109375" style="33" customWidth="1"/>
    <col min="23" max="27" width="8.7109375" style="33" hidden="1" customWidth="1"/>
    <col min="28" max="61" width="8.7109375" style="33" customWidth="1"/>
    <col min="62" max="16384" width="14.42578125" style="33"/>
  </cols>
  <sheetData>
    <row r="1" spans="1:61" ht="19.899999999999999" customHeight="1" x14ac:dyDescent="0.25">
      <c r="B1" s="2939" t="s">
        <v>767</v>
      </c>
      <c r="C1" s="433"/>
      <c r="D1" s="433"/>
      <c r="E1" s="433"/>
      <c r="F1" s="433"/>
      <c r="G1" s="433"/>
      <c r="H1" s="433"/>
      <c r="I1" s="433"/>
      <c r="J1" s="433"/>
      <c r="K1" s="433"/>
      <c r="L1" s="433"/>
      <c r="M1" s="433"/>
      <c r="N1" s="433"/>
      <c r="O1" s="433"/>
      <c r="P1" s="433"/>
      <c r="Q1" s="433"/>
      <c r="R1" s="433"/>
      <c r="S1" s="433"/>
      <c r="T1" s="433"/>
      <c r="U1" s="433"/>
      <c r="V1" s="433"/>
    </row>
    <row r="2" spans="1:61" ht="19.899999999999999" customHeight="1" x14ac:dyDescent="0.3">
      <c r="A2" s="47"/>
      <c r="B2" s="2939"/>
      <c r="C2" s="436"/>
      <c r="D2" s="899">
        <f>'R-Resumo Bal. Massa'!B30*(1+'R&amp;C-Painel de Controle'!H59)</f>
        <v>0</v>
      </c>
      <c r="E2" s="900" t="s">
        <v>21</v>
      </c>
      <c r="F2"/>
      <c r="G2"/>
      <c r="H2" s="1105">
        <f>D2*313</f>
        <v>0</v>
      </c>
      <c r="I2" s="1104" t="s">
        <v>249</v>
      </c>
      <c r="J2"/>
      <c r="K2"/>
      <c r="L2" s="1086" t="str">
        <f>IF(D2&gt;0,"Sim","Não")</f>
        <v>Não</v>
      </c>
      <c r="M2" s="431"/>
      <c r="N2" s="431"/>
      <c r="O2" s="431"/>
      <c r="P2" s="1106" t="s">
        <v>436</v>
      </c>
      <c r="Q2" s="2930" t="str">
        <f>'R-Definição'!D2</f>
        <v>CIRSOP - Consórcio RSU Oeste Paulista</v>
      </c>
      <c r="R2" s="2931"/>
      <c r="S2" s="429"/>
      <c r="T2" s="1106" t="s">
        <v>437</v>
      </c>
      <c r="U2" s="2930" t="str">
        <f>'R-Definição'!D3</f>
        <v>Biodigestão c/ Prod. E. Elétrica</v>
      </c>
      <c r="V2" s="2931"/>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B3" s="2939"/>
      <c r="C3" s="427"/>
      <c r="D3" s="426"/>
      <c r="E3" s="426"/>
      <c r="F3" s="426"/>
      <c r="G3" s="426"/>
      <c r="H3" s="426"/>
      <c r="I3" s="426"/>
      <c r="J3" s="426"/>
      <c r="K3" s="426"/>
      <c r="L3" s="426"/>
      <c r="M3" s="426"/>
      <c r="N3" s="426"/>
      <c r="O3" s="431"/>
      <c r="P3" s="426"/>
      <c r="Q3" s="426"/>
      <c r="R3" s="426"/>
      <c r="S3" s="426"/>
      <c r="T3" s="426"/>
      <c r="U3" s="426"/>
      <c r="V3" s="426"/>
    </row>
    <row r="4" spans="1:61" s="316" customFormat="1" ht="7.5" customHeight="1" x14ac:dyDescent="0.25">
      <c r="A4" s="427"/>
      <c r="B4" s="683"/>
      <c r="C4" s="403"/>
      <c r="D4" s="1061"/>
      <c r="E4" s="1061"/>
      <c r="F4" s="1061"/>
      <c r="G4" s="403"/>
      <c r="H4" s="1061"/>
      <c r="I4" s="1061"/>
      <c r="J4" s="1061"/>
      <c r="K4" s="403"/>
      <c r="L4" s="1061"/>
      <c r="M4" s="1061"/>
      <c r="N4" s="1061"/>
      <c r="O4" s="403"/>
      <c r="P4" s="1061"/>
      <c r="Q4" s="1061"/>
      <c r="R4" s="1061"/>
      <c r="S4" s="905"/>
      <c r="T4" s="1061"/>
      <c r="U4" s="1061"/>
      <c r="V4" s="906"/>
    </row>
    <row r="5" spans="1:61" ht="17.649999999999999" customHeight="1" x14ac:dyDescent="0.25">
      <c r="B5" s="865" t="s">
        <v>755</v>
      </c>
      <c r="C5" s="437"/>
      <c r="D5" s="834">
        <v>4.25</v>
      </c>
      <c r="E5" s="870" t="s">
        <v>766</v>
      </c>
      <c r="F5" s="868"/>
      <c r="G5" s="868"/>
      <c r="H5" s="868"/>
      <c r="I5" s="868"/>
      <c r="J5" s="868"/>
      <c r="K5" s="868"/>
      <c r="L5" s="868"/>
      <c r="M5" s="868"/>
      <c r="N5" s="868"/>
      <c r="O5" s="868"/>
      <c r="P5" s="868"/>
      <c r="Q5" s="868"/>
      <c r="R5" s="868"/>
      <c r="S5" s="868"/>
      <c r="T5" s="868"/>
      <c r="U5" s="868"/>
      <c r="V5" s="317"/>
    </row>
    <row r="6" spans="1:61" s="316" customFormat="1" ht="7.5" customHeight="1" x14ac:dyDescent="0.25">
      <c r="A6" s="427"/>
      <c r="B6" s="683"/>
      <c r="C6" s="403"/>
      <c r="D6" s="1061"/>
      <c r="E6" s="1061"/>
      <c r="F6" s="1061"/>
      <c r="G6" s="403"/>
      <c r="H6" s="1061"/>
      <c r="I6" s="1061"/>
      <c r="J6" s="1061"/>
      <c r="K6" s="403"/>
      <c r="L6" s="1061"/>
      <c r="M6" s="1061"/>
      <c r="N6" s="1061"/>
      <c r="O6" s="403"/>
      <c r="P6" s="1061"/>
      <c r="Q6" s="1061"/>
      <c r="R6" s="1061"/>
      <c r="S6" s="905"/>
      <c r="T6" s="1061"/>
      <c r="U6" s="1061"/>
      <c r="V6" s="906"/>
    </row>
    <row r="7" spans="1:61" s="881" customFormat="1" ht="19.899999999999999" customHeight="1" x14ac:dyDescent="0.25">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row>
    <row r="8" spans="1:61" s="316"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row>
    <row r="9" spans="1:61" ht="17.649999999999999" customHeight="1" thickTop="1" thickBot="1" x14ac:dyDescent="0.35">
      <c r="B9" s="2933" t="s">
        <v>640</v>
      </c>
      <c r="C9" s="901"/>
      <c r="D9" s="2936" t="s">
        <v>646</v>
      </c>
      <c r="E9" s="2937"/>
      <c r="F9" s="2937"/>
      <c r="G9" s="2937"/>
      <c r="H9" s="2937"/>
      <c r="I9" s="2937"/>
      <c r="J9" s="2937"/>
      <c r="K9" s="2937"/>
      <c r="L9" s="2937"/>
      <c r="M9" s="2937"/>
      <c r="N9" s="2937"/>
      <c r="O9" s="2937"/>
      <c r="P9" s="2937"/>
      <c r="Q9" s="2937"/>
      <c r="R9" s="2937"/>
      <c r="S9" s="2937"/>
      <c r="T9" s="2937"/>
      <c r="U9" s="2937"/>
      <c r="V9" s="2938"/>
    </row>
    <row r="10" spans="1:61" ht="7.5" customHeight="1" x14ac:dyDescent="0.25">
      <c r="B10" s="2934"/>
      <c r="C10" s="901"/>
      <c r="D10" s="1072"/>
      <c r="E10" s="898"/>
      <c r="F10" s="898"/>
      <c r="G10" s="850"/>
      <c r="H10" s="898"/>
      <c r="I10" s="898"/>
      <c r="J10" s="898"/>
      <c r="K10" s="850"/>
      <c r="L10" s="898"/>
      <c r="M10" s="898"/>
      <c r="N10" s="898"/>
      <c r="O10" s="850"/>
      <c r="P10" s="898"/>
      <c r="Q10" s="898"/>
      <c r="R10" s="898"/>
      <c r="S10" s="850"/>
      <c r="T10" s="898"/>
      <c r="U10" s="898"/>
      <c r="V10" s="1073"/>
    </row>
    <row r="11" spans="1:61" ht="17.649999999999999" customHeight="1" thickBot="1" x14ac:dyDescent="0.3">
      <c r="B11" s="2935"/>
      <c r="C11" s="901"/>
      <c r="D11" s="1064">
        <v>5</v>
      </c>
      <c r="E11" s="1066" t="s">
        <v>21</v>
      </c>
      <c r="F11" s="1066">
        <v>100</v>
      </c>
      <c r="G11" s="1067"/>
      <c r="H11" s="1066">
        <f>F11</f>
        <v>100</v>
      </c>
      <c r="I11" s="1066" t="s">
        <v>21</v>
      </c>
      <c r="J11" s="1066">
        <v>200</v>
      </c>
      <c r="K11" s="1067"/>
      <c r="L11" s="1066">
        <f>J11</f>
        <v>200</v>
      </c>
      <c r="M11" s="1066" t="s">
        <v>21</v>
      </c>
      <c r="N11" s="1066">
        <v>300</v>
      </c>
      <c r="O11" s="1067"/>
      <c r="P11" s="1066">
        <f>N11</f>
        <v>300</v>
      </c>
      <c r="Q11" s="1066" t="s">
        <v>21</v>
      </c>
      <c r="R11" s="1066">
        <v>400</v>
      </c>
      <c r="S11" s="1067"/>
      <c r="T11" s="1066">
        <f>R11</f>
        <v>400</v>
      </c>
      <c r="U11" s="1066" t="s">
        <v>21</v>
      </c>
      <c r="V11" s="1068">
        <v>800</v>
      </c>
    </row>
    <row r="12" spans="1:61" ht="15" customHeight="1" thickTop="1" thickBot="1" x14ac:dyDescent="0.3">
      <c r="B12" s="1070"/>
      <c r="C12" s="751"/>
      <c r="D12" s="1071"/>
      <c r="E12" s="1071"/>
      <c r="F12" s="1071"/>
      <c r="G12" s="751"/>
      <c r="H12" s="1071"/>
      <c r="I12" s="1071"/>
      <c r="J12" s="1071"/>
      <c r="K12" s="751"/>
      <c r="L12" s="1071"/>
      <c r="M12" s="1071"/>
      <c r="N12" s="1071"/>
      <c r="O12" s="751"/>
      <c r="P12" s="1071"/>
      <c r="Q12" s="1071"/>
      <c r="R12" s="1071"/>
      <c r="S12" s="751"/>
      <c r="T12" s="1071"/>
      <c r="U12" s="1071"/>
      <c r="V12" s="1071"/>
    </row>
    <row r="13" spans="1:61" s="881" customFormat="1" ht="19.899999999999999" customHeight="1" thickTop="1" thickBot="1" x14ac:dyDescent="0.3">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row>
    <row r="14" spans="1:61" s="316" customFormat="1" ht="7.5" customHeight="1" x14ac:dyDescent="0.25">
      <c r="A14" s="427"/>
      <c r="B14" s="1009"/>
      <c r="C14" s="903"/>
      <c r="D14" s="1015"/>
      <c r="E14" s="331"/>
      <c r="F14" s="924"/>
      <c r="G14" s="903"/>
      <c r="H14" s="1015"/>
      <c r="I14" s="331"/>
      <c r="J14" s="924"/>
      <c r="K14" s="903"/>
      <c r="L14" s="1015"/>
      <c r="M14" s="331"/>
      <c r="N14" s="924"/>
      <c r="O14" s="903"/>
      <c r="P14" s="1015"/>
      <c r="Q14" s="331"/>
      <c r="R14" s="924"/>
      <c r="S14" s="903"/>
      <c r="T14" s="1015"/>
      <c r="U14" s="331"/>
      <c r="V14" s="924"/>
    </row>
    <row r="15" spans="1:61" ht="17.649999999999999" customHeight="1" x14ac:dyDescent="0.25">
      <c r="A15" s="42"/>
      <c r="B15" s="913" t="s">
        <v>376</v>
      </c>
      <c r="C15" s="869"/>
      <c r="D15" s="1075">
        <f>IF('R-Definição'!$L$49&lt;=20,((500000*1/150+2089406/(1000*0.05))/1000),IF(AND('R-Definição'!$L$49&gt;20,'R-Definição'!$L$49&lt;=50),((500000*1/150+2089406/(1000*0.05))/1000)*1.3,IF('R-Definição'!$L$49&gt;50,((500000*1/150+2089406/(1000*0.05))/1000)*1.5,)))</f>
        <v>45.121453333333335</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f>IF('R-Definição'!$L$49&lt;=20,((500000*1/150+2089406/(1000*0.05))/1000),IF(AND('R-Definição'!$L$49&gt;20,'R-Definição'!$L$49&lt;=50),((500000*1/150+2089406/(1000*0.05))/1000)*1.3,IF('R-Definição'!$L$49&gt;50,((500000*1/150+2089406/(1000*0.05))/1000)*1.5,)))</f>
        <v>45.121453333333335</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f>IF('R-Definição'!$L$49&lt;=20,((500000*1/150+2089406/(1000*0.05))/1000),IF(AND('R-Definição'!$L$49&gt;20,'R-Definição'!$L$49&lt;=50),((500000*1/150+2089406/(1000*0.05))/1000)*1.3,IF('R-Definição'!$L$49&gt;50,((500000*1/150+2089406/(1000*0.05))/1000)*1.5,)))</f>
        <v>45.121453333333335</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IF('R-Definição'!$L$49&lt;=20,((500000*1/150+2089406/(1000*0.05))/1000),IF(AND('R-Definição'!$L$49&gt;20,'R-Definição'!$L$49&lt;=50),((500000*1/150+2089406/(1000*0.05))/1000)*1.3,IF('R-Definição'!$L$49&gt;50,((500000*1/150+2089406/(1000*0.05))/1000)*1.5,)))</f>
        <v>45.121453333333335</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IF('R-Definição'!$L$49&lt;=20,((500000*1/150+2089406/(1000*0.05))/1000),IF(AND('R-Definição'!$L$49&gt;20,'R-Definição'!$L$49&lt;=50),((500000*1/150+2089406/(1000*0.05))/1000)*1.3,IF('R-Definição'!$L$49&gt;50,((500000*1/150+2089406/(1000*0.05))/1000)*1.5,)))</f>
        <v>45.121453333333335</v>
      </c>
      <c r="U15" s="846"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917">
        <v>0.1</v>
      </c>
      <c r="W15" s="46">
        <v>7.0306133515875011</v>
      </c>
      <c r="X15" s="46">
        <v>14.061226703175002</v>
      </c>
      <c r="Y15" s="46">
        <v>23.435377838624998</v>
      </c>
      <c r="Z15" s="46">
        <v>32.809528974075</v>
      </c>
      <c r="AA15" s="46">
        <v>42.126907242262497</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2"/>
      <c r="B16" s="913" t="s">
        <v>641</v>
      </c>
      <c r="C16" s="869"/>
      <c r="D16" s="918" t="s">
        <v>289</v>
      </c>
      <c r="E16" s="846" t="str">
        <f>(IF(E$7="SIM",(F17*('R&amp;C-Painel de Controle'!$D$60))/1000000,"-"))</f>
        <v>-</v>
      </c>
      <c r="F16" s="919">
        <v>0.05</v>
      </c>
      <c r="G16" s="869"/>
      <c r="H16" s="918" t="s">
        <v>289</v>
      </c>
      <c r="I16" s="846" t="str">
        <f>(IF(I$7="SIM",(J17*('R&amp;C-Painel de Controle'!$D$60))/1000000,"-"))</f>
        <v>-</v>
      </c>
      <c r="J16" s="919">
        <v>0.05</v>
      </c>
      <c r="K16" s="869"/>
      <c r="L16" s="918" t="s">
        <v>289</v>
      </c>
      <c r="M16" s="846" t="str">
        <f>(IF(M$7="SIM",(N17*('R&amp;C-Painel de Controle'!$D$60))/1000000,"-"))</f>
        <v>-</v>
      </c>
      <c r="N16" s="919">
        <v>0.05</v>
      </c>
      <c r="O16" s="869"/>
      <c r="P16" s="918" t="s">
        <v>289</v>
      </c>
      <c r="Q16" s="846" t="str">
        <f>(IF(Q$7="SIM",(R17*('R&amp;C-Painel de Controle'!$D$60))/1000000,"-"))</f>
        <v>-</v>
      </c>
      <c r="R16" s="919">
        <v>0.05</v>
      </c>
      <c r="S16" s="993"/>
      <c r="T16" s="918" t="s">
        <v>289</v>
      </c>
      <c r="U16" s="846" t="str">
        <f>(IF(U$7="SIM",(V17*('R&amp;C-Painel de Controle'!$D$60))/1000000,"-"))</f>
        <v>-</v>
      </c>
      <c r="V16" s="919">
        <v>0.05</v>
      </c>
      <c r="W16" s="46">
        <v>0.61875000000000002</v>
      </c>
      <c r="X16" s="46">
        <v>2.1749999999999998</v>
      </c>
      <c r="Y16" s="46">
        <v>4.8375000000000004</v>
      </c>
      <c r="Z16" s="46">
        <v>8.4187499999999993</v>
      </c>
      <c r="AA16" s="46">
        <v>13.143750000000001</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2"/>
      <c r="B17" s="913" t="s">
        <v>753</v>
      </c>
      <c r="C17" s="869"/>
      <c r="D17" s="920">
        <f>F17</f>
        <v>825</v>
      </c>
      <c r="E17" s="846" t="str">
        <f>(IF(E$7="SIM",('R&amp;C-Painel de Controle'!$D$55+0.25)*D17/1000000,"-"))</f>
        <v>-</v>
      </c>
      <c r="F17" s="921">
        <f>10*10+10*10+25*25</f>
        <v>825</v>
      </c>
      <c r="G17" s="869"/>
      <c r="H17" s="920">
        <f>J17</f>
        <v>2900</v>
      </c>
      <c r="I17" s="846" t="str">
        <f>(IF(I$7="SIM",('R&amp;C-Painel de Controle'!$D$55+0.25)*H17/1000000,"-"))</f>
        <v>-</v>
      </c>
      <c r="J17" s="921">
        <f>10*10+20*15+50*50</f>
        <v>2900</v>
      </c>
      <c r="K17" s="869"/>
      <c r="L17" s="920">
        <f>N17</f>
        <v>6450</v>
      </c>
      <c r="M17" s="846" t="str">
        <f>(IF(M$7="SIM",('R&amp;C-Painel de Controle'!$D$55+0.25)*L17/1000000,"-"))</f>
        <v>-</v>
      </c>
      <c r="N17" s="921">
        <f>15*15+30*20+75*75</f>
        <v>6450</v>
      </c>
      <c r="O17" s="869"/>
      <c r="P17" s="920">
        <f>R17</f>
        <v>11225</v>
      </c>
      <c r="Q17" s="846" t="str">
        <f>(IF(Q$7="SIM",('R&amp;C-Painel de Controle'!$D$55+0.25)*P17/1000000,"-"))</f>
        <v>-</v>
      </c>
      <c r="R17" s="921">
        <f>15*15+40*25+100*100</f>
        <v>11225</v>
      </c>
      <c r="S17" s="869"/>
      <c r="T17" s="920">
        <f>V17</f>
        <v>17525</v>
      </c>
      <c r="U17" s="846" t="str">
        <f>(IF(U$7="SIM",('R&amp;C-Painel de Controle'!$D$55+0.25)*T17/1000000,"-"))</f>
        <v>-</v>
      </c>
      <c r="V17" s="921">
        <f>20*20+50*30+125*125</f>
        <v>17525</v>
      </c>
      <c r="W17" s="46">
        <v>7.4249999999999997E-2</v>
      </c>
      <c r="X17" s="46">
        <v>0.26100000000000001</v>
      </c>
      <c r="Y17" s="46">
        <v>0.58050000000000002</v>
      </c>
      <c r="Z17" s="46">
        <v>1.0102500000000001</v>
      </c>
      <c r="AA17" s="46">
        <v>1.57725</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2"/>
      <c r="B18" s="913" t="s">
        <v>438</v>
      </c>
      <c r="C18" s="869"/>
      <c r="D18" s="1076" t="str">
        <f>IF(E7="SIM",(E15+E16)*F18*1000/$H$2,"-")</f>
        <v>-</v>
      </c>
      <c r="E18" s="846" t="str">
        <f>(IF(E$7="SIM",$H$2*D18/1000,"-"))</f>
        <v>-</v>
      </c>
      <c r="F18" s="917">
        <v>2.5000000000000001E-2</v>
      </c>
      <c r="G18" s="869"/>
      <c r="H18" s="1076" t="str">
        <f>IF(I7="SIM",(I15+I16)*J18*1000/$H$2,"-")</f>
        <v>-</v>
      </c>
      <c r="I18" s="846" t="str">
        <f>(IF(I$7="SIM",$H$2*H18/1000,"-"))</f>
        <v>-</v>
      </c>
      <c r="J18" s="917">
        <v>2.5000000000000001E-2</v>
      </c>
      <c r="K18" s="869"/>
      <c r="L18" s="1076" t="str">
        <f>IF(M7="SIM",(M15+M16)*N18*1000/$H$2,"-")</f>
        <v>-</v>
      </c>
      <c r="M18" s="846" t="str">
        <f>(IF(M$7="SIM",$H$2*L18/1000,"-"))</f>
        <v>-</v>
      </c>
      <c r="N18" s="917">
        <v>2.5000000000000001E-2</v>
      </c>
      <c r="O18" s="869"/>
      <c r="P18" s="1076" t="str">
        <f>IF(Q7="SIM",(Q15+Q16)*R18*1000/$H$2,"-")</f>
        <v>-</v>
      </c>
      <c r="Q18" s="846" t="str">
        <f>(IF(Q$7="SIM",$H$2*P18/1000,"-"))</f>
        <v>-</v>
      </c>
      <c r="R18" s="917">
        <v>2.5000000000000001E-2</v>
      </c>
      <c r="S18" s="869"/>
      <c r="T18" s="1076" t="str">
        <f>IF(U7="SIM",(U15+U16)*V18*1000/$H$2,"-")</f>
        <v>-</v>
      </c>
      <c r="U18" s="846" t="str">
        <f>(IF(U$7="SIM",$H$2*T18/1000,"-"))</f>
        <v>-</v>
      </c>
      <c r="V18" s="917">
        <v>2.5000000000000001E-2</v>
      </c>
      <c r="W18" s="46">
        <v>0.19123408378968754</v>
      </c>
      <c r="X18" s="46">
        <v>0.40590566757937507</v>
      </c>
      <c r="Y18" s="46">
        <v>0.70682194596562509</v>
      </c>
      <c r="Z18" s="46">
        <v>1.0307069743518749</v>
      </c>
      <c r="AA18" s="46">
        <v>1.3817664310565627</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5" customFormat="1" ht="19.899999999999999" customHeight="1" collapsed="1" thickBot="1" x14ac:dyDescent="0.3">
      <c r="A19" s="881"/>
      <c r="B19" s="914" t="s">
        <v>377</v>
      </c>
      <c r="C19" s="904"/>
      <c r="D19" s="1052">
        <v>0.05</v>
      </c>
      <c r="E19" s="922" t="str">
        <f>IF(E7="SIM",SUM(E15:E18)*(1+D19),"-")</f>
        <v>-</v>
      </c>
      <c r="F19" s="1051" t="s">
        <v>289</v>
      </c>
      <c r="G19" s="904"/>
      <c r="H19" s="1052">
        <v>0.05</v>
      </c>
      <c r="I19" s="922" t="str">
        <f>IF(I7="SIM",SUM(I15:I18)*(1+H19),"-")</f>
        <v>-</v>
      </c>
      <c r="J19" s="1051" t="s">
        <v>289</v>
      </c>
      <c r="K19" s="904"/>
      <c r="L19" s="1052">
        <v>0.05</v>
      </c>
      <c r="M19" s="922" t="str">
        <f>IF(M7="SIM",SUM(M15:M18)*(1+L19),"-")</f>
        <v>-</v>
      </c>
      <c r="N19" s="1051" t="s">
        <v>289</v>
      </c>
      <c r="O19" s="904"/>
      <c r="P19" s="1050">
        <v>0.05</v>
      </c>
      <c r="Q19" s="922" t="str">
        <f>IF(Q7="SIM",SUM(Q15:Q18)*(1+P19),"-")</f>
        <v>-</v>
      </c>
      <c r="R19" s="1051" t="s">
        <v>289</v>
      </c>
      <c r="S19" s="904"/>
      <c r="T19" s="1050">
        <v>0.05</v>
      </c>
      <c r="U19" s="922" t="str">
        <f>IF(U7="SIM",SUM(U15:U18)*(1+T19),"-")</f>
        <v>-</v>
      </c>
      <c r="V19" s="1051" t="s">
        <v>289</v>
      </c>
      <c r="W19" s="880">
        <v>8.3105898071460498</v>
      </c>
      <c r="X19" s="880">
        <v>17.748288989292096</v>
      </c>
      <c r="Y19" s="880">
        <v>31.03820977382016</v>
      </c>
      <c r="Z19" s="880">
        <v>45.432697745848216</v>
      </c>
      <c r="AA19" s="880">
        <v>61.141157356985019</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ht="18" hidden="1" customHeight="1" outlineLevel="1" thickTop="1" x14ac:dyDescent="0.25">
      <c r="B20" s="1006" t="s">
        <v>378</v>
      </c>
      <c r="C20" s="751"/>
      <c r="D20" s="1007" t="s">
        <v>289</v>
      </c>
      <c r="E20" s="1008" t="str">
        <f>IF(E7="SIM",E19*1000000/$H$2,"-")</f>
        <v>-</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7">
        <v>354.01873512869224</v>
      </c>
      <c r="X20" s="37">
        <v>378.02532458556118</v>
      </c>
      <c r="Y20" s="37">
        <v>396.6544380040915</v>
      </c>
      <c r="Z20" s="37">
        <v>414.72111132677514</v>
      </c>
      <c r="AA20" s="37">
        <v>434.08702418874702</v>
      </c>
    </row>
    <row r="21" spans="1:61" ht="18" hidden="1" customHeight="1" outlineLevel="1" x14ac:dyDescent="0.25">
      <c r="B21" s="217" t="s">
        <v>639</v>
      </c>
      <c r="C21" s="751"/>
      <c r="D21" s="333"/>
      <c r="E21" s="336">
        <f>'R&amp;C-Painel de Controle'!$G$59</f>
        <v>0.25</v>
      </c>
      <c r="F21" s="334"/>
      <c r="G21" s="752"/>
      <c r="H21" s="334"/>
      <c r="I21" s="336">
        <f>'R&amp;C-Painel de Controle'!$G$59</f>
        <v>0.25</v>
      </c>
      <c r="J21" s="334"/>
      <c r="K21" s="752"/>
      <c r="L21" s="334"/>
      <c r="M21" s="336">
        <f>'R&amp;C-Painel de Controle'!$G$59</f>
        <v>0.25</v>
      </c>
      <c r="N21" s="334"/>
      <c r="O21" s="752"/>
      <c r="P21" s="334"/>
      <c r="Q21" s="336">
        <f>'R&amp;C-Painel de Controle'!$G$59</f>
        <v>0.25</v>
      </c>
      <c r="R21" s="334"/>
      <c r="S21" s="752"/>
      <c r="T21" s="334"/>
      <c r="U21" s="336">
        <f>'R&amp;C-Painel de Controle'!$G$59</f>
        <v>0.25</v>
      </c>
      <c r="V21" s="331"/>
      <c r="X21" s="49">
        <f>(X20-W20)/X20</f>
        <v>6.3505241304105689E-2</v>
      </c>
      <c r="Y21" s="49">
        <f>(Y20-X20)/Y20</f>
        <v>4.696559935713656E-2</v>
      </c>
      <c r="Z21" s="49">
        <f>(Z20-Y20)/Z20</f>
        <v>4.356342811892254E-2</v>
      </c>
      <c r="AA21" s="49">
        <f>(AA20-Z20)/AA20</f>
        <v>4.4612973396669219E-2</v>
      </c>
    </row>
    <row r="22" spans="1:61" ht="18" hidden="1" customHeight="1" outlineLevel="1" x14ac:dyDescent="0.25">
      <c r="B22" s="755"/>
      <c r="C22" s="751"/>
      <c r="D22" s="333"/>
      <c r="E22" s="331"/>
      <c r="F22" s="331"/>
      <c r="G22" s="751"/>
      <c r="H22" s="331"/>
      <c r="I22" s="337"/>
      <c r="J22" s="331"/>
      <c r="K22" s="751"/>
      <c r="L22" s="331"/>
      <c r="M22" s="331"/>
      <c r="N22" s="331"/>
      <c r="O22" s="751"/>
      <c r="P22" s="331"/>
      <c r="Q22" s="331"/>
      <c r="R22" s="331"/>
      <c r="S22" s="751"/>
      <c r="T22" s="331"/>
      <c r="U22" s="331"/>
      <c r="V22" s="331"/>
    </row>
    <row r="23" spans="1:61" ht="18" hidden="1" customHeight="1" outlineLevel="1" x14ac:dyDescent="0.25">
      <c r="B23" s="754" t="s">
        <v>435</v>
      </c>
      <c r="C23" s="751"/>
      <c r="D23" s="338"/>
      <c r="E23" s="337" t="str">
        <f>IF(E7="SIM",(E15*F15+E16*F16)/4,"-")</f>
        <v>-</v>
      </c>
      <c r="F23" s="331"/>
      <c r="G23" s="751"/>
      <c r="H23" s="331"/>
      <c r="I23" s="337" t="str">
        <f>IF(I7="SIM",(I15*J15+I16*J16)/4,"-")</f>
        <v>-</v>
      </c>
      <c r="J23" s="331"/>
      <c r="K23" s="751"/>
      <c r="L23" s="331"/>
      <c r="M23" s="337" t="str">
        <f>IF(M7="SIM",(M15*N15+M16*N16)/4,"-")</f>
        <v>-</v>
      </c>
      <c r="N23" s="331"/>
      <c r="O23" s="751"/>
      <c r="P23" s="331"/>
      <c r="Q23" s="337" t="str">
        <f>IF(Q7="SIM",(Q15*R15+Q16*R16)/4,"-")</f>
        <v>-</v>
      </c>
      <c r="R23" s="331"/>
      <c r="S23" s="751"/>
      <c r="T23" s="331"/>
      <c r="U23" s="337" t="str">
        <f>IF(U7="SIM",(U15*V15+U16*V16)/4,"-")</f>
        <v>-</v>
      </c>
      <c r="V23" s="331"/>
    </row>
    <row r="24" spans="1:61" ht="15" customHeight="1" thickTop="1" thickBot="1" x14ac:dyDescent="0.3">
      <c r="B24" s="934"/>
      <c r="C24" s="751"/>
      <c r="D24" s="935"/>
      <c r="E24" s="935"/>
      <c r="F24" s="935"/>
      <c r="G24" s="751"/>
      <c r="H24" s="935"/>
      <c r="I24" s="935"/>
      <c r="J24" s="935"/>
      <c r="K24" s="751"/>
      <c r="L24" s="935"/>
      <c r="M24" s="935"/>
      <c r="N24" s="935"/>
      <c r="O24" s="751"/>
      <c r="P24" s="935"/>
      <c r="Q24" s="935"/>
      <c r="R24" s="935"/>
      <c r="S24" s="751"/>
      <c r="T24" s="935"/>
      <c r="U24" s="935"/>
      <c r="V24" s="935"/>
    </row>
    <row r="25" spans="1:61" s="885" customFormat="1" ht="19.899999999999999" customHeight="1" thickTop="1" thickBot="1" x14ac:dyDescent="0.3">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row>
    <row r="26" spans="1:61" ht="7.5" customHeight="1" x14ac:dyDescent="0.25">
      <c r="B26" s="1084"/>
      <c r="C26" s="903"/>
      <c r="D26" s="1015"/>
      <c r="E26" s="339"/>
      <c r="F26" s="1016"/>
      <c r="G26" s="996"/>
      <c r="H26" s="1031"/>
      <c r="I26" s="339"/>
      <c r="J26" s="1023"/>
      <c r="K26" s="996"/>
      <c r="L26" s="1036"/>
      <c r="M26" s="339"/>
      <c r="N26" s="1023"/>
      <c r="O26" s="996"/>
      <c r="P26" s="1036"/>
      <c r="Q26" s="339"/>
      <c r="R26" s="1023"/>
      <c r="S26" s="996"/>
      <c r="T26" s="1036"/>
      <c r="U26" s="339"/>
      <c r="V26" s="1038"/>
    </row>
    <row r="27" spans="1:61" ht="17.649999999999999" customHeight="1" collapsed="1" x14ac:dyDescent="0.25">
      <c r="A27" s="42"/>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B28" s="1010"/>
      <c r="C28" s="925"/>
      <c r="D28" s="1015"/>
      <c r="E28" s="332"/>
      <c r="F28" s="1016"/>
      <c r="G28" s="997"/>
      <c r="H28" s="1031"/>
      <c r="I28" s="332"/>
      <c r="J28" s="1034"/>
      <c r="K28" s="997"/>
      <c r="L28" s="1031"/>
      <c r="M28" s="332"/>
      <c r="N28" s="1034"/>
      <c r="O28" s="997"/>
      <c r="P28" s="1031"/>
      <c r="Q28" s="332"/>
      <c r="R28" s="1034"/>
      <c r="S28" s="997"/>
      <c r="T28" s="1031"/>
      <c r="U28" s="341"/>
      <c r="V28" s="924"/>
    </row>
    <row r="29" spans="1:61" ht="18" hidden="1" customHeight="1" outlineLevel="1" x14ac:dyDescent="0.25">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row>
    <row r="30" spans="1:61" ht="18" hidden="1" customHeight="1" outlineLevel="1" x14ac:dyDescent="0.25">
      <c r="B30" s="1011" t="s">
        <v>642</v>
      </c>
      <c r="C30" s="903"/>
      <c r="D30" s="1015"/>
      <c r="E30" s="338">
        <v>2</v>
      </c>
      <c r="F30" s="1016"/>
      <c r="G30" s="998"/>
      <c r="H30" s="1031"/>
      <c r="I30" s="338">
        <v>4</v>
      </c>
      <c r="J30" s="1035"/>
      <c r="K30" s="998"/>
      <c r="L30" s="1037"/>
      <c r="M30" s="338">
        <v>4</v>
      </c>
      <c r="N30" s="1035"/>
      <c r="O30" s="998"/>
      <c r="P30" s="1037"/>
      <c r="Q30" s="338">
        <v>6</v>
      </c>
      <c r="R30" s="1035"/>
      <c r="S30" s="998"/>
      <c r="T30" s="1037"/>
      <c r="U30" s="338">
        <v>6</v>
      </c>
      <c r="V30" s="924"/>
    </row>
    <row r="31" spans="1:61" ht="18" hidden="1" customHeight="1" outlineLevel="1" x14ac:dyDescent="0.25">
      <c r="B31" s="1011" t="s">
        <v>632</v>
      </c>
      <c r="C31" s="903"/>
      <c r="D31" s="1015"/>
      <c r="E31" s="335">
        <f>0.6*E29*'R&amp;C-Painel de Controle'!$D$64+E30*E29*'R&amp;C-Painel de Controle'!$D$65</f>
        <v>18000</v>
      </c>
      <c r="F31" s="1016"/>
      <c r="G31" s="996"/>
      <c r="H31" s="1031"/>
      <c r="I31" s="335">
        <f>0.7*I29*'R&amp;C-Painel de Controle'!$D$64+I30*I29*'R&amp;C-Painel de Controle'!$D$65</f>
        <v>26000</v>
      </c>
      <c r="J31" s="1023"/>
      <c r="K31" s="996"/>
      <c r="L31" s="1036"/>
      <c r="M31" s="335">
        <f>0.8*M29*'R&amp;C-Painel de Controle'!$D$64+M30*M29*'R&amp;C-Painel de Controle'!$D$65</f>
        <v>28000</v>
      </c>
      <c r="N31" s="1023"/>
      <c r="O31" s="996"/>
      <c r="P31" s="1036"/>
      <c r="Q31" s="335">
        <f>0.9*Q29*'R&amp;C-Painel de Controle'!$D$64+Q30*Q29*'R&amp;C-Painel de Controle'!$D$65</f>
        <v>36000</v>
      </c>
      <c r="R31" s="1023"/>
      <c r="S31" s="996"/>
      <c r="T31" s="1036"/>
      <c r="U31" s="335">
        <f>1*U29*'R&amp;C-Painel de Controle'!$D$64+U30*U29*'R&amp;C-Painel de Controle'!$D$65</f>
        <v>38000</v>
      </c>
      <c r="V31" s="924"/>
    </row>
    <row r="32" spans="1:61" ht="17.649999999999999" customHeight="1" collapsed="1" x14ac:dyDescent="0.25">
      <c r="A32" s="42"/>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B33" s="1011" t="s">
        <v>633</v>
      </c>
      <c r="C33" s="903"/>
      <c r="D33" s="1018"/>
      <c r="E33" s="342">
        <f>IF('R-Definição'!$L$49&lt;=20,32.5,IF(AND('R-Definição'!$L$49&gt;20,'R-Definição'!$L$49&lt;=50),32.5*1.25,IF('R-Definição'!$L$49&gt;50,32.5*1.5,)))</f>
        <v>32.5</v>
      </c>
      <c r="F33" s="1019"/>
      <c r="G33" s="996"/>
      <c r="H33" s="1078"/>
      <c r="I33" s="342">
        <f>IF('R-Definição'!$L$49&lt;=20,32.5,IF(AND('R-Definição'!$L$49&gt;20,'R-Definição'!$L$49&lt;=50),32.5*1.25,IF('R-Definição'!$L$49&gt;50,32.5*1.5,)))</f>
        <v>32.5</v>
      </c>
      <c r="J33" s="1019"/>
      <c r="K33" s="996"/>
      <c r="L33" s="1078"/>
      <c r="M33" s="334">
        <f>IF('R-Definição'!$L$49&lt;=20,32.5,IF(AND('R-Definição'!$L$49&gt;20,'R-Definição'!$L$49&lt;=50),32.5*1.25,IF('R-Definição'!$L$49&gt;50,32.5*1.5,)))</f>
        <v>32.5</v>
      </c>
      <c r="N33" s="1019"/>
      <c r="O33" s="996"/>
      <c r="P33" s="1078"/>
      <c r="Q33" s="334">
        <f>IF('R-Definição'!$L$49&lt;=20,32.5,IF(AND('R-Definição'!$L$49&gt;20,'R-Definição'!$L$49&lt;=50),32.5*1.25,IF('R-Definição'!$L$49&gt;50,32.5*1.5,)))</f>
        <v>32.5</v>
      </c>
      <c r="R33" s="1019"/>
      <c r="S33" s="996"/>
      <c r="T33" s="1078"/>
      <c r="U33" s="334">
        <f>IF('R-Definição'!$L$49&lt;=20,32.5,IF(AND('R-Definição'!$L$49&gt;20,'R-Definição'!$L$49&lt;=50),32.5*1.25,IF('R-Definição'!$L$49&gt;50,32.5*1.5,)))</f>
        <v>32.5</v>
      </c>
      <c r="V33" s="1019"/>
    </row>
    <row r="34" spans="1:61" ht="18" hidden="1" customHeight="1" outlineLevel="1" x14ac:dyDescent="0.25">
      <c r="B34" s="1011" t="s">
        <v>634</v>
      </c>
      <c r="C34" s="925"/>
      <c r="D34" s="1015"/>
      <c r="E34" s="335">
        <f>E33*F11*(0.9)*0.92/16</f>
        <v>168.1875</v>
      </c>
      <c r="F34" s="1016"/>
      <c r="G34" s="999"/>
      <c r="H34" s="1082"/>
      <c r="I34" s="335">
        <f>I33*J11*(0.9)*0.92/16</f>
        <v>336.375</v>
      </c>
      <c r="J34" s="1022"/>
      <c r="K34" s="999"/>
      <c r="L34" s="1079"/>
      <c r="M34" s="335">
        <f>M33*N11*(0.9)*0.92/16</f>
        <v>504.5625</v>
      </c>
      <c r="N34" s="1022"/>
      <c r="O34" s="999"/>
      <c r="P34" s="1079"/>
      <c r="Q34" s="335">
        <f>Q33*R11*(0.9)*0.92/16</f>
        <v>672.75</v>
      </c>
      <c r="R34" s="1022"/>
      <c r="S34" s="999"/>
      <c r="T34" s="1079"/>
      <c r="U34" s="335">
        <f>U33*V11*(0.9)*0.92/16</f>
        <v>1345.5</v>
      </c>
      <c r="V34" s="924"/>
    </row>
    <row r="35" spans="1:61" ht="17.649999999999999" customHeight="1" collapsed="1" x14ac:dyDescent="0.25">
      <c r="A35" s="42"/>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B36" s="1011" t="s">
        <v>635</v>
      </c>
      <c r="C36" s="903"/>
      <c r="D36" s="915"/>
      <c r="E36" s="340">
        <v>0.05</v>
      </c>
      <c r="F36" s="1016"/>
      <c r="G36" s="1001"/>
      <c r="H36" s="1081"/>
      <c r="I36" s="340">
        <v>0.05</v>
      </c>
      <c r="J36" s="1016"/>
      <c r="K36" s="1001"/>
      <c r="L36" s="1081"/>
      <c r="M36" s="340">
        <v>0.05</v>
      </c>
      <c r="N36" s="1016"/>
      <c r="O36" s="1001"/>
      <c r="P36" s="1081"/>
      <c r="Q36" s="340">
        <v>0.05</v>
      </c>
      <c r="R36" s="1016"/>
      <c r="S36" s="1001"/>
      <c r="T36" s="1081"/>
      <c r="U36" s="340">
        <v>0.05</v>
      </c>
      <c r="V36" s="924"/>
    </row>
    <row r="37" spans="1:61" ht="18" hidden="1" customHeight="1" outlineLevel="1" x14ac:dyDescent="0.25">
      <c r="A37" s="42"/>
      <c r="B37" s="1011" t="s">
        <v>441</v>
      </c>
      <c r="C37" s="903"/>
      <c r="D37" s="915"/>
      <c r="E37" s="335">
        <v>25000</v>
      </c>
      <c r="F37" s="1022"/>
      <c r="G37" s="999"/>
      <c r="H37" s="1079"/>
      <c r="I37" s="335">
        <v>25000</v>
      </c>
      <c r="J37" s="1022"/>
      <c r="K37" s="999"/>
      <c r="L37" s="1079"/>
      <c r="M37" s="335">
        <v>50000</v>
      </c>
      <c r="N37" s="1022"/>
      <c r="O37" s="999"/>
      <c r="P37" s="1079"/>
      <c r="Q37" s="335">
        <v>50000</v>
      </c>
      <c r="R37" s="1022"/>
      <c r="S37" s="999"/>
      <c r="T37" s="1079"/>
      <c r="U37" s="335">
        <v>50000</v>
      </c>
      <c r="V37" s="924"/>
      <c r="W37" s="42"/>
      <c r="X37" s="42"/>
      <c r="Y37" s="42"/>
      <c r="Z37" s="42"/>
      <c r="AA37" s="42"/>
      <c r="AB37" s="42"/>
      <c r="AC37" s="42"/>
      <c r="AD37" s="42"/>
      <c r="AE37" s="42"/>
      <c r="AF37" s="42"/>
      <c r="AG37" s="42"/>
      <c r="AH37" s="42"/>
      <c r="AI37" s="42"/>
      <c r="AJ37" s="42"/>
      <c r="AK37" s="42"/>
      <c r="AL37" s="42"/>
      <c r="AM37" s="42"/>
      <c r="AN37" s="42"/>
      <c r="AO37" s="42"/>
      <c r="AP37" s="42"/>
      <c r="AQ37" s="42"/>
      <c r="AR37" s="42"/>
      <c r="AS37" s="42"/>
      <c r="AT37" s="42"/>
      <c r="AU37" s="42"/>
      <c r="AV37" s="42"/>
      <c r="AW37" s="42"/>
      <c r="AX37" s="42"/>
      <c r="AY37" s="42"/>
      <c r="AZ37" s="42"/>
      <c r="BA37" s="42"/>
      <c r="BB37" s="42"/>
      <c r="BC37" s="42"/>
      <c r="BD37" s="42"/>
      <c r="BE37" s="42"/>
      <c r="BF37" s="42"/>
      <c r="BG37" s="42"/>
      <c r="BH37" s="42"/>
      <c r="BI37" s="42"/>
    </row>
    <row r="38" spans="1:61" ht="17.649999999999999" customHeight="1" collapsed="1" x14ac:dyDescent="0.25">
      <c r="A38" s="39"/>
      <c r="B38" s="913" t="s">
        <v>638</v>
      </c>
      <c r="C38" s="869"/>
      <c r="D38" s="1074">
        <v>0.5</v>
      </c>
      <c r="E38" s="890" t="str">
        <f>(IF(E$7="SIM",D38*E39*E40*12/$H$2,"-"))</f>
        <v>-</v>
      </c>
      <c r="F38" s="1021"/>
      <c r="G38" s="1000"/>
      <c r="H38" s="1074">
        <f>D38</f>
        <v>0.5</v>
      </c>
      <c r="I38" s="890" t="str">
        <f>(IF(I$7="SIM",H38*I39*I40*12/$H$2,"-"))</f>
        <v>-</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c r="BG38" s="39"/>
      <c r="BH38" s="39"/>
      <c r="BI38" s="39"/>
    </row>
    <row r="39" spans="1:61" ht="18" hidden="1" customHeight="1" outlineLevel="1" x14ac:dyDescent="0.25">
      <c r="A39" s="4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ht="18" hidden="1" customHeight="1" outlineLevel="1" x14ac:dyDescent="0.25">
      <c r="B40" s="1011" t="s">
        <v>637</v>
      </c>
      <c r="C40" s="925"/>
      <c r="D40" s="915"/>
      <c r="E40" s="336">
        <v>0.05</v>
      </c>
      <c r="F40" s="1023"/>
      <c r="G40" s="996"/>
      <c r="H40" s="1082"/>
      <c r="I40" s="336">
        <v>0.05</v>
      </c>
      <c r="J40" s="1023"/>
      <c r="K40" s="996"/>
      <c r="L40" s="1082"/>
      <c r="M40" s="336">
        <v>0.05</v>
      </c>
      <c r="N40" s="1023"/>
      <c r="O40" s="996"/>
      <c r="P40" s="1082"/>
      <c r="Q40" s="336">
        <v>0.05</v>
      </c>
      <c r="R40" s="1023"/>
      <c r="S40" s="996"/>
      <c r="T40" s="1082"/>
      <c r="U40" s="336">
        <v>0.05</v>
      </c>
      <c r="V40" s="924"/>
    </row>
    <row r="41" spans="1:61" ht="17.649999999999999" customHeight="1" x14ac:dyDescent="0.25">
      <c r="A41" s="42"/>
      <c r="B41" s="913" t="s">
        <v>390</v>
      </c>
      <c r="C41" s="869"/>
      <c r="D41" s="1017"/>
      <c r="E41" s="893" t="str">
        <f>(IF(E$7="SIM",2.5+2.5+1*'R&amp;C-Painel de Controle'!$D$74,"-"))</f>
        <v>-</v>
      </c>
      <c r="F41" s="1021"/>
      <c r="G41" s="1000"/>
      <c r="H41" s="1080"/>
      <c r="I41" s="893" t="str">
        <f>(IF(I$7="SIM",2.5+2.5+1*'R&amp;C-Painel de Controle'!$D$74,"-"))</f>
        <v>-</v>
      </c>
      <c r="J41" s="1021"/>
      <c r="K41" s="1000"/>
      <c r="L41" s="1080"/>
      <c r="M41" s="893" t="str">
        <f>(IF(M$7="SIM",2.5+2.5+1*'R&amp;C-Painel de Controle'!$D$74,"-"))</f>
        <v>-</v>
      </c>
      <c r="N41" s="1021"/>
      <c r="O41" s="1000"/>
      <c r="P41" s="1080"/>
      <c r="Q41" s="893" t="str">
        <f>(IF(Q$7="SIM",2.5+2.5+1*'R&amp;C-Painel de Controle'!$D$74,"-"))</f>
        <v>-</v>
      </c>
      <c r="R41" s="1021"/>
      <c r="S41" s="1000"/>
      <c r="T41" s="1080"/>
      <c r="U41" s="894" t="str">
        <f>(IF(U$7="SIM",2.5+2.5+1*'R&amp;C-Painel de Controle'!$D$74,"-"))</f>
        <v>-</v>
      </c>
      <c r="V41" s="1039"/>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885" customFormat="1" ht="19.899999999999999" customHeight="1" x14ac:dyDescent="0.25">
      <c r="A42" s="881"/>
      <c r="B42" s="1012" t="s">
        <v>386</v>
      </c>
      <c r="C42" s="904"/>
      <c r="D42" s="1074">
        <v>0.1</v>
      </c>
      <c r="E42" s="887" t="str">
        <f>(IF(E$7="SIM",(E27+E32+E35+E38+E41)*(1+D42),"-"))</f>
        <v>-</v>
      </c>
      <c r="F42" s="1024"/>
      <c r="G42" s="1002"/>
      <c r="H42" s="1074">
        <v>0.1</v>
      </c>
      <c r="I42" s="887" t="str">
        <f>(IF(I$7="SIM",(I27+I32+I35+I38+I41)*(1+H42),"-"))</f>
        <v>-</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881"/>
      <c r="X42" s="881"/>
      <c r="Y42" s="881"/>
      <c r="Z42" s="881"/>
      <c r="AA42" s="881"/>
      <c r="AB42" s="881"/>
      <c r="AC42" s="881"/>
      <c r="AD42" s="881"/>
      <c r="AE42" s="881"/>
      <c r="AF42" s="881"/>
      <c r="AG42" s="881"/>
      <c r="AH42" s="881"/>
      <c r="AI42" s="881"/>
      <c r="AJ42" s="881"/>
      <c r="AK42" s="881"/>
      <c r="AL42" s="881"/>
      <c r="AM42" s="881"/>
      <c r="AN42" s="881"/>
      <c r="AO42" s="881"/>
      <c r="AP42" s="881"/>
      <c r="AQ42" s="881"/>
      <c r="AR42" s="881"/>
      <c r="AS42" s="881"/>
      <c r="AT42" s="881"/>
      <c r="AU42" s="881"/>
      <c r="AV42" s="881"/>
      <c r="AW42" s="881"/>
      <c r="AX42" s="881"/>
      <c r="AY42" s="881"/>
      <c r="AZ42" s="881"/>
      <c r="BA42" s="881"/>
      <c r="BB42" s="881"/>
      <c r="BC42" s="881"/>
      <c r="BD42" s="881"/>
      <c r="BE42" s="881"/>
      <c r="BF42" s="881"/>
      <c r="BG42" s="881"/>
      <c r="BH42" s="881"/>
      <c r="BI42" s="881"/>
    </row>
    <row r="43" spans="1:61" s="885" customFormat="1" ht="19.899999999999999" customHeight="1" x14ac:dyDescent="0.25">
      <c r="A43" s="881"/>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881"/>
      <c r="X43" s="881"/>
      <c r="Y43" s="881"/>
      <c r="Z43" s="881"/>
      <c r="AA43" s="881"/>
      <c r="AB43" s="881"/>
      <c r="AC43" s="881"/>
      <c r="AD43" s="881"/>
      <c r="AE43" s="881"/>
      <c r="AF43" s="881"/>
      <c r="AG43" s="881"/>
      <c r="AH43" s="881"/>
      <c r="AI43" s="881"/>
      <c r="AJ43" s="881"/>
      <c r="AK43" s="881"/>
      <c r="AL43" s="881"/>
      <c r="AM43" s="881"/>
      <c r="AN43" s="881"/>
      <c r="AO43" s="881"/>
      <c r="AP43" s="881"/>
      <c r="AQ43" s="881"/>
      <c r="AR43" s="881"/>
      <c r="AS43" s="881"/>
      <c r="AT43" s="881"/>
      <c r="AU43" s="881"/>
      <c r="AV43" s="881"/>
      <c r="AW43" s="881"/>
      <c r="AX43" s="881"/>
      <c r="AY43" s="881"/>
      <c r="AZ43" s="881"/>
      <c r="BA43" s="881"/>
      <c r="BB43" s="881"/>
      <c r="BC43" s="881"/>
      <c r="BD43" s="881"/>
      <c r="BE43" s="881"/>
      <c r="BF43" s="881"/>
      <c r="BG43" s="881"/>
      <c r="BH43" s="881"/>
      <c r="BI43" s="881"/>
    </row>
    <row r="44" spans="1:61" ht="17.649999999999999" customHeight="1" x14ac:dyDescent="0.25">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row>
    <row r="45" spans="1:61" ht="17.649999999999999" customHeight="1" thickBot="1" x14ac:dyDescent="0.3">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row>
    <row r="46" spans="1:61" ht="14.25" customHeight="1" thickTop="1" x14ac:dyDescent="0.25">
      <c r="B46" s="317"/>
      <c r="C46" s="316"/>
      <c r="D46" s="316"/>
      <c r="E46" s="316"/>
      <c r="F46" s="316"/>
      <c r="G46" s="316"/>
      <c r="H46" s="316"/>
      <c r="I46" s="316"/>
      <c r="J46" s="316"/>
      <c r="K46" s="316"/>
      <c r="L46" s="316"/>
      <c r="M46" s="316"/>
      <c r="N46" s="316"/>
      <c r="O46" s="316"/>
      <c r="P46" s="316"/>
      <c r="Q46" s="316"/>
      <c r="R46" s="316"/>
      <c r="S46" s="316"/>
      <c r="T46" s="316"/>
      <c r="U46" s="316"/>
      <c r="V46" s="316"/>
    </row>
    <row r="47" spans="1:61" ht="14.25" customHeight="1" x14ac:dyDescent="0.25">
      <c r="B47" s="42"/>
    </row>
    <row r="48" spans="1:61" ht="14.25" customHeight="1" x14ac:dyDescent="0.25">
      <c r="B48" s="42"/>
    </row>
    <row r="49" spans="2:2" ht="14.25" customHeight="1" x14ac:dyDescent="0.25">
      <c r="B49" s="42"/>
    </row>
    <row r="50" spans="2:2" ht="14.25" customHeight="1" x14ac:dyDescent="0.25">
      <c r="B50" s="42"/>
    </row>
    <row r="51" spans="2:2" ht="14.25" customHeight="1" x14ac:dyDescent="0.25">
      <c r="B51" s="42"/>
    </row>
    <row r="52" spans="2:2" ht="14.25" customHeight="1" x14ac:dyDescent="0.25">
      <c r="B52" s="42"/>
    </row>
    <row r="53" spans="2:2" ht="14.25" customHeight="1" x14ac:dyDescent="0.25">
      <c r="B53" s="42"/>
    </row>
    <row r="54" spans="2:2" ht="14.25" customHeight="1" x14ac:dyDescent="0.25">
      <c r="B54" s="42"/>
    </row>
    <row r="55" spans="2:2" ht="14.25" customHeight="1" x14ac:dyDescent="0.25">
      <c r="B55" s="42"/>
    </row>
    <row r="56" spans="2:2" ht="14.25" customHeight="1" x14ac:dyDescent="0.25">
      <c r="B56" s="42"/>
    </row>
    <row r="57" spans="2:2" ht="14.25" customHeight="1" x14ac:dyDescent="0.25">
      <c r="B57" s="42"/>
    </row>
    <row r="58" spans="2:2" ht="14.25" customHeight="1" x14ac:dyDescent="0.25">
      <c r="B58" s="42"/>
    </row>
    <row r="59" spans="2:2" ht="14.25" customHeight="1" x14ac:dyDescent="0.25">
      <c r="B59" s="42"/>
    </row>
    <row r="60" spans="2:2" ht="14.25" customHeight="1" x14ac:dyDescent="0.25">
      <c r="B60" s="42"/>
    </row>
    <row r="61" spans="2:2" ht="14.25" customHeight="1" x14ac:dyDescent="0.25">
      <c r="B61" s="42"/>
    </row>
    <row r="62" spans="2:2" ht="14.25" customHeight="1" x14ac:dyDescent="0.25">
      <c r="B62" s="42"/>
    </row>
    <row r="63" spans="2:2" ht="14.25" customHeight="1" x14ac:dyDescent="0.25">
      <c r="B63" s="42"/>
    </row>
    <row r="64" spans="2:2" ht="14.25" customHeight="1" x14ac:dyDescent="0.25">
      <c r="B64" s="42"/>
    </row>
    <row r="65" spans="2:2" ht="14.25" customHeight="1" x14ac:dyDescent="0.25">
      <c r="B65" s="42"/>
    </row>
    <row r="66" spans="2:2" ht="14.25" customHeight="1" x14ac:dyDescent="0.25">
      <c r="B66" s="42"/>
    </row>
    <row r="67" spans="2:2" ht="14.25" customHeight="1" x14ac:dyDescent="0.25">
      <c r="B67" s="42"/>
    </row>
    <row r="68" spans="2:2" ht="14.25" customHeight="1" x14ac:dyDescent="0.25">
      <c r="B68" s="42"/>
    </row>
    <row r="69" spans="2:2" ht="14.25" customHeight="1" x14ac:dyDescent="0.25">
      <c r="B69" s="42"/>
    </row>
    <row r="70" spans="2:2" ht="14.25" customHeight="1" x14ac:dyDescent="0.25">
      <c r="B70" s="42"/>
    </row>
    <row r="71" spans="2:2" ht="14.25" customHeight="1" x14ac:dyDescent="0.25">
      <c r="B71" s="42"/>
    </row>
    <row r="72" spans="2:2" ht="14.25" customHeight="1" x14ac:dyDescent="0.25">
      <c r="B72" s="42"/>
    </row>
    <row r="73" spans="2:2" ht="14.25" customHeight="1" x14ac:dyDescent="0.25">
      <c r="B73" s="42"/>
    </row>
    <row r="74" spans="2:2" ht="14.25" customHeight="1" x14ac:dyDescent="0.25">
      <c r="B74" s="42"/>
    </row>
    <row r="75" spans="2:2" ht="14.25" customHeight="1" x14ac:dyDescent="0.25">
      <c r="B75" s="42"/>
    </row>
    <row r="76" spans="2:2" ht="14.25" customHeight="1" x14ac:dyDescent="0.25">
      <c r="B76" s="42"/>
    </row>
    <row r="77" spans="2:2" ht="14.25" customHeight="1" x14ac:dyDescent="0.25">
      <c r="B77" s="42"/>
    </row>
    <row r="78" spans="2:2" ht="14.25" customHeight="1" x14ac:dyDescent="0.25">
      <c r="B78" s="42"/>
    </row>
    <row r="79" spans="2:2" ht="14.25" customHeight="1" x14ac:dyDescent="0.25">
      <c r="B79" s="42"/>
    </row>
    <row r="80" spans="2:2" ht="14.25" customHeight="1" x14ac:dyDescent="0.25">
      <c r="B80" s="42"/>
    </row>
    <row r="81" spans="2:2" ht="14.25" customHeight="1" x14ac:dyDescent="0.25">
      <c r="B81" s="42"/>
    </row>
    <row r="82" spans="2:2" ht="14.25" customHeight="1" x14ac:dyDescent="0.25">
      <c r="B82" s="42"/>
    </row>
    <row r="83" spans="2:2" ht="14.25" customHeight="1" x14ac:dyDescent="0.25">
      <c r="B83" s="42"/>
    </row>
    <row r="84" spans="2:2" ht="14.25" customHeight="1" x14ac:dyDescent="0.25">
      <c r="B84" s="42"/>
    </row>
    <row r="85" spans="2:2" ht="14.25" customHeight="1" x14ac:dyDescent="0.25">
      <c r="B85" s="42"/>
    </row>
    <row r="86" spans="2:2" ht="14.25" customHeight="1" x14ac:dyDescent="0.25">
      <c r="B86" s="42"/>
    </row>
    <row r="87" spans="2:2" ht="14.25" customHeight="1" x14ac:dyDescent="0.25">
      <c r="B87" s="42"/>
    </row>
    <row r="88" spans="2:2" ht="14.25" customHeight="1" x14ac:dyDescent="0.25">
      <c r="B88" s="42"/>
    </row>
    <row r="89" spans="2:2" ht="14.25" customHeight="1" x14ac:dyDescent="0.25">
      <c r="B89" s="42"/>
    </row>
    <row r="90" spans="2:2" ht="14.25" customHeight="1" x14ac:dyDescent="0.25">
      <c r="B90" s="42"/>
    </row>
    <row r="91" spans="2:2" ht="14.25" customHeight="1" x14ac:dyDescent="0.25">
      <c r="B91" s="42"/>
    </row>
    <row r="92" spans="2:2" ht="14.25" customHeight="1" x14ac:dyDescent="0.25">
      <c r="B92" s="42"/>
    </row>
    <row r="93" spans="2:2" ht="14.25" customHeight="1" x14ac:dyDescent="0.25">
      <c r="B93" s="42"/>
    </row>
    <row r="94" spans="2:2" ht="14.25" customHeight="1" x14ac:dyDescent="0.25">
      <c r="B94" s="42"/>
    </row>
    <row r="95" spans="2:2" ht="14.25" customHeight="1" x14ac:dyDescent="0.25">
      <c r="B95" s="42"/>
    </row>
    <row r="96" spans="2:2" ht="14.25" customHeight="1" x14ac:dyDescent="0.25">
      <c r="B96" s="42"/>
    </row>
    <row r="97" spans="2:2" ht="14.25" customHeight="1" x14ac:dyDescent="0.25">
      <c r="B97" s="42"/>
    </row>
    <row r="98" spans="2:2" ht="14.25" customHeight="1" x14ac:dyDescent="0.25">
      <c r="B98" s="42"/>
    </row>
    <row r="99" spans="2:2" ht="14.25" customHeight="1" x14ac:dyDescent="0.25">
      <c r="B99" s="42"/>
    </row>
    <row r="100" spans="2:2" ht="14.25" customHeight="1" x14ac:dyDescent="0.25">
      <c r="B100" s="42"/>
    </row>
    <row r="101" spans="2:2" ht="14.25" customHeight="1" x14ac:dyDescent="0.25">
      <c r="B101" s="42"/>
    </row>
    <row r="102" spans="2:2" ht="14.25" customHeight="1" x14ac:dyDescent="0.25">
      <c r="B102" s="42"/>
    </row>
    <row r="103" spans="2:2" ht="14.25" customHeight="1" x14ac:dyDescent="0.25">
      <c r="B103" s="42"/>
    </row>
    <row r="104" spans="2:2" ht="14.25" customHeight="1" x14ac:dyDescent="0.25">
      <c r="B104" s="42"/>
    </row>
  </sheetData>
  <sheetProtection algorithmName="SHA-512" hashValue="gZUarbbQSxOjuPjo/WUQ6Rja3noGowkROhyJfmhgFa0WyZiDAtxuKTfuOKhlSPruoMTp9uLs+SJ1Q7cosPIPuQ==" saltValue="CbPqNGtodhCpXZDRiB7/tA=="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06"/>
      <c r="B1" s="2939" t="s">
        <v>768</v>
      </c>
      <c r="C1" s="433"/>
      <c r="D1" s="433"/>
      <c r="E1" s="433"/>
      <c r="F1" s="433"/>
      <c r="G1" s="433"/>
      <c r="H1" s="433"/>
      <c r="I1" s="433"/>
      <c r="J1" s="433"/>
      <c r="K1" s="433"/>
      <c r="L1" s="433"/>
      <c r="M1" s="433"/>
      <c r="N1" s="433"/>
      <c r="O1" s="433"/>
      <c r="P1" s="433"/>
      <c r="Q1" s="433"/>
      <c r="R1" s="433"/>
      <c r="S1" s="433"/>
      <c r="T1" s="433"/>
      <c r="U1" s="433"/>
      <c r="V1" s="4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3"/>
      <c r="BC1" s="33"/>
      <c r="BD1" s="33"/>
      <c r="BE1" s="33"/>
      <c r="BF1" s="33"/>
      <c r="BG1" s="33"/>
      <c r="BH1" s="33"/>
      <c r="BI1" s="33"/>
    </row>
    <row r="2" spans="1:61" ht="19.899999999999999" customHeight="1" x14ac:dyDescent="0.3">
      <c r="A2" s="434"/>
      <c r="B2" s="2939"/>
      <c r="C2" s="436"/>
      <c r="D2" s="899">
        <f>'R-Resumo Bal. Massa'!B31*(1+'R&amp;C-Painel de Controle'!H62)</f>
        <v>476.66426282051282</v>
      </c>
      <c r="E2" s="900" t="s">
        <v>21</v>
      </c>
      <c r="H2" s="1105">
        <f>D2*313</f>
        <v>149195.9142628205</v>
      </c>
      <c r="I2" s="1104" t="s">
        <v>249</v>
      </c>
      <c r="L2" s="1086" t="str">
        <f>IF(D2&gt;0,"Sim","Não")</f>
        <v>Sim</v>
      </c>
      <c r="M2" s="431"/>
      <c r="N2" s="431"/>
      <c r="O2" s="431"/>
      <c r="P2" s="1106" t="s">
        <v>436</v>
      </c>
      <c r="Q2" s="2930" t="str">
        <f>'R-Definição'!D2</f>
        <v>CIRSOP - Consórcio RSU Oeste Paulista</v>
      </c>
      <c r="R2" s="2931"/>
      <c r="S2" s="429"/>
      <c r="T2" s="1106" t="s">
        <v>437</v>
      </c>
      <c r="U2" s="2930" t="str">
        <f>'R-Definição'!D3</f>
        <v>Biodigestão c/ Prod. E. Elétrica</v>
      </c>
      <c r="V2" s="2931"/>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A3" s="406"/>
      <c r="B3" s="2939"/>
      <c r="C3" s="427"/>
      <c r="D3" s="426"/>
      <c r="E3" s="426"/>
      <c r="F3" s="426"/>
      <c r="G3" s="426"/>
      <c r="H3" s="426"/>
      <c r="I3" s="426"/>
      <c r="J3" s="426"/>
      <c r="K3" s="426"/>
      <c r="L3" s="426"/>
      <c r="M3" s="426"/>
      <c r="N3" s="426"/>
      <c r="O3" s="431"/>
      <c r="P3" s="426"/>
      <c r="Q3" s="426"/>
      <c r="R3" s="426"/>
      <c r="S3" s="426"/>
      <c r="T3" s="426"/>
      <c r="U3" s="426"/>
      <c r="V3" s="426"/>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row>
    <row r="4" spans="1:61"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406"/>
      <c r="B5" s="865" t="s">
        <v>755</v>
      </c>
      <c r="C5" s="437"/>
      <c r="D5" s="1110">
        <v>4</v>
      </c>
      <c r="E5" s="870" t="s">
        <v>766</v>
      </c>
      <c r="F5" s="868"/>
      <c r="G5" s="868"/>
      <c r="H5" s="868"/>
      <c r="I5" s="868"/>
      <c r="J5" s="868"/>
      <c r="K5" s="868"/>
      <c r="L5" s="868"/>
      <c r="M5" s="868"/>
      <c r="N5" s="868"/>
      <c r="O5" s="868"/>
      <c r="P5" s="868"/>
      <c r="Q5" s="868"/>
      <c r="R5" s="868"/>
      <c r="S5" s="868"/>
      <c r="T5" s="868"/>
      <c r="U5" s="868"/>
      <c r="V5" s="317"/>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c r="BE5" s="33"/>
      <c r="BF5" s="33"/>
      <c r="BG5" s="33"/>
      <c r="BH5" s="33"/>
      <c r="BI5" s="33"/>
    </row>
    <row r="6" spans="1:61"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406"/>
      <c r="B7" s="849"/>
      <c r="C7" s="849"/>
      <c r="D7" s="849"/>
      <c r="E7" s="1054" t="str">
        <f>IF(AND(L2="Sim",$D$2&gt;D11,$D$2&lt;=F11),"SIM","NÃO")</f>
        <v>NÃO</v>
      </c>
      <c r="F7" s="853"/>
      <c r="G7" s="849"/>
      <c r="H7" s="853"/>
      <c r="I7" s="1090" t="str">
        <f>IF(AND(L2="Sim",$D$2&gt;H11,$D$2&lt;=J11),"SIM","NÃO")</f>
        <v>SIM</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row>
    <row r="8" spans="1:61"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2" customFormat="1" ht="17.649999999999999" customHeight="1" thickTop="1" thickBot="1" x14ac:dyDescent="0.35">
      <c r="A9" s="883"/>
      <c r="B9" s="2933" t="s">
        <v>640</v>
      </c>
      <c r="C9" s="901"/>
      <c r="D9" s="2936" t="s">
        <v>647</v>
      </c>
      <c r="E9" s="2937"/>
      <c r="F9" s="2937"/>
      <c r="G9" s="2937"/>
      <c r="H9" s="2937"/>
      <c r="I9" s="2937"/>
      <c r="J9" s="2937"/>
      <c r="K9" s="2937"/>
      <c r="L9" s="2937"/>
      <c r="M9" s="2937"/>
      <c r="N9" s="2937"/>
      <c r="O9" s="2937"/>
      <c r="P9" s="2937"/>
      <c r="Q9" s="2937"/>
      <c r="R9" s="2937"/>
      <c r="S9" s="2937"/>
      <c r="T9" s="2937"/>
      <c r="U9" s="2937"/>
      <c r="V9" s="2938"/>
      <c r="W9" s="885"/>
      <c r="X9" s="885"/>
      <c r="Y9" s="885"/>
      <c r="Z9" s="885"/>
      <c r="AA9" s="885"/>
      <c r="AB9" s="885"/>
      <c r="AC9" s="885"/>
      <c r="AD9" s="885"/>
      <c r="AE9" s="885"/>
      <c r="AF9" s="885"/>
      <c r="AG9" s="885"/>
      <c r="AH9" s="885"/>
      <c r="AI9" s="885"/>
      <c r="AJ9" s="885"/>
      <c r="AK9" s="885"/>
      <c r="AL9" s="885"/>
      <c r="AM9" s="885"/>
      <c r="AN9" s="885"/>
      <c r="AO9" s="885"/>
      <c r="AP9" s="885"/>
      <c r="AQ9" s="885"/>
      <c r="AR9" s="885"/>
      <c r="AS9" s="885"/>
      <c r="AT9" s="885"/>
      <c r="AU9" s="885"/>
      <c r="AV9" s="885"/>
      <c r="AW9" s="885"/>
      <c r="AX9" s="885"/>
      <c r="AY9" s="885"/>
      <c r="AZ9" s="885"/>
      <c r="BA9" s="885"/>
      <c r="BB9" s="885"/>
      <c r="BC9" s="885"/>
      <c r="BD9" s="885"/>
      <c r="BE9" s="885"/>
      <c r="BF9" s="885"/>
      <c r="BG9" s="885"/>
      <c r="BH9" s="885"/>
      <c r="BI9" s="885"/>
    </row>
    <row r="10" spans="1:61" s="882" customFormat="1" ht="7.5" customHeight="1" x14ac:dyDescent="0.3">
      <c r="A10" s="883"/>
      <c r="B10" s="2934"/>
      <c r="C10" s="901"/>
      <c r="D10" s="1072"/>
      <c r="E10" s="898"/>
      <c r="F10" s="898"/>
      <c r="G10" s="850"/>
      <c r="H10" s="898"/>
      <c r="I10" s="898"/>
      <c r="J10" s="898"/>
      <c r="K10" s="850"/>
      <c r="L10" s="898"/>
      <c r="M10" s="898"/>
      <c r="N10" s="898"/>
      <c r="O10" s="850"/>
      <c r="P10" s="898"/>
      <c r="Q10" s="898"/>
      <c r="R10" s="898"/>
      <c r="S10" s="850"/>
      <c r="T10" s="898"/>
      <c r="U10" s="898"/>
      <c r="V10" s="1073"/>
      <c r="W10" s="885"/>
      <c r="X10" s="885"/>
      <c r="Y10" s="885"/>
      <c r="Z10" s="885"/>
      <c r="AA10" s="885"/>
      <c r="AB10" s="885"/>
      <c r="AC10" s="885"/>
      <c r="AD10" s="885"/>
      <c r="AE10" s="885"/>
      <c r="AF10" s="885"/>
      <c r="AG10" s="885"/>
      <c r="AH10" s="885"/>
      <c r="AI10" s="885"/>
      <c r="AJ10" s="885"/>
      <c r="AK10" s="885"/>
      <c r="AL10" s="885"/>
      <c r="AM10" s="885"/>
      <c r="AN10" s="885"/>
      <c r="AO10" s="885"/>
      <c r="AP10" s="885"/>
      <c r="AQ10" s="885"/>
      <c r="AR10" s="885"/>
      <c r="AS10" s="885"/>
      <c r="AT10" s="885"/>
      <c r="AU10" s="885"/>
      <c r="AV10" s="885"/>
      <c r="AW10" s="885"/>
      <c r="AX10" s="885"/>
      <c r="AY10" s="885"/>
      <c r="AZ10" s="885"/>
      <c r="BA10" s="885"/>
      <c r="BB10" s="885"/>
      <c r="BC10" s="885"/>
      <c r="BD10" s="885"/>
      <c r="BE10" s="885"/>
      <c r="BF10" s="885"/>
      <c r="BG10" s="885"/>
      <c r="BH10" s="885"/>
      <c r="BI10" s="885"/>
    </row>
    <row r="11" spans="1:61" s="882" customFormat="1" ht="17.649999999999999" customHeight="1" thickBot="1" x14ac:dyDescent="0.35">
      <c r="A11" s="883"/>
      <c r="B11" s="2935"/>
      <c r="C11" s="901"/>
      <c r="D11" s="1064">
        <v>5</v>
      </c>
      <c r="E11" s="1066" t="s">
        <v>21</v>
      </c>
      <c r="F11" s="1066">
        <v>350</v>
      </c>
      <c r="G11" s="1067"/>
      <c r="H11" s="1066">
        <f>F11</f>
        <v>350</v>
      </c>
      <c r="I11" s="1066" t="s">
        <v>21</v>
      </c>
      <c r="J11" s="1066">
        <v>500</v>
      </c>
      <c r="K11" s="1067"/>
      <c r="L11" s="1066">
        <f>J11</f>
        <v>500</v>
      </c>
      <c r="M11" s="1066" t="s">
        <v>21</v>
      </c>
      <c r="N11" s="1066">
        <v>1000</v>
      </c>
      <c r="O11" s="1067"/>
      <c r="P11" s="1066">
        <f>N11</f>
        <v>1000</v>
      </c>
      <c r="Q11" s="1066" t="s">
        <v>21</v>
      </c>
      <c r="R11" s="1066">
        <v>1500</v>
      </c>
      <c r="S11" s="1067"/>
      <c r="T11" s="1066">
        <f>R11</f>
        <v>1500</v>
      </c>
      <c r="U11" s="1066" t="s">
        <v>21</v>
      </c>
      <c r="V11" s="1068">
        <v>2000</v>
      </c>
      <c r="W11" s="885"/>
      <c r="X11" s="885"/>
      <c r="Y11" s="885"/>
      <c r="Z11" s="885"/>
      <c r="AA11" s="885"/>
      <c r="AB11" s="885"/>
      <c r="AC11" s="885"/>
      <c r="AD11" s="885"/>
      <c r="AE11" s="885"/>
      <c r="AF11" s="885"/>
      <c r="AG11" s="885"/>
      <c r="AH11" s="885"/>
      <c r="AI11" s="885"/>
      <c r="AJ11" s="885"/>
      <c r="AK11" s="885"/>
      <c r="AL11" s="885"/>
      <c r="AM11" s="885"/>
      <c r="AN11" s="885"/>
      <c r="AO11" s="885"/>
      <c r="AP11" s="885"/>
      <c r="AQ11" s="885"/>
      <c r="AR11" s="885"/>
      <c r="AS11" s="885"/>
      <c r="AT11" s="885"/>
      <c r="AU11" s="885"/>
      <c r="AV11" s="885"/>
      <c r="AW11" s="885"/>
      <c r="AX11" s="885"/>
      <c r="AY11" s="885"/>
      <c r="AZ11" s="885"/>
      <c r="BA11" s="885"/>
      <c r="BB11" s="885"/>
      <c r="BC11" s="885"/>
      <c r="BD11" s="885"/>
      <c r="BE11" s="885"/>
      <c r="BF11" s="885"/>
      <c r="BG11" s="885"/>
      <c r="BH11" s="885"/>
      <c r="BI11" s="885"/>
    </row>
    <row r="12" spans="1:61"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2" customFormat="1" ht="19.899999999999999" customHeight="1" thickTop="1" thickBot="1" x14ac:dyDescent="0.35">
      <c r="A13" s="883"/>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885"/>
      <c r="X13" s="885"/>
      <c r="Y13" s="885"/>
      <c r="Z13" s="885"/>
      <c r="AA13" s="885"/>
      <c r="AB13" s="885"/>
      <c r="AC13" s="885"/>
      <c r="AD13" s="885"/>
      <c r="AE13" s="885"/>
      <c r="AF13" s="885"/>
      <c r="AG13" s="885"/>
      <c r="AH13" s="885"/>
      <c r="AI13" s="885"/>
      <c r="AJ13" s="885"/>
      <c r="AK13" s="885"/>
      <c r="AL13" s="885"/>
      <c r="AM13" s="885"/>
      <c r="AN13" s="885"/>
      <c r="AO13" s="885"/>
      <c r="AP13" s="885"/>
      <c r="AQ13" s="885"/>
      <c r="AR13" s="885"/>
      <c r="AS13" s="885"/>
      <c r="AT13" s="885"/>
      <c r="AU13" s="885"/>
      <c r="AV13" s="885"/>
      <c r="AW13" s="885"/>
      <c r="AX13" s="885"/>
      <c r="AY13" s="885"/>
      <c r="AZ13" s="885"/>
      <c r="BA13" s="885"/>
      <c r="BB13" s="885"/>
      <c r="BC13" s="885"/>
      <c r="BD13" s="885"/>
      <c r="BE13" s="885"/>
      <c r="BF13" s="885"/>
      <c r="BG13" s="885"/>
      <c r="BH13" s="885"/>
      <c r="BI13" s="885"/>
    </row>
    <row r="14" spans="1:61" ht="7.5" customHeight="1" x14ac:dyDescent="0.25">
      <c r="A14" s="406"/>
      <c r="B14" s="1009"/>
      <c r="C14" s="903"/>
      <c r="D14" s="1015"/>
      <c r="E14" s="331"/>
      <c r="F14" s="924"/>
      <c r="G14" s="903"/>
      <c r="H14" s="1015"/>
      <c r="I14" s="331"/>
      <c r="J14" s="924"/>
      <c r="K14" s="903"/>
      <c r="L14" s="1015"/>
      <c r="M14" s="331"/>
      <c r="N14" s="924"/>
      <c r="O14" s="903"/>
      <c r="P14" s="1015"/>
      <c r="Q14" s="331"/>
      <c r="R14" s="924"/>
      <c r="S14" s="903"/>
      <c r="T14" s="1015"/>
      <c r="U14" s="331"/>
      <c r="V14" s="924"/>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3"/>
      <c r="AV14" s="33"/>
      <c r="AW14" s="33"/>
      <c r="AX14" s="33"/>
      <c r="AY14" s="33"/>
      <c r="AZ14" s="33"/>
      <c r="BA14" s="33"/>
      <c r="BB14" s="33"/>
      <c r="BC14" s="33"/>
      <c r="BD14" s="33"/>
      <c r="BE14" s="33"/>
      <c r="BF14" s="33"/>
      <c r="BG14" s="33"/>
      <c r="BH14" s="33"/>
      <c r="BI14" s="33"/>
    </row>
    <row r="15" spans="1:61" ht="17.649999999999999" customHeight="1" x14ac:dyDescent="0.25">
      <c r="A15" s="407"/>
      <c r="B15" s="913" t="s">
        <v>376</v>
      </c>
      <c r="C15" s="869"/>
      <c r="D15" s="1075">
        <v>101</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v>85</v>
      </c>
      <c r="I15" s="846">
        <f>IF(I7="SIM",((((L15*(($D$2-H11)/(J11-H11))*$H$2/1000)*I21*$D$5*(1+'R&amp;C-Painel de Controle'!$D$61)+(L15*(($D$2-H11)/(J11-H11))*$H$2/1000)*(1-I21)*'R&amp;C-Painel de Controle'!$D$52*(1+'R&amp;C-Painel de Controle'!$D$54)))+(((H15*((J11-$D$2)/(J11-H11))*$H$2/1000)*I21*$D$5*(1+'R&amp;C-Painel de Controle'!$D$61)+(H15*((J11-$D$2)/(J11-H11))*$H$2/1000)*(1-I21)*'R&amp;C-Painel de Controle'!$D$52*(1+'R&amp;C-Painel de Controle'!$D$54))))/1000, "-")</f>
        <v>81.539755150455491</v>
      </c>
      <c r="J15" s="917">
        <v>0.1</v>
      </c>
      <c r="K15" s="869"/>
      <c r="L15" s="1075">
        <v>73</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L15</f>
        <v>73</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P15</f>
        <v>73</v>
      </c>
      <c r="U15" s="846"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917">
        <v>0.1</v>
      </c>
      <c r="W15" s="35">
        <v>58.29077250000001</v>
      </c>
      <c r="X15" s="35">
        <v>70.147408124999998</v>
      </c>
      <c r="Y15" s="35">
        <v>114.38780625000001</v>
      </c>
      <c r="Z15" s="35">
        <v>190.64634375</v>
      </c>
      <c r="AA15" s="35">
        <v>266.90488125000002</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07"/>
      <c r="B16" s="913" t="s">
        <v>641</v>
      </c>
      <c r="C16" s="869"/>
      <c r="D16" s="918">
        <v>70</v>
      </c>
      <c r="E16" s="84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9">
        <v>0.05</v>
      </c>
      <c r="G16" s="869"/>
      <c r="H16" s="918">
        <v>53</v>
      </c>
      <c r="I16" s="846">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51.607689883788517</v>
      </c>
      <c r="J16" s="919">
        <v>0.05</v>
      </c>
      <c r="K16" s="869"/>
      <c r="L16" s="918">
        <v>38</v>
      </c>
      <c r="M16" s="84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9">
        <v>0.05</v>
      </c>
      <c r="O16" s="869"/>
      <c r="P16" s="918">
        <f>L16</f>
        <v>38</v>
      </c>
      <c r="Q16" s="84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9">
        <v>0.05</v>
      </c>
      <c r="S16" s="993"/>
      <c r="T16" s="918">
        <f>P16</f>
        <v>38</v>
      </c>
      <c r="U16" s="846"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9">
        <v>0.05</v>
      </c>
      <c r="W16" s="35">
        <v>40.786862102191982</v>
      </c>
      <c r="X16" s="35">
        <v>43.828243683249724</v>
      </c>
      <c r="Y16" s="35">
        <v>64.175298458218904</v>
      </c>
      <c r="Z16" s="35">
        <v>104.79544085006964</v>
      </c>
      <c r="AA16" s="50">
        <v>145.27056424149947</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07"/>
      <c r="B17" s="913" t="s">
        <v>753</v>
      </c>
      <c r="C17" s="869"/>
      <c r="D17" s="920">
        <f>2*(20*(20+(SQRT(F17))+20))+2*(20*(F17/(SQRT(F17))))+F17</f>
        <v>11266.502622129181</v>
      </c>
      <c r="E17" s="846" t="str">
        <f>(IF(E$7="SIM",('R&amp;C-Painel de Controle'!$D$55+0.25)*D17/1000000,"-"))</f>
        <v>-</v>
      </c>
      <c r="F17" s="921">
        <f>(25+75+50+25)*25</f>
        <v>4375</v>
      </c>
      <c r="G17" s="869"/>
      <c r="H17" s="920">
        <f>2*(20*(20+(SQRT(J17))+20))+2*(20*(J17/(SQRT(J17))))+J17</f>
        <v>23044.271909999159</v>
      </c>
      <c r="I17" s="846">
        <f>(IF(I$7="SIM",('R&amp;C-Painel de Controle'!$D$55+0.25)*H17/1000000,"-"))</f>
        <v>5.7610679774997894E-3</v>
      </c>
      <c r="J17" s="921">
        <f>(25+125+75+25)*50</f>
        <v>12500</v>
      </c>
      <c r="K17" s="869"/>
      <c r="L17" s="920">
        <f>2*(20*(20+(SQRT(N17))+20))+2*(20*(N17/(SQRT(N17))))+N17</f>
        <v>39249.11064067352</v>
      </c>
      <c r="M17" s="846" t="str">
        <f>(IF(M$7="SIM",('R&amp;C-Painel de Controle'!$D$55+0.25)*L17/1000000,"-"))</f>
        <v>-</v>
      </c>
      <c r="N17" s="921">
        <f>2*(25+125+75+25)*50</f>
        <v>25000</v>
      </c>
      <c r="O17" s="869"/>
      <c r="P17" s="920">
        <f>2*(20*(20+(SQRT(R17))+20))+2*(20*(R17/(SQRT(R17))))+R17</f>
        <v>54591.933384829666</v>
      </c>
      <c r="Q17" s="846" t="str">
        <f>(IF(Q$7="SIM",('R&amp;C-Painel de Controle'!$D$55+0.25)*P17/1000000,"-"))</f>
        <v>-</v>
      </c>
      <c r="R17" s="921">
        <f>3*(25+125+75+25)*50</f>
        <v>37500</v>
      </c>
      <c r="S17" s="869"/>
      <c r="T17" s="920">
        <f>2*(20*(20+(SQRT(V17))+20))+2*(20*(V17/(SQRT(V17))))+V17</f>
        <v>69488.543819998318</v>
      </c>
      <c r="U17" s="846" t="str">
        <f>(IF(U$7="SIM",('R&amp;C-Painel de Controle'!$D$55+0.25)*T17/1000000,"-"))</f>
        <v>-</v>
      </c>
      <c r="V17" s="921">
        <f>4*(25+125+75+25)*50</f>
        <v>50000</v>
      </c>
      <c r="W17" s="50">
        <v>1.1266502622129182</v>
      </c>
      <c r="X17" s="50">
        <v>2.3044271909999159</v>
      </c>
      <c r="Y17" s="50">
        <v>3.9249110640673521</v>
      </c>
      <c r="Z17" s="50">
        <v>5.459193338482967</v>
      </c>
      <c r="AA17" s="50">
        <v>6.9488543819998316</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07"/>
      <c r="B18" s="913" t="s">
        <v>438</v>
      </c>
      <c r="C18" s="869"/>
      <c r="D18" s="1076" t="str">
        <f>IF(E7="SIM",(E15+E16)*F18*1000/$H$2,"-")</f>
        <v>-</v>
      </c>
      <c r="E18" s="846" t="str">
        <f>(IF(E$7="SIM",$H$2*D18/1000,""))</f>
        <v/>
      </c>
      <c r="F18" s="917">
        <v>0.05</v>
      </c>
      <c r="G18" s="869"/>
      <c r="H18" s="1076">
        <f>IF(I7="SIM",(I15+I16)*J18*1000/$H$2,"-")</f>
        <v>4.4621679384495128E-2</v>
      </c>
      <c r="I18" s="846">
        <f>(IF(I$7="SIM",$H$2*H18/1000,""))</f>
        <v>6.6573722517122009</v>
      </c>
      <c r="J18" s="917">
        <v>0.05</v>
      </c>
      <c r="K18" s="869"/>
      <c r="L18" s="1076" t="str">
        <f>IF(M7="SIM",(M15+M16)*N18*1000/$H$2,"-")</f>
        <v>-</v>
      </c>
      <c r="M18" s="846" t="str">
        <f>(IF(M$7="SIM",$H$2*L18/1000,""))</f>
        <v/>
      </c>
      <c r="N18" s="917">
        <v>0.05</v>
      </c>
      <c r="O18" s="869"/>
      <c r="P18" s="1076" t="str">
        <f>IF(Q7="SIM",(Q15+Q16)*R18*1000/$H$2,"-")</f>
        <v>-</v>
      </c>
      <c r="Q18" s="846" t="str">
        <f>(IF(Q$7="SIM",$H$2*P18/1000,""))</f>
        <v/>
      </c>
      <c r="R18" s="917">
        <v>0.05</v>
      </c>
      <c r="S18" s="869"/>
      <c r="T18" s="1076" t="str">
        <f>IF(U7="SIM",(U15+U16)*V18*1000/$H$2,"-")</f>
        <v>-</v>
      </c>
      <c r="U18" s="846" t="str">
        <f>(IF(U$7="SIM",$H$2*T18/1000,""))</f>
        <v/>
      </c>
      <c r="V18" s="917">
        <v>0.05</v>
      </c>
      <c r="W18" s="50">
        <v>4.9538817301096003</v>
      </c>
      <c r="X18" s="50">
        <v>5.6987825904124865</v>
      </c>
      <c r="Y18" s="50">
        <v>8.9281552354109461</v>
      </c>
      <c r="Z18" s="50">
        <v>14.772089230003482</v>
      </c>
      <c r="AA18" s="50">
        <v>20.608772274574974</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2" customFormat="1" ht="19.899999999999999" customHeight="1" collapsed="1" thickBot="1" x14ac:dyDescent="0.35">
      <c r="A19" s="879"/>
      <c r="B19" s="914" t="s">
        <v>377</v>
      </c>
      <c r="C19" s="904"/>
      <c r="D19" s="1052">
        <v>0.05</v>
      </c>
      <c r="E19" s="922" t="str">
        <f>IF(E7="SIM",SUM(E15:E18)*(1+D19),"-")</f>
        <v>-</v>
      </c>
      <c r="F19" s="1103" t="str">
        <f>IF(E7="SIM",(E16)/E19,"-")</f>
        <v>-</v>
      </c>
      <c r="G19" s="904"/>
      <c r="H19" s="1052">
        <v>0.05</v>
      </c>
      <c r="I19" s="922">
        <f>IF(I7="SIM",SUM(I15:I18)*(1+H19),"-")</f>
        <v>146.80110727163037</v>
      </c>
      <c r="J19" s="1103">
        <f>IF(I7="SIM",(I16)/I19,"-")</f>
        <v>0.35154836937501638</v>
      </c>
      <c r="K19" s="904"/>
      <c r="L19" s="1052">
        <v>0.05</v>
      </c>
      <c r="M19" s="922" t="str">
        <f>IF(M7="SIM",SUM(M15:M18)*(1+L19),"-")</f>
        <v>-</v>
      </c>
      <c r="N19" s="1103" t="str">
        <f>IF(M7="SIM",(M16)/M19,"-")</f>
        <v>-</v>
      </c>
      <c r="O19" s="904"/>
      <c r="P19" s="1050">
        <v>0.05</v>
      </c>
      <c r="Q19" s="922" t="str">
        <f>IF(Q7="SIM",SUM(Q15:Q18)*(1+P19),"-")</f>
        <v>-</v>
      </c>
      <c r="R19" s="1103" t="str">
        <f>IF(Q7="SIM",(Q16)/Q19,"-")</f>
        <v>-</v>
      </c>
      <c r="S19" s="904"/>
      <c r="T19" s="1050">
        <v>0.05</v>
      </c>
      <c r="U19" s="922" t="str">
        <f>IF(U7="SIM",SUM(U15:U18)*(1+T19),"-")</f>
        <v>-</v>
      </c>
      <c r="V19" s="1103" t="str">
        <f>IF(U7="SIM",(U16)/U19,"-")</f>
        <v>-</v>
      </c>
      <c r="W19" s="1099">
        <v>110.41607492424025</v>
      </c>
      <c r="X19" s="1099">
        <v>128.07780466914525</v>
      </c>
      <c r="Y19" s="1099">
        <v>200.98697955808208</v>
      </c>
      <c r="Z19" s="1099">
        <v>331.45672052698393</v>
      </c>
      <c r="AA19" s="1099">
        <v>461.71972575547801</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ht="18" hidden="1" customHeight="1" outlineLevel="1" x14ac:dyDescent="0.25">
      <c r="A20" s="406"/>
      <c r="B20" s="1006" t="s">
        <v>378</v>
      </c>
      <c r="C20" s="751"/>
      <c r="D20" s="1007" t="s">
        <v>289</v>
      </c>
      <c r="E20" s="1008" t="str">
        <f>IF(E7="SIM",E19*1000000/$H$2,"-")</f>
        <v>-</v>
      </c>
      <c r="F20" s="1007" t="str">
        <f>IF(E7="SIM",E16/E19,"-")</f>
        <v>-</v>
      </c>
      <c r="G20" s="751"/>
      <c r="H20" s="1007" t="s">
        <v>289</v>
      </c>
      <c r="I20" s="1008">
        <f>IF(I7="SIM",I19*1000000/$H$2,"-")</f>
        <v>983.94857524736585</v>
      </c>
      <c r="J20" s="1007">
        <f>IF(I7="SIM",I16/I19,"-")</f>
        <v>0.35154836937501638</v>
      </c>
      <c r="K20" s="751"/>
      <c r="L20" s="1007" t="s">
        <v>289</v>
      </c>
      <c r="M20" s="1008" t="str">
        <f>IF(M7="SIM",M19*1000000/$H$2,"-")</f>
        <v>-</v>
      </c>
      <c r="N20" s="1007" t="str">
        <f>IF(M7="SIM",M16/M19,"-")</f>
        <v>-</v>
      </c>
      <c r="O20" s="751"/>
      <c r="P20" s="1007" t="s">
        <v>289</v>
      </c>
      <c r="Q20" s="1008" t="str">
        <f>IF(Q7="SIM",Q19*1000000/$H$2,"-")</f>
        <v>-</v>
      </c>
      <c r="R20" s="1007" t="str">
        <f>IF(Q7="SIM",Q16/Q19,"-")</f>
        <v>-</v>
      </c>
      <c r="S20" s="751"/>
      <c r="T20" s="1007" t="s">
        <v>289</v>
      </c>
      <c r="U20" s="1008" t="str">
        <f>IF(U7="SIM",U19*1000000/$H$2,"-")</f>
        <v>-</v>
      </c>
      <c r="V20" s="1007" t="str">
        <f>IF(U7="SIM",U16/U19,"-")</f>
        <v>-</v>
      </c>
      <c r="W20" s="36">
        <v>1175.8900417916959</v>
      </c>
      <c r="X20" s="36">
        <v>962.81003322041158</v>
      </c>
      <c r="Y20" s="36">
        <v>856.17456680759142</v>
      </c>
      <c r="Z20" s="36">
        <v>847.1737265865404</v>
      </c>
      <c r="AA20" s="36">
        <v>842.93879644998265</v>
      </c>
      <c r="AB20" s="33"/>
      <c r="AC20" s="33"/>
      <c r="AD20" s="33"/>
      <c r="AE20" s="33"/>
      <c r="AF20" s="33"/>
      <c r="AG20" s="33"/>
      <c r="AH20" s="33"/>
      <c r="AI20" s="33"/>
      <c r="AJ20" s="33"/>
      <c r="AK20" s="33"/>
      <c r="AL20" s="33"/>
      <c r="AM20" s="33"/>
      <c r="AN20" s="33"/>
      <c r="AO20" s="33"/>
      <c r="AP20" s="33"/>
      <c r="AQ20" s="33"/>
      <c r="AR20" s="33"/>
      <c r="AS20" s="33"/>
      <c r="AT20" s="33"/>
      <c r="AU20" s="33"/>
      <c r="AV20" s="33"/>
      <c r="AW20" s="33"/>
      <c r="AX20" s="33"/>
      <c r="AY20" s="33"/>
      <c r="AZ20" s="33"/>
      <c r="BA20" s="33"/>
      <c r="BB20" s="33"/>
      <c r="BC20" s="33"/>
      <c r="BD20" s="33"/>
      <c r="BE20" s="33"/>
      <c r="BF20" s="33"/>
      <c r="BG20" s="33"/>
      <c r="BH20" s="33"/>
      <c r="BI20" s="33"/>
    </row>
    <row r="21" spans="1:61" ht="18" hidden="1" customHeight="1" outlineLevel="1" x14ac:dyDescent="0.25">
      <c r="A21" s="406"/>
      <c r="B21" s="217" t="s">
        <v>639</v>
      </c>
      <c r="C21" s="751"/>
      <c r="D21" s="333"/>
      <c r="E21" s="336">
        <f>'R&amp;C-Painel de Controle'!$G$62</f>
        <v>0.25</v>
      </c>
      <c r="F21" s="334"/>
      <c r="G21" s="752"/>
      <c r="H21" s="334"/>
      <c r="I21" s="336">
        <f>'R&amp;C-Painel de Controle'!$G$62</f>
        <v>0.25</v>
      </c>
      <c r="J21" s="334"/>
      <c r="K21" s="752"/>
      <c r="L21" s="334"/>
      <c r="M21" s="336">
        <f>'R&amp;C-Painel de Controle'!$G$62</f>
        <v>0.25</v>
      </c>
      <c r="N21" s="334"/>
      <c r="O21" s="752"/>
      <c r="P21" s="334"/>
      <c r="Q21" s="336">
        <f>'R&amp;C-Painel de Controle'!$G$62</f>
        <v>0.25</v>
      </c>
      <c r="R21" s="334"/>
      <c r="S21" s="752"/>
      <c r="T21" s="334"/>
      <c r="U21" s="336">
        <f>'R&amp;C-Painel de Controle'!$G$62</f>
        <v>0.25</v>
      </c>
      <c r="V21" s="331"/>
      <c r="W21" s="33"/>
      <c r="X21" s="49">
        <f>(X20-W20)/W20</f>
        <v>-0.18120742671365406</v>
      </c>
      <c r="Y21" s="49">
        <f>(Y20-X20)/X20</f>
        <v>-0.11075441959837638</v>
      </c>
      <c r="Z21" s="49">
        <f>(Z20-Y20)/Y20</f>
        <v>-1.0512856337945607E-2</v>
      </c>
      <c r="AA21" s="49">
        <f>(AA20-Z20)/Z20</f>
        <v>-4.998892203162705E-3</v>
      </c>
      <c r="AB21" s="33"/>
      <c r="AC21" s="33"/>
      <c r="AD21" s="33"/>
      <c r="AE21" s="33"/>
      <c r="AF21" s="33"/>
      <c r="AG21" s="33"/>
      <c r="AH21" s="33"/>
      <c r="AI21" s="33"/>
      <c r="AJ21" s="33"/>
      <c r="AK21" s="33"/>
      <c r="AL21" s="33"/>
      <c r="AM21" s="33"/>
      <c r="AN21" s="33"/>
      <c r="AO21" s="33"/>
      <c r="AP21" s="33"/>
      <c r="AQ21" s="33"/>
      <c r="AR21" s="33"/>
      <c r="AS21" s="33"/>
      <c r="AT21" s="33"/>
      <c r="AU21" s="33"/>
      <c r="AV21" s="33"/>
      <c r="AW21" s="33"/>
      <c r="AX21" s="33"/>
      <c r="AY21" s="33"/>
      <c r="AZ21" s="33"/>
      <c r="BA21" s="33"/>
      <c r="BB21" s="33"/>
      <c r="BC21" s="33"/>
      <c r="BD21" s="33"/>
      <c r="BE21" s="33"/>
      <c r="BF21" s="33"/>
      <c r="BG21" s="33"/>
      <c r="BH21" s="33"/>
      <c r="BI21" s="33"/>
    </row>
    <row r="22" spans="1:61" ht="18" hidden="1" customHeight="1" outlineLevel="1" x14ac:dyDescent="0.25">
      <c r="A22" s="406"/>
      <c r="B22" s="755"/>
      <c r="C22" s="751"/>
      <c r="D22" s="333"/>
      <c r="E22" s="331"/>
      <c r="F22" s="331"/>
      <c r="G22" s="751"/>
      <c r="H22" s="331">
        <f>(($D$2-H11)/(J11-H11))</f>
        <v>0.84442841880341879</v>
      </c>
      <c r="I22" s="337"/>
      <c r="J22" s="331">
        <f>((J11-$D$2)/(J11-H11))</f>
        <v>0.15557158119658121</v>
      </c>
      <c r="K22" s="751"/>
      <c r="L22" s="331"/>
      <c r="M22" s="331"/>
      <c r="N22" s="331"/>
      <c r="O22" s="751"/>
      <c r="P22" s="331"/>
      <c r="Q22" s="331"/>
      <c r="R22" s="331"/>
      <c r="S22" s="751"/>
      <c r="T22" s="331"/>
      <c r="U22" s="331"/>
      <c r="V22" s="331"/>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row>
    <row r="23" spans="1:61" ht="18" hidden="1" customHeight="1" outlineLevel="1" x14ac:dyDescent="0.25">
      <c r="A23" s="406"/>
      <c r="B23" s="754" t="s">
        <v>435</v>
      </c>
      <c r="C23" s="751"/>
      <c r="D23" s="338"/>
      <c r="E23" s="337" t="str">
        <f>IF(E7="SIM",(E15*F15+E16*F16)/4,"-")</f>
        <v>-</v>
      </c>
      <c r="F23" s="331"/>
      <c r="G23" s="751"/>
      <c r="H23" s="331">
        <f>(L15*(($D$2-H11)/(J11-H11))*$H$2/1000)*I21*$D$5*(1+'R&amp;C-Painel de Controle'!$D$54)*(1+'R&amp;C-Painel de Controle'!$D$61)</f>
        <v>12875.694591228741</v>
      </c>
      <c r="I23" s="337">
        <f>IF(I7="SIM",(I15*J15+I16*J16)/4,"-")</f>
        <v>2.683590002308744</v>
      </c>
      <c r="J23" s="331">
        <f>((L15*(($D$2-H11)/(J11-H11))*$H$2/1000)*(1-I21)*'R&amp;C-Painel de Controle'!$D$52*(1+'R&amp;C-Painel de Controle'!$D$54))/1000</f>
        <v>57.940625660529328</v>
      </c>
      <c r="K23" s="751"/>
      <c r="L23" s="331"/>
      <c r="M23" s="337" t="str">
        <f>IF(M7="SIM",(M15*N15+M16*N16)/4,"-")</f>
        <v>-</v>
      </c>
      <c r="N23" s="331"/>
      <c r="O23" s="751"/>
      <c r="P23" s="331"/>
      <c r="Q23" s="337" t="str">
        <f>IF(Q7="SIM",(Q15*R15+Q16*R16)/4,"-")</f>
        <v>-</v>
      </c>
      <c r="R23" s="331"/>
      <c r="S23" s="751"/>
      <c r="T23" s="331"/>
      <c r="U23" s="337" t="str">
        <f>IF(U7="SIM",(U15*V15+U16*V16)/4,"-")</f>
        <v>-</v>
      </c>
      <c r="V23" s="331"/>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c r="AU23" s="33"/>
      <c r="AV23" s="33"/>
      <c r="AW23" s="33"/>
      <c r="AX23" s="33"/>
      <c r="AY23" s="33"/>
      <c r="AZ23" s="33"/>
      <c r="BA23" s="33"/>
      <c r="BB23" s="33"/>
      <c r="BC23" s="33"/>
      <c r="BD23" s="33"/>
      <c r="BE23" s="33"/>
      <c r="BF23" s="33"/>
      <c r="BG23" s="33"/>
      <c r="BH23" s="33"/>
      <c r="BI23" s="33"/>
    </row>
    <row r="24" spans="1:61"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33"/>
      <c r="X24" s="33"/>
      <c r="Y24" s="33"/>
      <c r="Z24" s="33"/>
      <c r="AA24" s="33"/>
      <c r="AB24" s="33"/>
      <c r="AC24" s="33"/>
      <c r="AD24" s="33"/>
      <c r="AE24" s="33"/>
      <c r="AF24" s="33"/>
      <c r="AG24" s="33"/>
      <c r="AH24" s="33"/>
      <c r="AI24" s="33"/>
      <c r="AJ24" s="33"/>
      <c r="AK24" s="33"/>
      <c r="AL24" s="33"/>
      <c r="AM24" s="33"/>
      <c r="AN24" s="33"/>
      <c r="AO24" s="33"/>
      <c r="AP24" s="33"/>
      <c r="AQ24" s="33"/>
      <c r="AR24" s="33"/>
      <c r="AS24" s="33"/>
      <c r="AT24" s="33"/>
      <c r="AU24" s="33"/>
      <c r="AV24" s="33"/>
      <c r="AW24" s="33"/>
      <c r="AX24" s="33"/>
      <c r="AY24" s="33"/>
      <c r="AZ24" s="33"/>
      <c r="BA24" s="33"/>
      <c r="BB24" s="33"/>
      <c r="BC24" s="33"/>
      <c r="BD24" s="33"/>
      <c r="BE24" s="33"/>
      <c r="BF24" s="33"/>
      <c r="BG24" s="33"/>
      <c r="BH24" s="33"/>
      <c r="BI24" s="33"/>
    </row>
    <row r="25" spans="1:61" ht="19.899999999999999" customHeight="1" thickTop="1" thickBot="1" x14ac:dyDescent="0.3">
      <c r="A25" s="406"/>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33"/>
      <c r="X25" s="33"/>
      <c r="Y25" s="33"/>
      <c r="Z25" s="33"/>
      <c r="AA25" s="33"/>
      <c r="AB25" s="33"/>
      <c r="AC25" s="33"/>
      <c r="AD25" s="33"/>
      <c r="AE25" s="33"/>
      <c r="AF25" s="33"/>
      <c r="AG25" s="33"/>
      <c r="AH25" s="33"/>
      <c r="AI25" s="33"/>
      <c r="AJ25" s="33"/>
      <c r="AK25" s="33"/>
      <c r="AL25" s="33"/>
      <c r="AM25" s="33"/>
      <c r="AN25" s="33"/>
      <c r="AO25" s="33"/>
      <c r="AP25" s="33"/>
      <c r="AQ25" s="33"/>
      <c r="AR25" s="33"/>
      <c r="AS25" s="33"/>
      <c r="AT25" s="33"/>
      <c r="AU25" s="33"/>
      <c r="AV25" s="33"/>
      <c r="AW25" s="33"/>
      <c r="AX25" s="33"/>
      <c r="AY25" s="33"/>
      <c r="AZ25" s="33"/>
      <c r="BA25" s="33"/>
      <c r="BB25" s="33"/>
      <c r="BC25" s="33"/>
      <c r="BD25" s="33"/>
      <c r="BE25" s="33"/>
      <c r="BF25" s="33"/>
      <c r="BG25" s="33"/>
      <c r="BH25" s="33"/>
      <c r="BI25" s="33"/>
    </row>
    <row r="26" spans="1:61" ht="7.5" customHeight="1" x14ac:dyDescent="0.25">
      <c r="A26" s="406"/>
      <c r="B26" s="1084"/>
      <c r="C26" s="903"/>
      <c r="D26" s="1015"/>
      <c r="E26" s="339"/>
      <c r="F26" s="1016"/>
      <c r="G26" s="996"/>
      <c r="H26" s="1031"/>
      <c r="I26" s="339"/>
      <c r="J26" s="1023"/>
      <c r="K26" s="996"/>
      <c r="L26" s="1036"/>
      <c r="M26" s="339"/>
      <c r="N26" s="1023"/>
      <c r="O26" s="996"/>
      <c r="P26" s="1036"/>
      <c r="Q26" s="339"/>
      <c r="R26" s="1023"/>
      <c r="S26" s="996"/>
      <c r="T26" s="1036"/>
      <c r="U26" s="339"/>
      <c r="V26" s="1038"/>
      <c r="W26" s="33"/>
      <c r="X26" s="33"/>
      <c r="Y26" s="33"/>
      <c r="Z26" s="33"/>
      <c r="AA26" s="33"/>
      <c r="AB26" s="33"/>
      <c r="AC26" s="33"/>
      <c r="AD26" s="33"/>
      <c r="AE26" s="33"/>
      <c r="AF26" s="33"/>
      <c r="AG26" s="33"/>
      <c r="AH26" s="33"/>
      <c r="AI26" s="33"/>
      <c r="AJ26" s="33"/>
      <c r="AK26" s="33"/>
      <c r="AL26" s="33"/>
      <c r="AM26" s="33"/>
      <c r="AN26" s="33"/>
      <c r="AO26" s="33"/>
      <c r="AP26" s="33"/>
      <c r="AQ26" s="33"/>
      <c r="AR26" s="33"/>
      <c r="AS26" s="33"/>
      <c r="AT26" s="33"/>
      <c r="AU26" s="33"/>
      <c r="AV26" s="33"/>
      <c r="AW26" s="33"/>
      <c r="AX26" s="33"/>
      <c r="AY26" s="33"/>
      <c r="AZ26" s="33"/>
      <c r="BA26" s="33"/>
      <c r="BB26" s="33"/>
      <c r="BC26" s="33"/>
      <c r="BD26" s="33"/>
      <c r="BE26" s="33"/>
      <c r="BF26" s="33"/>
      <c r="BG26" s="33"/>
      <c r="BH26" s="33"/>
      <c r="BI26" s="33"/>
    </row>
    <row r="27" spans="1:61" ht="17.649999999999999" customHeight="1" collapsed="1" x14ac:dyDescent="0.25">
      <c r="A27" s="407"/>
      <c r="B27" s="913" t="s">
        <v>381</v>
      </c>
      <c r="C27" s="869"/>
      <c r="D27" s="1017"/>
      <c r="E27" s="890" t="str">
        <f>(IF(E$7="SIM",(E31)*2.4*12/$H$2,"-"))</f>
        <v>-</v>
      </c>
      <c r="F27" s="917"/>
      <c r="G27" s="993"/>
      <c r="H27" s="1032"/>
      <c r="I27" s="890">
        <f>(IF(I$7="SIM",(I31)*2.4*12/$H$2,"-"))</f>
        <v>9.4973110155276235</v>
      </c>
      <c r="J27" s="1033"/>
      <c r="K27" s="993"/>
      <c r="L27" s="1032"/>
      <c r="M27" s="890" t="str">
        <f>(IF(M$7="SIM",(M31)*2.4*12/$H$2,"-"))</f>
        <v>-</v>
      </c>
      <c r="N27" s="1033"/>
      <c r="O27" s="993"/>
      <c r="P27" s="1032"/>
      <c r="Q27" s="890" t="str">
        <f>(IF(Q$7="SIM",(Q31)*2.4*12/$H$2,"-"))</f>
        <v>-</v>
      </c>
      <c r="R27" s="1033"/>
      <c r="S27" s="993"/>
      <c r="T27" s="1032"/>
      <c r="U27" s="891" t="str">
        <f>(IF(U$7="SIM",(U31)*2.4*12/$H$2,"-"))</f>
        <v>-</v>
      </c>
      <c r="V27" s="1039"/>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A28" s="406"/>
      <c r="B28" s="1010"/>
      <c r="C28" s="925"/>
      <c r="D28" s="1015"/>
      <c r="E28" s="332"/>
      <c r="F28" s="1016"/>
      <c r="G28" s="997"/>
      <c r="H28" s="1031"/>
      <c r="I28" s="332"/>
      <c r="J28" s="1034"/>
      <c r="K28" s="997"/>
      <c r="L28" s="1031"/>
      <c r="M28" s="332"/>
      <c r="N28" s="1034"/>
      <c r="O28" s="997"/>
      <c r="P28" s="1031"/>
      <c r="Q28" s="332"/>
      <c r="R28" s="1034"/>
      <c r="S28" s="997"/>
      <c r="T28" s="1031"/>
      <c r="U28" s="341"/>
      <c r="V28" s="924"/>
      <c r="W28" s="33"/>
      <c r="X28" s="33"/>
      <c r="Y28" s="33"/>
      <c r="Z28" s="33"/>
      <c r="AA28" s="33"/>
      <c r="AB28" s="33"/>
      <c r="AC28" s="33"/>
      <c r="AD28" s="33"/>
      <c r="AE28" s="33"/>
      <c r="AF28" s="33"/>
      <c r="AG28" s="33"/>
      <c r="AH28" s="33"/>
      <c r="AI28" s="33"/>
      <c r="AJ28" s="33"/>
      <c r="AK28" s="33"/>
      <c r="AL28" s="33"/>
      <c r="AM28" s="33"/>
      <c r="AN28" s="33"/>
      <c r="AO28" s="33"/>
      <c r="AP28" s="33"/>
      <c r="AQ28" s="33"/>
      <c r="AR28" s="33"/>
      <c r="AS28" s="33"/>
      <c r="AT28" s="33"/>
      <c r="AU28" s="33"/>
      <c r="AV28" s="33"/>
      <c r="AW28" s="33"/>
      <c r="AX28" s="33"/>
      <c r="AY28" s="33"/>
      <c r="AZ28" s="33"/>
      <c r="BA28" s="33"/>
      <c r="BB28" s="33"/>
      <c r="BC28" s="33"/>
      <c r="BD28" s="33"/>
      <c r="BE28" s="33"/>
      <c r="BF28" s="33"/>
      <c r="BG28" s="33"/>
      <c r="BH28" s="33"/>
      <c r="BI28" s="33"/>
    </row>
    <row r="29" spans="1:61" ht="18" hidden="1" customHeight="1" outlineLevel="1" x14ac:dyDescent="0.25">
      <c r="A29" s="406"/>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c r="W29" s="33"/>
      <c r="X29" s="33"/>
      <c r="Y29" s="33"/>
      <c r="Z29" s="33"/>
      <c r="AA29" s="33"/>
      <c r="AB29" s="33"/>
      <c r="AC29" s="33"/>
      <c r="AD29" s="33"/>
      <c r="AE29" s="33"/>
      <c r="AF29" s="33"/>
      <c r="AG29" s="33"/>
      <c r="AH29" s="33"/>
      <c r="AI29" s="33"/>
      <c r="AJ29" s="33"/>
      <c r="AK29" s="33"/>
      <c r="AL29" s="33"/>
      <c r="AM29" s="33"/>
      <c r="AN29" s="33"/>
      <c r="AO29" s="33"/>
      <c r="AP29" s="33"/>
      <c r="AQ29" s="33"/>
      <c r="AR29" s="33"/>
      <c r="AS29" s="33"/>
      <c r="AT29" s="33"/>
      <c r="AU29" s="33"/>
      <c r="AV29" s="33"/>
      <c r="AW29" s="33"/>
      <c r="AX29" s="33"/>
      <c r="AY29" s="33"/>
      <c r="AZ29" s="33"/>
      <c r="BA29" s="33"/>
      <c r="BB29" s="33"/>
      <c r="BC29" s="33"/>
      <c r="BD29" s="33"/>
      <c r="BE29" s="33"/>
      <c r="BF29" s="33"/>
      <c r="BG29" s="33"/>
      <c r="BH29" s="33"/>
      <c r="BI29" s="33"/>
    </row>
    <row r="30" spans="1:61" ht="18" hidden="1" customHeight="1" outlineLevel="1" x14ac:dyDescent="0.25">
      <c r="A30" s="406"/>
      <c r="B30" s="1011" t="s">
        <v>642</v>
      </c>
      <c r="C30" s="903"/>
      <c r="D30" s="1015"/>
      <c r="E30" s="338">
        <v>5</v>
      </c>
      <c r="F30" s="1016"/>
      <c r="G30" s="998"/>
      <c r="H30" s="1031"/>
      <c r="I30" s="338">
        <v>8</v>
      </c>
      <c r="J30" s="1035"/>
      <c r="K30" s="998"/>
      <c r="L30" s="1037"/>
      <c r="M30" s="338">
        <v>15</v>
      </c>
      <c r="N30" s="1035"/>
      <c r="O30" s="998"/>
      <c r="P30" s="1037"/>
      <c r="Q30" s="338">
        <v>25</v>
      </c>
      <c r="R30" s="1035"/>
      <c r="S30" s="998"/>
      <c r="T30" s="1037"/>
      <c r="U30" s="338">
        <v>30</v>
      </c>
      <c r="V30" s="924"/>
      <c r="W30" s="33"/>
      <c r="X30" s="33"/>
      <c r="Y30" s="33"/>
      <c r="Z30" s="33"/>
      <c r="AA30" s="33"/>
      <c r="AB30" s="33"/>
      <c r="AC30" s="33"/>
      <c r="AD30" s="33"/>
      <c r="AE30" s="33"/>
      <c r="AF30" s="33"/>
      <c r="AG30" s="33"/>
      <c r="AH30" s="33"/>
      <c r="AI30" s="33"/>
      <c r="AJ30" s="33"/>
      <c r="AK30" s="33"/>
      <c r="AL30" s="33"/>
      <c r="AM30" s="33"/>
      <c r="AN30" s="33"/>
      <c r="AO30" s="33"/>
      <c r="AP30" s="33"/>
      <c r="AQ30" s="33"/>
      <c r="AR30" s="33"/>
      <c r="AS30" s="33"/>
      <c r="AT30" s="33"/>
      <c r="AU30" s="33"/>
      <c r="AV30" s="33"/>
      <c r="AW30" s="33"/>
      <c r="AX30" s="33"/>
      <c r="AY30" s="33"/>
      <c r="AZ30" s="33"/>
      <c r="BA30" s="33"/>
      <c r="BB30" s="33"/>
      <c r="BC30" s="33"/>
      <c r="BD30" s="33"/>
      <c r="BE30" s="33"/>
      <c r="BF30" s="33"/>
      <c r="BG30" s="33"/>
      <c r="BH30" s="33"/>
      <c r="BI30" s="33"/>
    </row>
    <row r="31" spans="1:61" ht="18" hidden="1" customHeight="1" outlineLevel="1" x14ac:dyDescent="0.25">
      <c r="A31" s="406"/>
      <c r="B31" s="1011" t="s">
        <v>632</v>
      </c>
      <c r="C31" s="903"/>
      <c r="D31" s="1015"/>
      <c r="E31" s="335">
        <f>0.6*'R&amp;C-Painel de Controle'!$D$63+0.6*E30/10*E29*'R&amp;C-Painel de Controle'!$D$64+E30*E29*'R&amp;C-Painel de Controle'!$D$65</f>
        <v>33000</v>
      </c>
      <c r="F31" s="1016"/>
      <c r="G31" s="996"/>
      <c r="H31" s="1031"/>
      <c r="I31" s="335">
        <f>0.7*'R&amp;C-Painel de Controle'!$D$63+0.7*I30/10*I29*'R&amp;C-Painel de Controle'!$D$64+I30*I29*'R&amp;C-Painel de Controle'!$D$65</f>
        <v>49200</v>
      </c>
      <c r="J31" s="1023"/>
      <c r="K31" s="996"/>
      <c r="L31" s="1036"/>
      <c r="M31" s="335">
        <f>0.8*'R&amp;C-Painel de Controle'!$D$63+0.8*M30/10*M29*'R&amp;C-Painel de Controle'!$D$64+M30*M29*'R&amp;C-Painel de Controle'!$D$65</f>
        <v>85000</v>
      </c>
      <c r="N31" s="1023"/>
      <c r="O31" s="996"/>
      <c r="P31" s="1036"/>
      <c r="Q31" s="335">
        <f>0.9*'R&amp;C-Painel de Controle'!$D$63+0.9*Q30/10*Q29*'R&amp;C-Painel de Controle'!$D$64+Q30*Q29*'R&amp;C-Painel de Controle'!$D$65</f>
        <v>138000</v>
      </c>
      <c r="R31" s="1023"/>
      <c r="S31" s="996"/>
      <c r="T31" s="1036"/>
      <c r="U31" s="335">
        <f>1*'R&amp;C-Painel de Controle'!$D$63+1*U30/10*U29*'R&amp;C-Painel de Controle'!$D$64+U30*U29*'R&amp;C-Painel de Controle'!$D$65</f>
        <v>170000</v>
      </c>
      <c r="V31" s="924"/>
      <c r="W31" s="33"/>
      <c r="X31" s="33"/>
      <c r="Y31" s="33"/>
      <c r="Z31" s="33"/>
      <c r="AA31" s="33"/>
      <c r="AB31" s="33"/>
      <c r="AC31" s="33"/>
      <c r="AD31" s="33"/>
      <c r="AE31" s="33"/>
      <c r="AF31" s="33"/>
      <c r="AG31" s="33"/>
      <c r="AH31" s="33"/>
      <c r="AI31" s="33"/>
      <c r="AJ31" s="33"/>
      <c r="AK31" s="33"/>
      <c r="AL31" s="33"/>
      <c r="AM31" s="33"/>
      <c r="AN31" s="33"/>
      <c r="AO31" s="33"/>
      <c r="AP31" s="33"/>
      <c r="AQ31" s="33"/>
      <c r="AR31" s="33"/>
      <c r="AS31" s="33"/>
      <c r="AT31" s="33"/>
      <c r="AU31" s="33"/>
      <c r="AV31" s="33"/>
      <c r="AW31" s="33"/>
      <c r="AX31" s="33"/>
      <c r="AY31" s="33"/>
      <c r="AZ31" s="33"/>
      <c r="BA31" s="33"/>
      <c r="BB31" s="33"/>
      <c r="BC31" s="33"/>
      <c r="BD31" s="33"/>
      <c r="BE31" s="33"/>
      <c r="BF31" s="33"/>
      <c r="BG31" s="33"/>
      <c r="BH31" s="33"/>
      <c r="BI31" s="33"/>
    </row>
    <row r="32" spans="1:61" ht="17.649999999999999" customHeight="1" collapsed="1" x14ac:dyDescent="0.25">
      <c r="A32" s="407"/>
      <c r="B32" s="913" t="s">
        <v>382</v>
      </c>
      <c r="C32" s="869"/>
      <c r="D32" s="1017"/>
      <c r="E32" s="890" t="str">
        <f>(IF(E$7="SIM",(E33*$H$2/1000*'R&amp;C-Painel de Controle'!$D$68+E34/1000*'R&amp;C-Painel de Controle'!$D$69*12)/$H$2,"-"))</f>
        <v>-</v>
      </c>
      <c r="F32" s="917"/>
      <c r="G32" s="993"/>
      <c r="H32" s="1077"/>
      <c r="I32" s="890">
        <f>(IF(I$7="SIM",(I33*$H$2/1000*'R&amp;C-Painel de Controle'!$D$68+I34/1000*'R&amp;C-Painel de Controle'!$D$69*12)/$H$2,"-"))</f>
        <v>0</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A33" s="407"/>
      <c r="B33" s="1011" t="s">
        <v>633</v>
      </c>
      <c r="C33" s="903"/>
      <c r="D33" s="1018"/>
      <c r="E33" s="342">
        <f>IF('R-Definição'!$L$49&lt;=20,35,IF(AND('R-Definição'!$L$49&gt;20,'R-Definição'!$L$49&lt;=50),35*1.25,IF('R-Definição'!$L$49&gt;50,35*1.5,)))</f>
        <v>35</v>
      </c>
      <c r="F33" s="1019"/>
      <c r="G33" s="996"/>
      <c r="H33" s="1078"/>
      <c r="I33" s="342">
        <f>IF('R-Definição'!$L$49&lt;=20,35,IF(AND('R-Definição'!$L$49&gt;20,'R-Definição'!$L$49&lt;=50),35*1.25,IF('R-Definição'!$L$49&gt;50,35*1.5,)))</f>
        <v>35</v>
      </c>
      <c r="J33" s="1019"/>
      <c r="K33" s="996"/>
      <c r="L33" s="1078"/>
      <c r="M33" s="334">
        <f>IF('R-Definição'!$L$49&lt;=20,35,IF(AND('R-Definição'!$L$49&gt;20,'R-Definição'!$L$49&lt;=50),35*1.25,IF('R-Definição'!$L$49&gt;50,35*1.5,)))</f>
        <v>35</v>
      </c>
      <c r="N33" s="1019"/>
      <c r="O33" s="996"/>
      <c r="P33" s="1078"/>
      <c r="Q33" s="334">
        <f>IF('R-Definição'!$L$49&lt;=20,35,IF(AND('R-Definição'!$L$49&gt;20,'R-Definição'!$L$49&lt;=50),35*1.25,IF('R-Definição'!$L$49&gt;50,35*1.5,)))</f>
        <v>35</v>
      </c>
      <c r="R33" s="1019"/>
      <c r="S33" s="996"/>
      <c r="T33" s="1078"/>
      <c r="U33" s="334">
        <f>IF('R-Definição'!$L$49&lt;=20,35,IF(AND('R-Definição'!$L$49&gt;20,'R-Definição'!$L$49&lt;=50),35*1.25,IF('R-Definição'!$L$49&gt;50,35*1.5,)))</f>
        <v>35</v>
      </c>
      <c r="V33" s="1019"/>
      <c r="W33" s="33"/>
      <c r="X33" s="33"/>
      <c r="Y33" s="33"/>
      <c r="Z33" s="33"/>
      <c r="AA33" s="33"/>
      <c r="AB33" s="33"/>
      <c r="AC33" s="42"/>
      <c r="AD33" s="42"/>
      <c r="AE33" s="42"/>
      <c r="AF33" s="42"/>
      <c r="AG33" s="42"/>
      <c r="AH33" s="42"/>
      <c r="AI33" s="42"/>
      <c r="AJ33" s="42"/>
      <c r="AK33" s="42"/>
      <c r="AL33" s="42"/>
      <c r="AM33" s="42"/>
      <c r="AN33" s="42"/>
      <c r="AO33" s="42"/>
      <c r="AP33" s="42"/>
      <c r="AQ33" s="42"/>
      <c r="AR33" s="42"/>
      <c r="AS33" s="42"/>
      <c r="AT33" s="42"/>
      <c r="AU33" s="42"/>
      <c r="AV33" s="42"/>
      <c r="AW33" s="42"/>
      <c r="AX33" s="42"/>
      <c r="AY33" s="42"/>
      <c r="AZ33" s="42"/>
      <c r="BA33" s="42"/>
      <c r="BB33" s="42"/>
      <c r="BC33" s="42"/>
      <c r="BD33" s="42"/>
      <c r="BE33" s="42"/>
      <c r="BF33" s="42"/>
      <c r="BG33" s="42"/>
      <c r="BH33" s="42"/>
      <c r="BI33" s="42"/>
    </row>
    <row r="34" spans="1:61" ht="18" hidden="1" customHeight="1" outlineLevel="1" x14ac:dyDescent="0.25">
      <c r="A34" s="406"/>
      <c r="B34" s="1011" t="s">
        <v>634</v>
      </c>
      <c r="C34" s="925"/>
      <c r="D34" s="1015"/>
      <c r="E34" s="335">
        <f>E33*F11*(0.9)*0.92/16</f>
        <v>633.9375</v>
      </c>
      <c r="F34" s="1016"/>
      <c r="G34" s="999"/>
      <c r="H34" s="1082"/>
      <c r="I34" s="335">
        <f>I33*J11*(0.9)*0.92/16</f>
        <v>905.625</v>
      </c>
      <c r="J34" s="1022"/>
      <c r="K34" s="999"/>
      <c r="L34" s="1079"/>
      <c r="M34" s="335">
        <f>M33*N11*(0.9)*0.92/16</f>
        <v>1811.25</v>
      </c>
      <c r="N34" s="1022"/>
      <c r="O34" s="999"/>
      <c r="P34" s="1079"/>
      <c r="Q34" s="335">
        <f>Q33*R11*(0.9)*0.92/16</f>
        <v>2716.875</v>
      </c>
      <c r="R34" s="1022"/>
      <c r="S34" s="999"/>
      <c r="T34" s="1079"/>
      <c r="U34" s="335">
        <f>U33*V11*(0.9)*0.92/16</f>
        <v>3622.5</v>
      </c>
      <c r="V34" s="924"/>
      <c r="W34" s="33"/>
      <c r="X34" s="33"/>
      <c r="Y34" s="33"/>
      <c r="Z34" s="33"/>
      <c r="AA34" s="33"/>
      <c r="AB34" s="33"/>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3"/>
      <c r="BA34" s="33"/>
      <c r="BB34" s="33"/>
      <c r="BC34" s="33"/>
      <c r="BD34" s="33"/>
      <c r="BE34" s="33"/>
      <c r="BF34" s="33"/>
      <c r="BG34" s="33"/>
      <c r="BH34" s="33"/>
      <c r="BI34" s="33"/>
    </row>
    <row r="35" spans="1:61" ht="17.649999999999999" customHeight="1" collapsed="1" x14ac:dyDescent="0.25">
      <c r="A35" s="407"/>
      <c r="B35" s="913" t="s">
        <v>383</v>
      </c>
      <c r="C35" s="869"/>
      <c r="D35" s="1017"/>
      <c r="E35" s="890" t="str">
        <f>(IF(E$7="SIM",(E15*1000000*E36+E37*12)/$H$2,"-"))</f>
        <v>-</v>
      </c>
      <c r="F35" s="1021"/>
      <c r="G35" s="1000"/>
      <c r="H35" s="1080"/>
      <c r="I35" s="890">
        <f>(IF(I$7="SIM",(I15*1000000*I36+I37*12)/$H$2,"-"))</f>
        <v>31.347961374356995</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A36" s="406"/>
      <c r="B36" s="1011" t="s">
        <v>635</v>
      </c>
      <c r="C36" s="903"/>
      <c r="D36" s="915"/>
      <c r="E36" s="340">
        <v>0.05</v>
      </c>
      <c r="F36" s="1016"/>
      <c r="G36" s="1001"/>
      <c r="H36" s="1081"/>
      <c r="I36" s="340">
        <v>0.05</v>
      </c>
      <c r="J36" s="1016"/>
      <c r="K36" s="1001"/>
      <c r="L36" s="1081"/>
      <c r="M36" s="340">
        <v>0.05</v>
      </c>
      <c r="N36" s="1016"/>
      <c r="O36" s="1001"/>
      <c r="P36" s="1081"/>
      <c r="Q36" s="340">
        <v>0.05</v>
      </c>
      <c r="R36" s="1016"/>
      <c r="S36" s="1001"/>
      <c r="T36" s="1081"/>
      <c r="U36" s="340">
        <v>0.05</v>
      </c>
      <c r="V36" s="924"/>
      <c r="W36" s="33"/>
      <c r="X36" s="33"/>
      <c r="Y36" s="33"/>
      <c r="Z36" s="33"/>
      <c r="AA36" s="33"/>
      <c r="AB36" s="33"/>
      <c r="AC36" s="33"/>
      <c r="AD36" s="33"/>
      <c r="AE36" s="33"/>
      <c r="AF36" s="33"/>
      <c r="AG36" s="33"/>
      <c r="AH36" s="33"/>
      <c r="AI36" s="33"/>
      <c r="AJ36" s="33"/>
      <c r="AK36" s="33"/>
      <c r="AL36" s="33"/>
      <c r="AM36" s="33"/>
      <c r="AN36" s="33"/>
      <c r="AO36" s="33"/>
      <c r="AP36" s="33"/>
      <c r="AQ36" s="33"/>
      <c r="AR36" s="33"/>
      <c r="AS36" s="33"/>
      <c r="AT36" s="33"/>
      <c r="AU36" s="33"/>
      <c r="AV36" s="33"/>
      <c r="AW36" s="33"/>
      <c r="AX36" s="33"/>
      <c r="AY36" s="33"/>
      <c r="AZ36" s="33"/>
      <c r="BA36" s="33"/>
      <c r="BB36" s="33"/>
      <c r="BC36" s="33"/>
      <c r="BD36" s="33"/>
      <c r="BE36" s="33"/>
      <c r="BF36" s="33"/>
      <c r="BG36" s="33"/>
      <c r="BH36" s="33"/>
      <c r="BI36" s="33"/>
    </row>
    <row r="37" spans="1:61" ht="18" hidden="1" customHeight="1" outlineLevel="1" x14ac:dyDescent="0.25">
      <c r="A37" s="406"/>
      <c r="B37" s="1011" t="s">
        <v>441</v>
      </c>
      <c r="C37" s="903"/>
      <c r="D37" s="915"/>
      <c r="E37" s="335">
        <v>50000</v>
      </c>
      <c r="F37" s="1022"/>
      <c r="G37" s="999"/>
      <c r="H37" s="1079"/>
      <c r="I37" s="335">
        <v>50000</v>
      </c>
      <c r="J37" s="1022"/>
      <c r="K37" s="999"/>
      <c r="L37" s="1079"/>
      <c r="M37" s="335">
        <v>50000</v>
      </c>
      <c r="N37" s="1022"/>
      <c r="O37" s="999"/>
      <c r="P37" s="1079"/>
      <c r="Q37" s="335">
        <v>100000</v>
      </c>
      <c r="R37" s="1022"/>
      <c r="S37" s="999"/>
      <c r="T37" s="1079"/>
      <c r="U37" s="335">
        <v>100000</v>
      </c>
      <c r="V37" s="924"/>
      <c r="W37" s="33"/>
      <c r="X37" s="33"/>
      <c r="Y37" s="33"/>
      <c r="Z37" s="33"/>
      <c r="AA37" s="33"/>
      <c r="AB37" s="33"/>
      <c r="AC37" s="33"/>
      <c r="AD37" s="33"/>
      <c r="AE37" s="33"/>
      <c r="AF37" s="33"/>
      <c r="AG37" s="33"/>
      <c r="AH37" s="33"/>
      <c r="AI37" s="33"/>
      <c r="AJ37" s="33"/>
      <c r="AK37" s="33"/>
      <c r="AL37" s="33"/>
      <c r="AM37" s="33"/>
      <c r="AN37" s="33"/>
      <c r="AO37" s="33"/>
      <c r="AP37" s="33"/>
      <c r="AQ37" s="33"/>
      <c r="AR37" s="33"/>
      <c r="AS37" s="33"/>
      <c r="AT37" s="33"/>
      <c r="AU37" s="33"/>
      <c r="AV37" s="33"/>
      <c r="AW37" s="33"/>
      <c r="AX37" s="33"/>
      <c r="AY37" s="33"/>
      <c r="AZ37" s="33"/>
      <c r="BA37" s="33"/>
      <c r="BB37" s="33"/>
      <c r="BC37" s="33"/>
      <c r="BD37" s="33"/>
      <c r="BE37" s="33"/>
      <c r="BF37" s="33"/>
      <c r="BG37" s="33"/>
      <c r="BH37" s="33"/>
      <c r="BI37" s="33"/>
    </row>
    <row r="38" spans="1:61" ht="17.649999999999999" customHeight="1" collapsed="1" x14ac:dyDescent="0.25">
      <c r="A38" s="407"/>
      <c r="B38" s="913" t="s">
        <v>638</v>
      </c>
      <c r="C38" s="869"/>
      <c r="D38" s="1074">
        <v>0.5</v>
      </c>
      <c r="E38" s="890" t="str">
        <f>(IF(E$7="SIM",D38*E39*E40*12/$H$2,"-"))</f>
        <v>-</v>
      </c>
      <c r="F38" s="1021"/>
      <c r="G38" s="1000"/>
      <c r="H38" s="1074">
        <f>D38</f>
        <v>0.5</v>
      </c>
      <c r="I38" s="890">
        <f>(IF(I$7="SIM",H38*I39*I40*12/$H$2,"-"))</f>
        <v>5.0269473108949567</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25">
      <c r="A39" s="406"/>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3"/>
      <c r="BA39" s="33"/>
      <c r="BB39" s="33"/>
      <c r="BC39" s="33"/>
      <c r="BD39" s="33"/>
      <c r="BE39" s="33"/>
      <c r="BF39" s="33"/>
      <c r="BG39" s="33"/>
      <c r="BH39" s="33"/>
      <c r="BI39" s="33"/>
    </row>
    <row r="40" spans="1:61" ht="18" hidden="1" customHeight="1" outlineLevel="1" x14ac:dyDescent="0.25">
      <c r="A40" s="407"/>
      <c r="B40" s="1011" t="s">
        <v>637</v>
      </c>
      <c r="C40" s="925"/>
      <c r="D40" s="915"/>
      <c r="E40" s="336">
        <v>1</v>
      </c>
      <c r="F40" s="1023"/>
      <c r="G40" s="996"/>
      <c r="H40" s="1082"/>
      <c r="I40" s="336">
        <v>1.25</v>
      </c>
      <c r="J40" s="1023"/>
      <c r="K40" s="996"/>
      <c r="L40" s="1082"/>
      <c r="M40" s="336">
        <v>2</v>
      </c>
      <c r="N40" s="1023"/>
      <c r="O40" s="996"/>
      <c r="P40" s="1082"/>
      <c r="Q40" s="336">
        <v>2.5</v>
      </c>
      <c r="R40" s="1023"/>
      <c r="S40" s="996"/>
      <c r="T40" s="1082"/>
      <c r="U40" s="336">
        <v>3</v>
      </c>
      <c r="V40" s="924"/>
      <c r="W40" s="33"/>
      <c r="X40" s="33"/>
      <c r="Y40" s="33"/>
      <c r="Z40" s="33"/>
      <c r="AA40" s="33"/>
      <c r="AB40" s="33"/>
      <c r="AC40" s="42"/>
      <c r="AD40" s="42"/>
      <c r="AE40" s="42"/>
      <c r="AF40" s="42"/>
      <c r="AG40" s="42"/>
      <c r="AH40" s="42"/>
      <c r="AI40" s="42"/>
      <c r="AJ40" s="42"/>
      <c r="AK40" s="42"/>
      <c r="AL40" s="42"/>
      <c r="AM40" s="42"/>
      <c r="AN40" s="42"/>
      <c r="AO40" s="42"/>
      <c r="AP40" s="42"/>
      <c r="AQ40" s="42"/>
      <c r="AR40" s="42"/>
      <c r="AS40" s="42"/>
      <c r="AT40" s="42"/>
      <c r="AU40" s="42"/>
      <c r="AV40" s="42"/>
      <c r="AW40" s="42"/>
      <c r="AX40" s="42"/>
      <c r="AY40" s="42"/>
      <c r="AZ40" s="42"/>
      <c r="BA40" s="42"/>
      <c r="BB40" s="42"/>
      <c r="BC40" s="42"/>
      <c r="BD40" s="42"/>
      <c r="BE40" s="42"/>
      <c r="BF40" s="42"/>
      <c r="BG40" s="42"/>
      <c r="BH40" s="42"/>
      <c r="BI40" s="42"/>
    </row>
    <row r="41" spans="1:61" ht="17.649999999999999" customHeight="1" x14ac:dyDescent="0.25">
      <c r="A41" s="407"/>
      <c r="B41" s="913" t="s">
        <v>390</v>
      </c>
      <c r="C41" s="869"/>
      <c r="D41" s="1017"/>
      <c r="E41" s="893" t="str">
        <f>(IF(E$7="SIM",5+2.5+1*'R&amp;C-Painel de Controle'!$D$74,"-"))</f>
        <v>-</v>
      </c>
      <c r="F41" s="1021"/>
      <c r="G41" s="1000"/>
      <c r="H41" s="1080"/>
      <c r="I41" s="893">
        <f>(IF(I$7="SIM",5+2.5+1*'R&amp;C-Painel de Controle'!$D$74,"-"))</f>
        <v>10.5</v>
      </c>
      <c r="J41" s="1021"/>
      <c r="K41" s="1000"/>
      <c r="L41" s="1080"/>
      <c r="M41" s="893" t="str">
        <f>(IF(M$7="SIM",5+2.5+1*'R&amp;C-Painel de Controle'!$D$74,"-"))</f>
        <v>-</v>
      </c>
      <c r="N41" s="1021"/>
      <c r="O41" s="1000"/>
      <c r="P41" s="1080"/>
      <c r="Q41" s="893" t="str">
        <f>(IF(Q$7="SIM",5+2.5+1*'R&amp;C-Painel de Controle'!$D$74,"-"))</f>
        <v>-</v>
      </c>
      <c r="R41" s="1021"/>
      <c r="S41" s="1000"/>
      <c r="T41" s="1080"/>
      <c r="U41" s="894" t="str">
        <f>(IF(U$7="SIM",5+2.5+1*'R&amp;C-Painel de Controle'!$D$74,"-"))</f>
        <v>-</v>
      </c>
      <c r="V41" s="1039"/>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1102" customFormat="1" ht="19.899999999999999" customHeight="1" x14ac:dyDescent="0.3">
      <c r="A42" s="1100"/>
      <c r="B42" s="1012" t="s">
        <v>386</v>
      </c>
      <c r="C42" s="904"/>
      <c r="D42" s="1074">
        <v>0.1</v>
      </c>
      <c r="E42" s="887" t="str">
        <f>(IF(E$7="SIM",(E27+E32+E35+E38+E41)*(1+D42),"-"))</f>
        <v>-</v>
      </c>
      <c r="F42" s="1024"/>
      <c r="G42" s="1002"/>
      <c r="H42" s="1074">
        <v>0.1</v>
      </c>
      <c r="I42" s="887">
        <f>(IF(I$7="SIM",(I27+I32+I35+I38+I41)*(1+H42),"-"))</f>
        <v>62.009441670857534</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1101"/>
      <c r="X42" s="1101"/>
      <c r="Y42" s="1101"/>
      <c r="Z42" s="1101"/>
      <c r="AA42" s="1101"/>
      <c r="AB42" s="1101"/>
      <c r="AC42" s="1101"/>
      <c r="AD42" s="1101"/>
      <c r="AE42" s="1101"/>
      <c r="AF42" s="1101"/>
      <c r="AG42" s="1101"/>
      <c r="AH42" s="1101"/>
      <c r="AI42" s="1101"/>
      <c r="AJ42" s="1101"/>
      <c r="AK42" s="1101"/>
      <c r="AL42" s="1101"/>
      <c r="AM42" s="1101"/>
      <c r="AN42" s="1101"/>
      <c r="AO42" s="1101"/>
      <c r="AP42" s="1101"/>
      <c r="AQ42" s="1101"/>
      <c r="AR42" s="1101"/>
      <c r="AS42" s="1101"/>
      <c r="AT42" s="1101"/>
      <c r="AU42" s="1101"/>
      <c r="AV42" s="1101"/>
      <c r="AW42" s="1101"/>
      <c r="AX42" s="1101"/>
      <c r="AY42" s="1101"/>
      <c r="AZ42" s="1101"/>
      <c r="BA42" s="1101"/>
      <c r="BB42" s="1101"/>
      <c r="BC42" s="1101"/>
      <c r="BD42" s="1101"/>
      <c r="BE42" s="1101"/>
      <c r="BF42" s="1101"/>
      <c r="BG42" s="1101"/>
      <c r="BH42" s="1101"/>
      <c r="BI42" s="1101"/>
    </row>
    <row r="43" spans="1:61" s="1102" customFormat="1" ht="19.899999999999999" customHeight="1" x14ac:dyDescent="0.3">
      <c r="A43" s="1100"/>
      <c r="B43" s="1012" t="s">
        <v>387</v>
      </c>
      <c r="C43" s="904"/>
      <c r="D43" s="1025"/>
      <c r="E43" s="886" t="str">
        <f>(IF(E$7="SIM",E42*$H$2/1000000,"-"))</f>
        <v>-</v>
      </c>
      <c r="F43" s="1026"/>
      <c r="G43" s="904"/>
      <c r="H43" s="1025"/>
      <c r="I43" s="886">
        <f>(IF(I$7="SIM",I42*$H$2/1000000,"-"))</f>
        <v>9.2515553430106294</v>
      </c>
      <c r="J43" s="1026"/>
      <c r="K43" s="904"/>
      <c r="L43" s="1025"/>
      <c r="M43" s="886" t="str">
        <f>(IF(M$7="SIM",M42*$H$2/1000000,"-"))</f>
        <v>-</v>
      </c>
      <c r="N43" s="1026"/>
      <c r="O43" s="904"/>
      <c r="P43" s="1083"/>
      <c r="Q43" s="886" t="str">
        <f>(IF(Q$7="SIM",Q42*$H$2/1000000,"-"))</f>
        <v>-</v>
      </c>
      <c r="R43" s="1026"/>
      <c r="S43" s="904"/>
      <c r="T43" s="1025"/>
      <c r="U43" s="851" t="str">
        <f>(IF(U$7="SIM",U42*$H$2/1000000,"-"))</f>
        <v>-</v>
      </c>
      <c r="V43" s="1026"/>
      <c r="W43" s="1101"/>
      <c r="X43" s="1101"/>
      <c r="Y43" s="1101"/>
      <c r="Z43" s="1101"/>
      <c r="AA43" s="1101"/>
      <c r="AB43" s="1101"/>
      <c r="AC43" s="1101"/>
      <c r="AD43" s="1101"/>
      <c r="AE43" s="1101"/>
      <c r="AF43" s="1101"/>
      <c r="AG43" s="1101"/>
      <c r="AH43" s="1101"/>
      <c r="AI43" s="1101"/>
      <c r="AJ43" s="1101"/>
      <c r="AK43" s="1101"/>
      <c r="AL43" s="1101"/>
      <c r="AM43" s="1101"/>
      <c r="AN43" s="1101"/>
      <c r="AO43" s="1101"/>
      <c r="AP43" s="1101"/>
      <c r="AQ43" s="1101"/>
      <c r="AR43" s="1101"/>
      <c r="AS43" s="1101"/>
      <c r="AT43" s="1101"/>
      <c r="AU43" s="1101"/>
      <c r="AV43" s="1101"/>
      <c r="AW43" s="1101"/>
      <c r="AX43" s="1101"/>
      <c r="AY43" s="1101"/>
      <c r="AZ43" s="1101"/>
      <c r="BA43" s="1101"/>
      <c r="BB43" s="1101"/>
      <c r="BC43" s="1101"/>
      <c r="BD43" s="1101"/>
      <c r="BE43" s="1101"/>
      <c r="BF43" s="1101"/>
      <c r="BG43" s="1101"/>
      <c r="BH43" s="1101"/>
      <c r="BI43" s="1101"/>
    </row>
    <row r="44" spans="1:61" s="691" customFormat="1" ht="18" customHeight="1" x14ac:dyDescent="0.25">
      <c r="A44" s="657"/>
      <c r="B44" s="1013" t="s">
        <v>388</v>
      </c>
      <c r="C44" s="869"/>
      <c r="D44" s="1020"/>
      <c r="E44" s="895" t="str">
        <f>(IF(E$7="SIM",(((E27*$H$2/12)+(E34/1000*'R&amp;C-Painel de Controle'!$D$69*12)+(E37*12)+(E39*E40*12))/1000000),"-"))</f>
        <v>-</v>
      </c>
      <c r="F44" s="1027"/>
      <c r="G44" s="869"/>
      <c r="H44" s="1020"/>
      <c r="I44" s="895">
        <f>(IF(I$7="SIM",(((I27*$H$2/12)+(I34/1000*'R&amp;C-Painel de Controle'!$D$69*12)+(I37*12)+(I39*I40*12))/1000000),"-"))</f>
        <v>2.2180800000000001</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c r="W44" s="38"/>
      <c r="X44" s="38"/>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row>
    <row r="45" spans="1:61" s="691" customFormat="1" ht="18" customHeight="1" thickBot="1" x14ac:dyDescent="0.3">
      <c r="A45" s="657"/>
      <c r="B45" s="1014" t="s">
        <v>389</v>
      </c>
      <c r="C45" s="869"/>
      <c r="D45" s="1028"/>
      <c r="E45" s="1029" t="str">
        <f>(IF(E$7="SIM",((E43-E44)*1000000)/$H$2,"-"))</f>
        <v>-</v>
      </c>
      <c r="F45" s="1030"/>
      <c r="G45" s="869"/>
      <c r="H45" s="1028"/>
      <c r="I45" s="1029">
        <f>(IF(I$7="SIM",((I43-I44)*1000000)/$H$2,"-"))</f>
        <v>47.142546615724349</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row>
    <row r="46" spans="1:61"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3"/>
      <c r="AV46" s="33"/>
      <c r="AW46" s="33"/>
      <c r="AX46" s="33"/>
      <c r="AY46" s="33"/>
      <c r="AZ46" s="33"/>
      <c r="BA46" s="33"/>
      <c r="BB46" s="33"/>
      <c r="BC46" s="33"/>
      <c r="BD46" s="33"/>
      <c r="BE46" s="33"/>
      <c r="BF46" s="33"/>
      <c r="BG46" s="33"/>
      <c r="BH46" s="33"/>
      <c r="BI46" s="33"/>
    </row>
    <row r="47" spans="1:61"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3"/>
    </row>
    <row r="48" spans="1:61"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c r="BI48" s="33"/>
    </row>
    <row r="49" spans="1:61"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3"/>
      <c r="BA49" s="33"/>
      <c r="BB49" s="33"/>
      <c r="BC49" s="33"/>
      <c r="BD49" s="33"/>
      <c r="BE49" s="33"/>
      <c r="BF49" s="33"/>
      <c r="BG49" s="33"/>
      <c r="BH49" s="33"/>
      <c r="BI49" s="33"/>
    </row>
    <row r="50" spans="1:61"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3"/>
      <c r="BA50" s="33"/>
      <c r="BB50" s="33"/>
      <c r="BC50" s="33"/>
      <c r="BD50" s="33"/>
      <c r="BE50" s="33"/>
      <c r="BF50" s="33"/>
      <c r="BG50" s="33"/>
      <c r="BH50" s="33"/>
      <c r="BI50" s="33"/>
    </row>
    <row r="51" spans="1:61"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3"/>
      <c r="BA51" s="33"/>
      <c r="BB51" s="33"/>
      <c r="BC51" s="33"/>
      <c r="BD51" s="33"/>
      <c r="BE51" s="33"/>
      <c r="BF51" s="33"/>
      <c r="BG51" s="33"/>
      <c r="BH51" s="33"/>
      <c r="BI51" s="33"/>
    </row>
    <row r="52" spans="1:61"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3"/>
      <c r="BA52" s="33"/>
      <c r="BB52" s="33"/>
      <c r="BC52" s="33"/>
      <c r="BD52" s="33"/>
      <c r="BE52" s="33"/>
      <c r="BF52" s="33"/>
      <c r="BG52" s="33"/>
      <c r="BH52" s="33"/>
      <c r="BI52" s="33"/>
    </row>
    <row r="53" spans="1:61"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3"/>
      <c r="BA53" s="33"/>
      <c r="BB53" s="33"/>
      <c r="BC53" s="33"/>
      <c r="BD53" s="33"/>
      <c r="BE53" s="33"/>
      <c r="BF53" s="33"/>
      <c r="BG53" s="33"/>
      <c r="BH53" s="33"/>
      <c r="BI53" s="33"/>
    </row>
    <row r="54" spans="1:61"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3"/>
      <c r="BA54" s="33"/>
      <c r="BB54" s="33"/>
      <c r="BC54" s="33"/>
      <c r="BD54" s="33"/>
      <c r="BE54" s="33"/>
      <c r="BF54" s="33"/>
      <c r="BG54" s="33"/>
      <c r="BH54" s="33"/>
      <c r="BI54" s="33"/>
    </row>
    <row r="55" spans="1:61"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sheetData>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762"/>
      <c r="B1" s="2939" t="s">
        <v>769</v>
      </c>
      <c r="C1" s="433"/>
      <c r="D1" s="433"/>
      <c r="E1" s="433"/>
      <c r="F1" s="433"/>
      <c r="G1" s="433"/>
      <c r="H1" s="433"/>
      <c r="I1" s="433"/>
      <c r="J1" s="433"/>
      <c r="K1" s="433"/>
      <c r="L1" s="433"/>
      <c r="M1" s="433"/>
      <c r="N1" s="433"/>
      <c r="O1" s="433"/>
      <c r="P1" s="433"/>
      <c r="Q1" s="433"/>
      <c r="R1" s="433"/>
      <c r="S1" s="433"/>
      <c r="T1" s="433"/>
      <c r="U1" s="433"/>
      <c r="V1" s="433"/>
      <c r="W1" s="33"/>
      <c r="X1" s="33"/>
      <c r="Y1" s="33"/>
      <c r="Z1" s="33"/>
      <c r="AA1" s="33"/>
    </row>
    <row r="2" spans="1:61" ht="19.899999999999999" customHeight="1" x14ac:dyDescent="0.3">
      <c r="A2" s="763"/>
      <c r="B2" s="2939"/>
      <c r="C2" s="436"/>
      <c r="D2" s="899">
        <f>'R-Resumo Bal. Massa'!B35*(1+'R&amp;C-Painel de Controle'!H68)</f>
        <v>0</v>
      </c>
      <c r="E2" s="900" t="s">
        <v>391</v>
      </c>
      <c r="H2" s="1105">
        <f>D2*313</f>
        <v>0</v>
      </c>
      <c r="I2" s="1104" t="s">
        <v>392</v>
      </c>
      <c r="L2" s="1086" t="str">
        <f>IF(D2&gt;0,"Sim","Não")</f>
        <v>Não</v>
      </c>
      <c r="M2" s="431"/>
      <c r="N2" s="431"/>
      <c r="O2" s="431"/>
      <c r="P2" s="1106" t="s">
        <v>436</v>
      </c>
      <c r="Q2" s="2930" t="str">
        <f>'R-Definição'!D2</f>
        <v>CIRSOP - Consórcio RSU Oeste Paulista</v>
      </c>
      <c r="R2" s="2931"/>
      <c r="S2" s="429"/>
      <c r="T2" s="1106" t="s">
        <v>437</v>
      </c>
      <c r="U2" s="2930" t="str">
        <f>'R-Definição'!D3</f>
        <v>Biodigestão c/ Prod. E. Elétrica</v>
      </c>
      <c r="V2" s="2931"/>
      <c r="W2" s="307"/>
      <c r="X2" s="307"/>
      <c r="Y2" s="307"/>
      <c r="Z2" s="307"/>
      <c r="AA2" s="307"/>
      <c r="AB2" s="68"/>
    </row>
    <row r="3" spans="1:61" ht="19.899999999999999" customHeight="1" x14ac:dyDescent="0.25">
      <c r="A3" s="762"/>
      <c r="B3" s="2939"/>
      <c r="C3" s="427"/>
      <c r="D3" s="426"/>
      <c r="E3" s="426"/>
      <c r="F3" s="426"/>
      <c r="G3" s="426"/>
      <c r="H3" s="426"/>
      <c r="I3" s="426"/>
      <c r="J3" s="426"/>
      <c r="K3" s="426"/>
      <c r="L3" s="426"/>
      <c r="M3" s="426"/>
      <c r="N3" s="426"/>
      <c r="O3" s="431"/>
      <c r="P3" s="426"/>
      <c r="Q3" s="426"/>
      <c r="R3" s="426"/>
      <c r="S3" s="426"/>
      <c r="T3" s="426"/>
      <c r="U3" s="426"/>
      <c r="V3" s="426"/>
      <c r="W3" s="152"/>
      <c r="X3" s="152"/>
      <c r="Y3" s="152"/>
      <c r="Z3" s="152"/>
      <c r="AA3" s="152"/>
      <c r="AB3" s="68"/>
    </row>
    <row r="4" spans="1:61"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762"/>
      <c r="B5" s="865" t="s">
        <v>755</v>
      </c>
      <c r="C5" s="437"/>
      <c r="D5" s="1110">
        <v>4</v>
      </c>
      <c r="E5" s="870" t="s">
        <v>766</v>
      </c>
      <c r="F5" s="868"/>
      <c r="G5" s="868"/>
      <c r="H5" s="868"/>
      <c r="I5" s="868"/>
      <c r="J5" s="868"/>
      <c r="K5" s="868"/>
      <c r="L5" s="868"/>
      <c r="M5" s="868"/>
      <c r="N5" s="868"/>
      <c r="O5" s="868"/>
      <c r="P5" s="868"/>
      <c r="Q5" s="868"/>
      <c r="R5" s="868"/>
      <c r="S5" s="868"/>
      <c r="T5" s="868"/>
      <c r="U5" s="868"/>
      <c r="V5" s="317"/>
      <c r="W5" s="152"/>
      <c r="X5" s="152"/>
      <c r="Y5" s="152"/>
      <c r="Z5" s="152"/>
      <c r="AA5" s="152"/>
      <c r="AB5" s="68"/>
    </row>
    <row r="6" spans="1:61"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762"/>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52"/>
      <c r="X7" s="152"/>
      <c r="Y7" s="152"/>
      <c r="Z7" s="152"/>
      <c r="AA7" s="152"/>
      <c r="AB7" s="68"/>
    </row>
    <row r="8" spans="1:61"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2" customFormat="1" ht="17.649999999999999" customHeight="1" thickTop="1" thickBot="1" x14ac:dyDescent="0.35">
      <c r="A9" s="1109"/>
      <c r="B9" s="2933" t="s">
        <v>640</v>
      </c>
      <c r="C9" s="901"/>
      <c r="D9" s="2936" t="s">
        <v>648</v>
      </c>
      <c r="E9" s="2937"/>
      <c r="F9" s="2937"/>
      <c r="G9" s="2937"/>
      <c r="H9" s="2937"/>
      <c r="I9" s="2937"/>
      <c r="J9" s="2937"/>
      <c r="K9" s="2937"/>
      <c r="L9" s="2937"/>
      <c r="M9" s="2937"/>
      <c r="N9" s="2937"/>
      <c r="O9" s="2937"/>
      <c r="P9" s="2937"/>
      <c r="Q9" s="2937"/>
      <c r="R9" s="2937"/>
      <c r="S9" s="2937"/>
      <c r="T9" s="2937"/>
      <c r="U9" s="2937"/>
      <c r="V9" s="2938"/>
      <c r="W9" s="885"/>
      <c r="X9" s="885"/>
      <c r="Y9" s="885"/>
      <c r="Z9" s="885"/>
      <c r="AA9" s="885"/>
    </row>
    <row r="10" spans="1:61" ht="7.5" customHeight="1" x14ac:dyDescent="0.25">
      <c r="A10" s="762"/>
      <c r="B10" s="2934"/>
      <c r="C10" s="901"/>
      <c r="D10" s="1072"/>
      <c r="E10" s="898"/>
      <c r="F10" s="898"/>
      <c r="G10" s="850"/>
      <c r="H10" s="898"/>
      <c r="I10" s="898"/>
      <c r="J10" s="898"/>
      <c r="K10" s="850"/>
      <c r="L10" s="898"/>
      <c r="M10" s="898"/>
      <c r="N10" s="898"/>
      <c r="O10" s="850"/>
      <c r="P10" s="898"/>
      <c r="Q10" s="898"/>
      <c r="R10" s="898"/>
      <c r="S10" s="850"/>
      <c r="T10" s="898"/>
      <c r="U10" s="898"/>
      <c r="V10" s="1073"/>
      <c r="W10" s="152"/>
      <c r="X10" s="152"/>
      <c r="Y10" s="152"/>
      <c r="Z10" s="152"/>
      <c r="AA10" s="152"/>
      <c r="AB10" s="68"/>
    </row>
    <row r="11" spans="1:61" s="882" customFormat="1" ht="17.649999999999999" customHeight="1" thickBot="1" x14ac:dyDescent="0.35">
      <c r="A11" s="1109"/>
      <c r="B11" s="2935"/>
      <c r="C11" s="901"/>
      <c r="D11" s="1064">
        <v>1</v>
      </c>
      <c r="E11" s="1066" t="s">
        <v>21</v>
      </c>
      <c r="F11" s="1066">
        <v>3</v>
      </c>
      <c r="G11" s="1067"/>
      <c r="H11" s="1066">
        <f>F11</f>
        <v>3</v>
      </c>
      <c r="I11" s="1066" t="s">
        <v>21</v>
      </c>
      <c r="J11" s="1066">
        <v>30</v>
      </c>
      <c r="K11" s="1067"/>
      <c r="L11" s="1066">
        <f>J11</f>
        <v>30</v>
      </c>
      <c r="M11" s="1066" t="s">
        <v>21</v>
      </c>
      <c r="N11" s="1066">
        <v>150</v>
      </c>
      <c r="O11" s="1067"/>
      <c r="P11" s="1066">
        <f>N11</f>
        <v>150</v>
      </c>
      <c r="Q11" s="1066" t="s">
        <v>21</v>
      </c>
      <c r="R11" s="1066">
        <v>350</v>
      </c>
      <c r="S11" s="1067"/>
      <c r="T11" s="1066">
        <f>R11</f>
        <v>350</v>
      </c>
      <c r="U11" s="1066" t="s">
        <v>21</v>
      </c>
      <c r="V11" s="1068">
        <v>750</v>
      </c>
      <c r="W11" s="885"/>
      <c r="X11" s="885"/>
      <c r="Y11" s="885"/>
      <c r="Z11" s="885"/>
      <c r="AA11" s="885"/>
    </row>
    <row r="12" spans="1:61"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2" customFormat="1" ht="19.899999999999999" customHeight="1" thickTop="1" thickBot="1" x14ac:dyDescent="0.35">
      <c r="A13" s="1109"/>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885"/>
      <c r="X13" s="885"/>
      <c r="Y13" s="885"/>
      <c r="Z13" s="885"/>
      <c r="AA13" s="885"/>
    </row>
    <row r="14" spans="1:61" ht="7.5" customHeight="1" x14ac:dyDescent="0.25">
      <c r="A14" s="762"/>
      <c r="B14" s="1009"/>
      <c r="C14" s="903"/>
      <c r="D14" s="1015"/>
      <c r="E14" s="1659">
        <v>0.75</v>
      </c>
      <c r="F14" s="1658"/>
      <c r="G14" s="1656"/>
      <c r="H14" s="1657"/>
      <c r="I14" s="1659">
        <f>E14</f>
        <v>0.75</v>
      </c>
      <c r="J14" s="1658"/>
      <c r="K14" s="1656"/>
      <c r="L14" s="1657"/>
      <c r="M14" s="1659">
        <v>0.6</v>
      </c>
      <c r="N14" s="1658"/>
      <c r="O14" s="1656"/>
      <c r="P14" s="1657"/>
      <c r="Q14" s="1659">
        <f>M14</f>
        <v>0.6</v>
      </c>
      <c r="R14" s="1658"/>
      <c r="S14" s="1656"/>
      <c r="T14" s="1657"/>
      <c r="U14" s="1659">
        <f>Q14</f>
        <v>0.6</v>
      </c>
      <c r="V14" s="924"/>
      <c r="W14" s="152"/>
      <c r="X14" s="152"/>
      <c r="Y14" s="152"/>
      <c r="Z14" s="152"/>
      <c r="AA14" s="152"/>
      <c r="AB14" s="68"/>
    </row>
    <row r="15" spans="1:61" ht="17.649999999999999" customHeight="1" x14ac:dyDescent="0.25">
      <c r="A15" s="762"/>
      <c r="B15" s="913" t="s">
        <v>376</v>
      </c>
      <c r="C15" s="869"/>
      <c r="D15" s="1075">
        <f>2706*1.18/(313*2)</f>
        <v>5.1007667731629391</v>
      </c>
      <c r="E15" s="846" t="str">
        <f>(IF(E$7="SIM",(((D15*$H$2)*E21*(1+'R&amp;C-Painel de Controle'!$D$61))+((D15*$H$2)*(1-E21)/$D$5*'R&amp;C-Painel de Controle'!$D$52*(1+'R&amp;C-Painel de Controle'!$D$54)))/1000000,"-"))</f>
        <v>-</v>
      </c>
      <c r="F15" s="917">
        <v>0.1</v>
      </c>
      <c r="G15" s="869"/>
      <c r="H15" s="1075">
        <f>(2706+75000)*1.18/(313*10)</f>
        <v>29.294913738019169</v>
      </c>
      <c r="I15" s="846" t="str">
        <f>(IF(I$7="SIM",(((H15*$H$2)*I21*(1+'R&amp;C-Painel de Controle'!$D$61))+((H15*$H$2)*(1-I21)/$D$5*'R&amp;C-Painel de Controle'!$D$52*(1+'R&amp;C-Painel de Controle'!$D$54)))/1000000,"-"))</f>
        <v>-</v>
      </c>
      <c r="J15" s="917">
        <v>0.1</v>
      </c>
      <c r="K15" s="869"/>
      <c r="L15" s="1075">
        <f>250*M14</f>
        <v>150</v>
      </c>
      <c r="M15" s="846" t="str">
        <f>(IF(M$7="SIM",(((M22*L15*1000+(3731520/2)*((M22/5)/1.5))*M21*(1+'R&amp;C-Painel de Controle'!$D$61))+((M22*L15*1000+(3731520/2)*((M22/5)/1.5))*(1-M21)/$D$5*'R&amp;C-Painel de Controle'!$D$52*(1+'R&amp;C-Painel de Controle'!$D$54)))/1000000,"-"))</f>
        <v>-</v>
      </c>
      <c r="N15" s="917">
        <v>0.35</v>
      </c>
      <c r="O15" s="869"/>
      <c r="P15" s="1075">
        <f>500*Q14</f>
        <v>300</v>
      </c>
      <c r="Q15" s="846" t="str">
        <f>(IF(Q$7="SIM",(((Q22*P15*1000+(3731520/1)*((Q22/5)/1.5))*Q21*(1+'R&amp;C-Painel de Controle'!$D$61))+((Q22*P15*1000+(3731520/1)*((Q22/5)/1.5))*(1-Q21)/$D$5*'R&amp;C-Painel de Controle'!$D$52*(1+'R&amp;C-Painel de Controle'!$D$54)))/1000000,"-"))</f>
        <v>-</v>
      </c>
      <c r="R15" s="917">
        <v>0.35</v>
      </c>
      <c r="S15" s="993"/>
      <c r="T15" s="1075">
        <f>500*U14</f>
        <v>300</v>
      </c>
      <c r="U15" s="846" t="str">
        <f>(IF(U$7="SIM",(((U22*T15*1000+(3731520/1)*((U22/5)/1.5))*U21*(1+'R&amp;C-Painel de Controle'!$D$61))+((U22*T15*1000+(3731520/1)*((U22/5)/1.5))*(1-U21)/$D$5*'R&amp;C-Painel de Controle'!$D$52*(1+'R&amp;C-Painel de Controle'!$D$54)))/1000000,"-"))</f>
        <v>-</v>
      </c>
      <c r="V15" s="917">
        <v>0.35</v>
      </c>
      <c r="W15" s="310">
        <v>2.44073406720013E-3</v>
      </c>
      <c r="X15" s="310">
        <v>4.4118468134400268E-3</v>
      </c>
      <c r="Y15" s="310">
        <v>5.5541252601274449</v>
      </c>
      <c r="Z15" s="310">
        <v>14.407895345202244</v>
      </c>
      <c r="AA15" s="310">
        <v>31.727614145202242</v>
      </c>
      <c r="AB15" s="68"/>
    </row>
    <row r="16" spans="1:61" ht="17.649999999999999" customHeight="1" x14ac:dyDescent="0.25">
      <c r="A16" s="762"/>
      <c r="B16" s="913" t="s">
        <v>641</v>
      </c>
      <c r="C16" s="869"/>
      <c r="D16" s="918">
        <f>38884*1.18/(2*313)</f>
        <v>73.295718849840242</v>
      </c>
      <c r="E16" s="846" t="str">
        <f>(IF(E$7="SIM",((F17*0.15/1.2*('R&amp;C-Painel de Controle'!$D$60))+(D16*$H$2*(1+'R&amp;C-Painel de Controle'!$D$61))+('R&amp;C-Painel de Controle'!$D$6*600*$L$16/100*(1+'R&amp;C-Painel de Controle'!$D$61)))/1000000,"-"))</f>
        <v>-</v>
      </c>
      <c r="F16" s="919">
        <v>0.05</v>
      </c>
      <c r="G16" s="869"/>
      <c r="H16" s="918">
        <f>51600*1.18/(10*313)</f>
        <v>19.453035143769966</v>
      </c>
      <c r="I16" s="846" t="str">
        <f>(IF(I$7="SIM",((J17*0.15/1.2*('R&amp;C-Painel de Controle'!$D$60))+(H16*$H$2*(1+'R&amp;C-Painel de Controle'!$D$61))+('R&amp;C-Painel de Controle'!$D$6*600*$L$16/100*(1+'R&amp;C-Painel de Controle'!$D$61)))/1000000,"-"))</f>
        <v>-</v>
      </c>
      <c r="J16" s="919">
        <v>0.05</v>
      </c>
      <c r="K16" s="869"/>
      <c r="L16" s="918">
        <v>1</v>
      </c>
      <c r="M16" s="846" t="str">
        <f>(IF(M$7="SIM",(((L17-N17)*'R&amp;C-Painel de Controle'!$D$57*0.1)+(N17*('R&amp;C-Painel de Controle'!$D$60*0.25))+(250*(1+'R&amp;C-Painel de Controle'!$D$61)*((500/2)*M22))+('R&amp;C-Painel de Controle'!$D$6*600*L16/100*(1+'R&amp;C-Painel de Controle'!$D$61)))/1000000,"-"))</f>
        <v>-</v>
      </c>
      <c r="N16" s="919">
        <v>0.05</v>
      </c>
      <c r="O16" s="869"/>
      <c r="P16" s="918">
        <v>0.5</v>
      </c>
      <c r="Q16" s="846" t="str">
        <f>(IF(Q$7="SIM",(((P17-R17)*'R&amp;C-Painel de Controle'!$D$57*0.1)+(R17*('R&amp;C-Painel de Controle'!$D$60*0.25))+(250*(1+'R&amp;C-Painel de Controle'!$D$61)*((500/1)*Q22))+('R&amp;C-Painel de Controle'!$D$6*600*P16/100*(1+'R&amp;C-Painel de Controle'!$D$61)))/1000000,"-"))</f>
        <v>-</v>
      </c>
      <c r="R16" s="919">
        <v>0.05</v>
      </c>
      <c r="S16" s="993"/>
      <c r="T16" s="918">
        <v>0.25</v>
      </c>
      <c r="U16" s="846" t="str">
        <f>(IF(U$7="SIM",(((T17-V17)*'R&amp;C-Painel de Controle'!$D$57*0.1)+(V17*('R&amp;C-Painel de Controle'!$D$60*0.25))+(250*(1+'R&amp;C-Painel de Controle'!$D$61)*((500/1)*U22))+('R&amp;C-Painel de Controle'!$D$6*600*T16/100*(1+'R&amp;C-Painel de Controle'!$D$61)))/1000000,"-"))</f>
        <v>-</v>
      </c>
      <c r="V16" s="919">
        <v>0.05</v>
      </c>
      <c r="W16" s="310">
        <v>8.3694133140804483E-2</v>
      </c>
      <c r="X16" s="310">
        <v>0.52357054028400296</v>
      </c>
      <c r="Y16" s="310">
        <v>1.3303792707750766</v>
      </c>
      <c r="Z16" s="310">
        <v>3.264279456372202</v>
      </c>
      <c r="AA16" s="310">
        <v>6.9471436981495014</v>
      </c>
      <c r="AB16" s="68"/>
    </row>
    <row r="17" spans="1:28" ht="17.649999999999999" customHeight="1" x14ac:dyDescent="0.25">
      <c r="A17" s="764"/>
      <c r="B17" s="913" t="s">
        <v>753</v>
      </c>
      <c r="C17" s="869"/>
      <c r="D17" s="920" t="str">
        <f>(IF(E$7="SIM",2*(20*(20+(SQRT(F17))+20))+2*(20*(F17/(SQRT(F17))))+F17,"-"))</f>
        <v>-</v>
      </c>
      <c r="E17" s="846" t="str">
        <f>(IF(E$7="SIM",('R&amp;C-Painel de Controle'!$D$55+0.25)*D17/1000000,"-"))</f>
        <v>-</v>
      </c>
      <c r="F17" s="921" t="str">
        <f>IF(E7="SIM",(500/4*E22)*(1+0.075+0.075),"-")</f>
        <v>-</v>
      </c>
      <c r="G17" s="869"/>
      <c r="H17" s="920" t="str">
        <f>(IF(I$7="SIM",2*(20*(20+(SQRT(J17))+20))+2*(20*(J17/(SQRT(J17))))+J17,"-"))</f>
        <v>-</v>
      </c>
      <c r="I17" s="846" t="str">
        <f>(IF(I$7="SIM",('R&amp;C-Painel de Controle'!$D$55+0.25)*H17/1000000,"-"))</f>
        <v>-</v>
      </c>
      <c r="J17" s="921" t="str">
        <f>IF(I7="SIM",(2500/10*I22)*(1+0.075+0.075),"-")</f>
        <v>-</v>
      </c>
      <c r="K17" s="869"/>
      <c r="L17" s="920" t="str">
        <f>(IF(M$7="SIM",2*(20*(20+(SQRT(N17))+20))+2*(20*(N17/(SQRT(N17))))+N17,"-"))</f>
        <v>-</v>
      </c>
      <c r="M17" s="846" t="str">
        <f>(IF(M$7="SIM",('R&amp;C-Painel de Controle'!$D$55+0.25)*L17/1000000,"-"))</f>
        <v>-</v>
      </c>
      <c r="N17" s="921" t="str">
        <f>IF(M7="SIM",(500/2*M22)*(1+1/2+1/2),"-")</f>
        <v>-</v>
      </c>
      <c r="O17" s="869"/>
      <c r="P17" s="920" t="str">
        <f>(IF(Q$7="SIM",2*(20*(20+(SQRT(R17))+20))+2*(20*(R17/(SQRT(R17))))+R17,"-"))</f>
        <v>-</v>
      </c>
      <c r="Q17" s="846" t="str">
        <f>(IF(Q$7="SIM",('R&amp;C-Painel de Controle'!$D$55+0.25)*P17/1000000,"-"))</f>
        <v>-</v>
      </c>
      <c r="R17" s="921" t="str">
        <f>IF(Q7="SIM",(500*Q22)*(1+1/2+1/2),"-")</f>
        <v>-</v>
      </c>
      <c r="S17" s="869"/>
      <c r="T17" s="920" t="str">
        <f>(IF(U$7="SIM",2*(20*(20+(SQRT(V17))+20))+2*(20*(V17/(SQRT(V17))))+V17,"-"))</f>
        <v>-</v>
      </c>
      <c r="U17" s="846" t="str">
        <f>(IF(U$7="SIM",('R&amp;C-Painel de Controle'!$D$55+0.25)*T17/1000000,"-"))</f>
        <v>-</v>
      </c>
      <c r="V17" s="921" t="str">
        <f>IF(U7="SIM",(500*U22)*(1+1/2+1/2),"-")</f>
        <v>-</v>
      </c>
      <c r="W17" s="310">
        <v>0.35563151831327922</v>
      </c>
      <c r="X17" s="310">
        <v>1.061749817661567</v>
      </c>
      <c r="Y17" s="310">
        <v>0.90132012952401708</v>
      </c>
      <c r="Z17" s="310">
        <v>1.8403385816580575</v>
      </c>
      <c r="AA17" s="310">
        <v>3.3106900948189795</v>
      </c>
      <c r="AB17" s="68"/>
    </row>
    <row r="18" spans="1:28" ht="17.649999999999999" customHeight="1" x14ac:dyDescent="0.25">
      <c r="A18" s="762"/>
      <c r="B18" s="913" t="s">
        <v>438</v>
      </c>
      <c r="C18" s="869"/>
      <c r="D18" s="1076" t="str">
        <f>IF(E7="SIM",(E15+E16)*F18*1000/$H$2,"-")</f>
        <v>-</v>
      </c>
      <c r="E18" s="846" t="str">
        <f>(IF(E$7="SIM",$H$2*D18/1000,""))</f>
        <v/>
      </c>
      <c r="F18" s="917">
        <v>0.5</v>
      </c>
      <c r="G18" s="869"/>
      <c r="H18" s="1076" t="str">
        <f>IF(I7="SIM",(I15+I16)*J18*1000/$H$2,"-")</f>
        <v>-</v>
      </c>
      <c r="I18" s="846" t="str">
        <f>(IF(I$7="SIM",$H$2*H18/1000,""))</f>
        <v/>
      </c>
      <c r="J18" s="917">
        <v>0.35</v>
      </c>
      <c r="K18" s="869"/>
      <c r="L18" s="1076" t="str">
        <f>IF(M7="SIM",(M15+M16)*N18*1000/$H$2,"-")</f>
        <v>-</v>
      </c>
      <c r="M18" s="846" t="str">
        <f>(IF(M$7="SIM",$H$2*L18/1000,""))</f>
        <v/>
      </c>
      <c r="N18" s="917">
        <v>7.4999999999999997E-2</v>
      </c>
      <c r="O18" s="869"/>
      <c r="P18" s="1076" t="str">
        <f>IF(Q7="SIM",(Q15+Q16)*R18*1000/$H$2,"-")</f>
        <v>-</v>
      </c>
      <c r="Q18" s="846" t="str">
        <f>(IF(Q$7="SIM",$H$2*P18/1000,""))</f>
        <v/>
      </c>
      <c r="R18" s="917">
        <v>0.05</v>
      </c>
      <c r="S18" s="869"/>
      <c r="T18" s="1076" t="str">
        <f>IF(U7="SIM",(U15+U16)*V18*1000/$H$2,"-")</f>
        <v>-</v>
      </c>
      <c r="U18" s="846" t="str">
        <f>(IF(U$7="SIM",$H$2*T18/1000,""))</f>
        <v/>
      </c>
      <c r="V18" s="917">
        <v>0.05</v>
      </c>
      <c r="W18" s="310">
        <v>4.3067433604002309E-2</v>
      </c>
      <c r="X18" s="310">
        <v>0.184793835484105</v>
      </c>
      <c r="Y18" s="310">
        <v>0.5163378398176891</v>
      </c>
      <c r="Z18" s="310">
        <v>0.61852611805510582</v>
      </c>
      <c r="AA18" s="310">
        <v>0.96686894608379359</v>
      </c>
      <c r="AB18" s="68"/>
    </row>
    <row r="19" spans="1:28" s="882" customFormat="1" ht="19.899999999999999" customHeight="1" collapsed="1" thickBot="1" x14ac:dyDescent="0.35">
      <c r="A19" s="1107"/>
      <c r="B19" s="914" t="s">
        <v>377</v>
      </c>
      <c r="C19" s="904"/>
      <c r="D19" s="1052">
        <v>2.5000000000000001E-2</v>
      </c>
      <c r="E19" s="922" t="str">
        <f>IF(E7="SIM",SUM(E15:E18)*(1+D19),"-")</f>
        <v>-</v>
      </c>
      <c r="F19" s="1103" t="s">
        <v>289</v>
      </c>
      <c r="G19" s="904"/>
      <c r="H19" s="1052">
        <v>2.5000000000000001E-2</v>
      </c>
      <c r="I19" s="922" t="str">
        <f>IF(I7="SIM",SUM(I15:I18)*(1+H19),"-")</f>
        <v>-</v>
      </c>
      <c r="J19" s="1103" t="s">
        <v>289</v>
      </c>
      <c r="K19" s="904"/>
      <c r="L19" s="1052">
        <v>0.05</v>
      </c>
      <c r="M19" s="922" t="str">
        <f>IF(M7="SIM",SUM(M15:M18)*(1+L19),"-")</f>
        <v>-</v>
      </c>
      <c r="N19" s="1103" t="s">
        <v>289</v>
      </c>
      <c r="O19" s="904"/>
      <c r="P19" s="1050">
        <v>0.05</v>
      </c>
      <c r="Q19" s="922" t="str">
        <f>IF(Q7="SIM",SUM(Q15:Q18)*(1+P19),"-")</f>
        <v>-</v>
      </c>
      <c r="R19" s="1103" t="s">
        <v>289</v>
      </c>
      <c r="S19" s="904"/>
      <c r="T19" s="1050">
        <v>0.05</v>
      </c>
      <c r="U19" s="922" t="str">
        <f>IF(U7="SIM",SUM(U15:U18)*(1+T19),"-")</f>
        <v>-</v>
      </c>
      <c r="V19" s="1103" t="s">
        <v>289</v>
      </c>
      <c r="W19" s="880">
        <v>0.49695466460341825</v>
      </c>
      <c r="X19" s="880">
        <v>1.8188891912491927</v>
      </c>
      <c r="Y19" s="880">
        <v>8.7172706252564396</v>
      </c>
      <c r="Z19" s="880">
        <v>21.137591476351989</v>
      </c>
      <c r="AA19" s="880">
        <v>45.099932728467245</v>
      </c>
    </row>
    <row r="20" spans="1:28" ht="18" hidden="1" customHeight="1" outlineLevel="1" thickTop="1" x14ac:dyDescent="0.25">
      <c r="A20" s="762"/>
      <c r="B20" s="1006" t="s">
        <v>378</v>
      </c>
      <c r="C20" s="751"/>
      <c r="D20" s="1007" t="s">
        <v>289</v>
      </c>
      <c r="E20" s="1008" t="str">
        <f>IF(E7="SIM",E19*1000000/$H$2,"-")</f>
        <v>-</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11">
        <v>880.13596409587001</v>
      </c>
      <c r="X20" s="311">
        <v>356.42591425470079</v>
      </c>
      <c r="Y20" s="311">
        <v>310.12786442016761</v>
      </c>
      <c r="Z20" s="311">
        <v>270.60149971688458</v>
      </c>
      <c r="AA20" s="311">
        <v>262.18855086864005</v>
      </c>
      <c r="AB20" s="68"/>
    </row>
    <row r="21" spans="1:28" ht="18" hidden="1" customHeight="1" outlineLevel="1" x14ac:dyDescent="0.25">
      <c r="A21" s="762"/>
      <c r="B21" s="217" t="s">
        <v>639</v>
      </c>
      <c r="C21" s="751"/>
      <c r="D21" s="333"/>
      <c r="E21" s="336">
        <f>'R&amp;C-Painel de Controle'!$G$68</f>
        <v>0.25</v>
      </c>
      <c r="F21" s="334"/>
      <c r="G21" s="752"/>
      <c r="H21" s="334"/>
      <c r="I21" s="336">
        <f>'R&amp;C-Painel de Controle'!$G$68</f>
        <v>0.25</v>
      </c>
      <c r="J21" s="334"/>
      <c r="K21" s="752"/>
      <c r="L21" s="334"/>
      <c r="M21" s="336">
        <f>'R&amp;C-Painel de Controle'!$G$68</f>
        <v>0.25</v>
      </c>
      <c r="N21" s="334"/>
      <c r="O21" s="752"/>
      <c r="P21" s="334"/>
      <c r="Q21" s="336">
        <f>'R&amp;C-Painel de Controle'!$G$68</f>
        <v>0.25</v>
      </c>
      <c r="R21" s="334"/>
      <c r="S21" s="752"/>
      <c r="T21" s="334"/>
      <c r="U21" s="336">
        <f>'R&amp;C-Painel de Controle'!$G$68</f>
        <v>0.25</v>
      </c>
      <c r="V21" s="331"/>
      <c r="W21" s="152"/>
      <c r="X21" s="314">
        <f>(X20-W20)/X20</f>
        <v>-1.4693377470498055</v>
      </c>
      <c r="Y21" s="314">
        <f>(Y20-X20)/Y20</f>
        <v>-0.14928697207229216</v>
      </c>
      <c r="Z21" s="314">
        <f>(Z20-Y20)/Z20</f>
        <v>-0.14606853526176791</v>
      </c>
      <c r="AA21" s="314">
        <f>(AA20-Z20)/AA20</f>
        <v>-3.2087399775360612E-2</v>
      </c>
      <c r="AB21" s="68"/>
    </row>
    <row r="22" spans="1:28" ht="18" hidden="1" customHeight="1" outlineLevel="1" x14ac:dyDescent="0.25">
      <c r="A22" s="762"/>
      <c r="B22" s="755" t="s">
        <v>649</v>
      </c>
      <c r="C22" s="751"/>
      <c r="D22" s="333"/>
      <c r="E22" s="331" t="str">
        <f>IF(E7="SIM",($D$2/(2))*4,"-")</f>
        <v>-</v>
      </c>
      <c r="F22" s="331"/>
      <c r="G22" s="751"/>
      <c r="H22" s="331"/>
      <c r="I22" s="337" t="str">
        <f>IF(I7="SIM",($D$2/10)*10,"-")</f>
        <v>-</v>
      </c>
      <c r="J22" s="331"/>
      <c r="K22" s="751"/>
      <c r="L22" s="331"/>
      <c r="M22" s="331" t="str">
        <f>IF(M7="SIM",($D$2/(125/2))*5,"-")</f>
        <v>-</v>
      </c>
      <c r="N22" s="331"/>
      <c r="O22" s="751"/>
      <c r="P22" s="331"/>
      <c r="Q22" s="331" t="str">
        <f>IF(Q7="SIM",($D$2/125)*5,"-")</f>
        <v>-</v>
      </c>
      <c r="R22" s="331"/>
      <c r="S22" s="751"/>
      <c r="T22" s="331"/>
      <c r="U22" s="331" t="str">
        <f>IF(U7="SIM",($D$2/125)*5,"-")</f>
        <v>-</v>
      </c>
      <c r="V22" s="331"/>
      <c r="W22" s="152"/>
      <c r="X22" s="152"/>
      <c r="Y22" s="152"/>
      <c r="Z22" s="152"/>
      <c r="AA22" s="152"/>
      <c r="AB22" s="68"/>
    </row>
    <row r="23" spans="1:28" ht="18" hidden="1" customHeight="1" outlineLevel="1" x14ac:dyDescent="0.25">
      <c r="A23" s="762"/>
      <c r="B23" s="754" t="s">
        <v>435</v>
      </c>
      <c r="C23" s="751"/>
      <c r="D23" s="338"/>
      <c r="E23" s="337" t="str">
        <f>IF(E7="SIM",(E15*F15+E16*F16)/4,"-")</f>
        <v>-</v>
      </c>
      <c r="F23" s="331"/>
      <c r="G23" s="751"/>
      <c r="H23" s="331"/>
      <c r="I23" s="337" t="str">
        <f>IF(I7="SIM",(I15*J15+I16*J16)/4,"-")</f>
        <v>-</v>
      </c>
      <c r="J23" s="331"/>
      <c r="K23" s="751"/>
      <c r="L23" s="331"/>
      <c r="M23" s="337" t="str">
        <f>IF(M7="SIM",(M15*N15+M16*N16)/4,"-")</f>
        <v>-</v>
      </c>
      <c r="N23" s="331"/>
      <c r="O23" s="751"/>
      <c r="P23" s="331"/>
      <c r="Q23" s="337" t="str">
        <f>IF(Q7="SIM",(Q15*R15+Q16*R16)/4,"-")</f>
        <v>-</v>
      </c>
      <c r="R23" s="331"/>
      <c r="S23" s="751"/>
      <c r="T23" s="331"/>
      <c r="U23" s="337" t="str">
        <f>IF(U7="SIM",(U15*V15+U16*V16)/4,"-")</f>
        <v>-</v>
      </c>
      <c r="V23" s="331"/>
      <c r="W23" s="152"/>
      <c r="X23" s="152"/>
      <c r="Y23" s="152"/>
      <c r="Z23" s="152"/>
      <c r="AA23" s="152"/>
      <c r="AB23" s="68"/>
    </row>
    <row r="24" spans="1:28" ht="15" customHeight="1" thickTop="1" thickBot="1" x14ac:dyDescent="0.3">
      <c r="A24" s="762"/>
      <c r="B24" s="934"/>
      <c r="C24" s="751"/>
      <c r="D24" s="935"/>
      <c r="E24" s="935"/>
      <c r="F24" s="935"/>
      <c r="G24" s="751"/>
      <c r="H24" s="935"/>
      <c r="I24" s="935"/>
      <c r="J24" s="935"/>
      <c r="K24" s="751"/>
      <c r="L24" s="935"/>
      <c r="M24" s="935"/>
      <c r="N24" s="935"/>
      <c r="O24" s="751"/>
      <c r="P24" s="935"/>
      <c r="Q24" s="935"/>
      <c r="R24" s="935"/>
      <c r="S24" s="751"/>
      <c r="T24" s="935"/>
      <c r="U24" s="935"/>
      <c r="V24" s="935"/>
      <c r="W24" s="152"/>
      <c r="X24" s="152"/>
      <c r="Y24" s="152"/>
      <c r="Z24" s="152"/>
      <c r="AA24" s="152"/>
      <c r="AB24" s="68"/>
    </row>
    <row r="25" spans="1:28" s="882" customFormat="1" ht="19.899999999999999" customHeight="1" thickTop="1" thickBot="1" x14ac:dyDescent="0.35">
      <c r="A25" s="1109"/>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885"/>
      <c r="X25" s="885"/>
      <c r="Y25" s="885"/>
      <c r="Z25" s="885"/>
      <c r="AA25" s="885"/>
    </row>
    <row r="26" spans="1:28" ht="7.5" customHeight="1" x14ac:dyDescent="0.25">
      <c r="A26" s="762"/>
      <c r="B26" s="1084"/>
      <c r="C26" s="903"/>
      <c r="D26" s="1015"/>
      <c r="E26" s="339"/>
      <c r="F26" s="1016"/>
      <c r="G26" s="996"/>
      <c r="H26" s="1031"/>
      <c r="I26" s="339"/>
      <c r="J26" s="1023"/>
      <c r="K26" s="996"/>
      <c r="L26" s="1036"/>
      <c r="M26" s="339"/>
      <c r="N26" s="1023"/>
      <c r="O26" s="996"/>
      <c r="P26" s="1036"/>
      <c r="Q26" s="339"/>
      <c r="R26" s="1023"/>
      <c r="S26" s="996"/>
      <c r="T26" s="1036"/>
      <c r="U26" s="339"/>
      <c r="V26" s="1038"/>
      <c r="W26" s="152"/>
      <c r="X26" s="152"/>
      <c r="Y26" s="152"/>
      <c r="Z26" s="152"/>
      <c r="AA26" s="152"/>
      <c r="AB26" s="68"/>
    </row>
    <row r="27" spans="1:28" ht="17.649999999999999" customHeight="1" collapsed="1" x14ac:dyDescent="0.25">
      <c r="A27" s="765"/>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153"/>
      <c r="X27" s="153"/>
      <c r="Y27" s="153"/>
      <c r="Z27" s="153"/>
      <c r="AA27" s="153"/>
      <c r="AB27" s="68"/>
    </row>
    <row r="28" spans="1:28" ht="18" hidden="1" customHeight="1" outlineLevel="1" x14ac:dyDescent="0.25">
      <c r="A28" s="762"/>
      <c r="B28" s="1010"/>
      <c r="C28" s="925"/>
      <c r="D28" s="1015"/>
      <c r="E28" s="332"/>
      <c r="F28" s="1016"/>
      <c r="G28" s="997"/>
      <c r="H28" s="1031"/>
      <c r="I28" s="332"/>
      <c r="J28" s="1034"/>
      <c r="K28" s="997"/>
      <c r="L28" s="1031"/>
      <c r="M28" s="332"/>
      <c r="N28" s="1034"/>
      <c r="O28" s="997"/>
      <c r="P28" s="1031"/>
      <c r="Q28" s="332"/>
      <c r="R28" s="1034"/>
      <c r="S28" s="997"/>
      <c r="T28" s="1031"/>
      <c r="U28" s="341"/>
      <c r="V28" s="924"/>
      <c r="W28" s="152"/>
      <c r="X28" s="152"/>
      <c r="Y28" s="152"/>
      <c r="Z28" s="152"/>
      <c r="AA28" s="152"/>
      <c r="AB28" s="68"/>
    </row>
    <row r="29" spans="1:28" ht="18" hidden="1" customHeight="1" outlineLevel="1" x14ac:dyDescent="0.25">
      <c r="A29" s="762"/>
      <c r="B29" s="1011" t="s">
        <v>630</v>
      </c>
      <c r="C29" s="903"/>
      <c r="D29" s="1015"/>
      <c r="E29" s="338">
        <v>1</v>
      </c>
      <c r="F29" s="1016"/>
      <c r="G29" s="998"/>
      <c r="H29" s="1031"/>
      <c r="I29" s="338">
        <v>1</v>
      </c>
      <c r="J29" s="1035"/>
      <c r="K29" s="998"/>
      <c r="L29" s="1037"/>
      <c r="M29" s="338">
        <v>2</v>
      </c>
      <c r="N29" s="1035"/>
      <c r="O29" s="998"/>
      <c r="P29" s="1037"/>
      <c r="Q29" s="338">
        <v>2</v>
      </c>
      <c r="R29" s="1035"/>
      <c r="S29" s="998"/>
      <c r="T29" s="1037"/>
      <c r="U29" s="338">
        <v>2</v>
      </c>
      <c r="V29" s="924"/>
      <c r="W29" s="152"/>
      <c r="X29" s="152"/>
      <c r="Y29" s="152"/>
      <c r="Z29" s="152"/>
      <c r="AA29" s="152"/>
      <c r="AB29" s="68"/>
    </row>
    <row r="30" spans="1:28" ht="18" hidden="1" customHeight="1" outlineLevel="1" x14ac:dyDescent="0.25">
      <c r="A30" s="762"/>
      <c r="B30" s="1011" t="s">
        <v>642</v>
      </c>
      <c r="C30" s="903"/>
      <c r="D30" s="1015"/>
      <c r="E30" s="338" t="str">
        <f>IF(E7="SIM",($D$2/2)*4,"-")</f>
        <v>-</v>
      </c>
      <c r="F30" s="1016"/>
      <c r="G30" s="998"/>
      <c r="H30" s="1031"/>
      <c r="I30" s="338" t="str">
        <f>IF(I7="SIM",($D$2/10)*5,"-")</f>
        <v>-</v>
      </c>
      <c r="J30" s="1035"/>
      <c r="K30" s="998"/>
      <c r="L30" s="1037"/>
      <c r="M30" s="338" t="str">
        <f>IF(M7="SIM",(M22/5)*3,"-")</f>
        <v>-</v>
      </c>
      <c r="N30" s="1035"/>
      <c r="O30" s="998"/>
      <c r="P30" s="1037"/>
      <c r="Q30" s="338" t="str">
        <f>IF(Q7="SIM",(Q22/5)*3,"-")</f>
        <v>-</v>
      </c>
      <c r="R30" s="1035"/>
      <c r="S30" s="998"/>
      <c r="T30" s="1037"/>
      <c r="U30" s="338" t="str">
        <f>IF(U7="SIM",(U22/5)*3,"-")</f>
        <v>-</v>
      </c>
      <c r="V30" s="924"/>
      <c r="W30" s="152"/>
      <c r="X30" s="152"/>
      <c r="Y30" s="152"/>
      <c r="Z30" s="152"/>
      <c r="AA30" s="152"/>
      <c r="AB30" s="68"/>
    </row>
    <row r="31" spans="1:28" ht="18" hidden="1" customHeight="1" outlineLevel="1" x14ac:dyDescent="0.25">
      <c r="A31" s="762"/>
      <c r="B31" s="1011" t="s">
        <v>632</v>
      </c>
      <c r="C31" s="903"/>
      <c r="D31" s="1015"/>
      <c r="E31" s="335" t="str">
        <f>IF(E7="SIM",0.6*'R&amp;C-Painel de Controle'!$D$63*0.25+0.6*E29*E30/10*'R&amp;C-Painel de Controle'!$D$64*0.25+E30*E29*'R&amp;C-Painel de Controle'!$D$65,"-")</f>
        <v>-</v>
      </c>
      <c r="F31" s="1016"/>
      <c r="G31" s="996"/>
      <c r="H31" s="1031"/>
      <c r="I31" s="335" t="str">
        <f>IF(I7="SIM",0.6*'R&amp;C-Painel de Controle'!$D$63*0.25+0.6*I29*I30/10*'R&amp;C-Painel de Controle'!$D$64*0.25+I30*I29*'R&amp;C-Painel de Controle'!$D$65,"-")</f>
        <v>-</v>
      </c>
      <c r="J31" s="1023"/>
      <c r="K31" s="996"/>
      <c r="L31" s="1036"/>
      <c r="M31" s="335" t="str">
        <f>IF(M7="SIM",0.6*'R&amp;C-Painel de Controle'!$D$63*0.25+0.6*M29*M30/10*'R&amp;C-Painel de Controle'!$D$64*0.25+M30*M29*'R&amp;C-Painel de Controle'!$D$65,"-")</f>
        <v>-</v>
      </c>
      <c r="N31" s="1023"/>
      <c r="O31" s="996"/>
      <c r="P31" s="1036"/>
      <c r="Q31" s="335" t="str">
        <f>IF(Q7="SIM",0.6*'R&amp;C-Painel de Controle'!$D$63*0.25+0.6*Q29*Q30/10*'R&amp;C-Painel de Controle'!$D$64*0.25+Q30*Q29*'R&amp;C-Painel de Controle'!$D$65,"-")</f>
        <v>-</v>
      </c>
      <c r="R31" s="1023"/>
      <c r="S31" s="996"/>
      <c r="T31" s="1036"/>
      <c r="U31" s="335" t="str">
        <f>IF(U7="SIM",0.6*'R&amp;C-Painel de Controle'!$D$63*0.25+0.6*U29*U30/10*'R&amp;C-Painel de Controle'!$D$64*0.25+U30*U29*'R&amp;C-Painel de Controle'!$D$65,"-")</f>
        <v>-</v>
      </c>
      <c r="V31" s="924"/>
      <c r="W31" s="152"/>
      <c r="X31" s="152"/>
      <c r="Y31" s="152"/>
      <c r="Z31" s="152"/>
      <c r="AA31" s="152"/>
      <c r="AB31" s="68"/>
    </row>
    <row r="32" spans="1:28" ht="17.649999999999999" customHeight="1" collapsed="1" x14ac:dyDescent="0.25">
      <c r="A32" s="765"/>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153"/>
      <c r="X32" s="153"/>
      <c r="Y32" s="153"/>
      <c r="Z32" s="153"/>
      <c r="AA32" s="153"/>
      <c r="AB32" s="68"/>
    </row>
    <row r="33" spans="1:28" ht="18" hidden="1" customHeight="1" outlineLevel="1" x14ac:dyDescent="0.25">
      <c r="A33" s="765"/>
      <c r="B33" s="1011" t="s">
        <v>633</v>
      </c>
      <c r="C33" s="903"/>
      <c r="D33" s="1018"/>
      <c r="E33" s="342">
        <v>5</v>
      </c>
      <c r="F33" s="1019"/>
      <c r="G33" s="996"/>
      <c r="H33" s="1078"/>
      <c r="I33" s="342">
        <v>5</v>
      </c>
      <c r="J33" s="1019"/>
      <c r="K33" s="996"/>
      <c r="L33" s="1078"/>
      <c r="M33" s="334">
        <v>5</v>
      </c>
      <c r="N33" s="1019"/>
      <c r="O33" s="996"/>
      <c r="P33" s="1078"/>
      <c r="Q33" s="334">
        <v>5</v>
      </c>
      <c r="R33" s="1019"/>
      <c r="S33" s="996"/>
      <c r="T33" s="1078"/>
      <c r="U33" s="334">
        <v>5</v>
      </c>
      <c r="V33" s="1019"/>
      <c r="W33" s="153"/>
      <c r="X33" s="153"/>
      <c r="Y33" s="153"/>
      <c r="Z33" s="153"/>
      <c r="AA33" s="153"/>
      <c r="AB33" s="68"/>
    </row>
    <row r="34" spans="1:28" ht="18" hidden="1" customHeight="1" outlineLevel="1" x14ac:dyDescent="0.25">
      <c r="A34" s="762"/>
      <c r="B34" s="1011" t="s">
        <v>634</v>
      </c>
      <c r="C34" s="925"/>
      <c r="D34" s="1015"/>
      <c r="E34" s="335">
        <f>E33*F11*(0.9)*0.92/16</f>
        <v>0.77625</v>
      </c>
      <c r="F34" s="1016"/>
      <c r="G34" s="999"/>
      <c r="H34" s="1082"/>
      <c r="I34" s="335">
        <f>I33*J11*(0.9)*0.92/16</f>
        <v>7.7625000000000002</v>
      </c>
      <c r="J34" s="1022"/>
      <c r="K34" s="999"/>
      <c r="L34" s="1079"/>
      <c r="M34" s="335">
        <f>M33*N11*(0.9)*0.92/16</f>
        <v>38.8125</v>
      </c>
      <c r="N34" s="1022"/>
      <c r="O34" s="999"/>
      <c r="P34" s="1079"/>
      <c r="Q34" s="335">
        <f>Q33*R11*(0.9)*0.92/16</f>
        <v>90.5625</v>
      </c>
      <c r="R34" s="1022"/>
      <c r="S34" s="999"/>
      <c r="T34" s="1079"/>
      <c r="U34" s="335">
        <f>U33*V11*(0.9)*0.92/16</f>
        <v>194.0625</v>
      </c>
      <c r="V34" s="924"/>
      <c r="W34" s="152"/>
      <c r="X34" s="152"/>
      <c r="Y34" s="152"/>
      <c r="Z34" s="152"/>
      <c r="AA34" s="152"/>
      <c r="AB34" s="68"/>
    </row>
    <row r="35" spans="1:28" ht="17.649999999999999" customHeight="1" collapsed="1" x14ac:dyDescent="0.25">
      <c r="A35" s="765"/>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153"/>
      <c r="X35" s="153"/>
      <c r="Y35" s="153"/>
      <c r="Z35" s="153"/>
      <c r="AA35" s="153"/>
      <c r="AB35" s="68"/>
    </row>
    <row r="36" spans="1:28" ht="18" hidden="1" customHeight="1" outlineLevel="1" x14ac:dyDescent="0.25">
      <c r="A36" s="762"/>
      <c r="B36" s="1011" t="s">
        <v>650</v>
      </c>
      <c r="C36" s="903"/>
      <c r="D36" s="915"/>
      <c r="E36" s="340">
        <v>0.01</v>
      </c>
      <c r="F36" s="1016"/>
      <c r="G36" s="1001"/>
      <c r="H36" s="1081"/>
      <c r="I36" s="340">
        <v>0.01</v>
      </c>
      <c r="J36" s="1016"/>
      <c r="K36" s="1001"/>
      <c r="L36" s="1081"/>
      <c r="M36" s="340">
        <v>2.5000000000000001E-2</v>
      </c>
      <c r="N36" s="1016"/>
      <c r="O36" s="1001"/>
      <c r="P36" s="1081"/>
      <c r="Q36" s="340">
        <v>2.5000000000000001E-2</v>
      </c>
      <c r="R36" s="1016"/>
      <c r="S36" s="1001"/>
      <c r="T36" s="1081"/>
      <c r="U36" s="340">
        <v>2.5000000000000001E-2</v>
      </c>
      <c r="V36" s="924"/>
      <c r="W36" s="152"/>
      <c r="X36" s="152"/>
      <c r="Y36" s="152"/>
      <c r="Z36" s="152"/>
      <c r="AA36" s="152"/>
      <c r="AB36" s="68"/>
    </row>
    <row r="37" spans="1:28" ht="18" hidden="1" customHeight="1" outlineLevel="1" x14ac:dyDescent="0.25">
      <c r="A37" s="762"/>
      <c r="B37" s="1011" t="s">
        <v>441</v>
      </c>
      <c r="C37" s="903"/>
      <c r="D37" s="915"/>
      <c r="E37" s="335">
        <v>20000</v>
      </c>
      <c r="F37" s="1022"/>
      <c r="G37" s="999"/>
      <c r="H37" s="1079"/>
      <c r="I37" s="335">
        <v>20000</v>
      </c>
      <c r="J37" s="1022"/>
      <c r="K37" s="999"/>
      <c r="L37" s="1079"/>
      <c r="M37" s="335">
        <v>10000</v>
      </c>
      <c r="N37" s="1022"/>
      <c r="O37" s="999"/>
      <c r="P37" s="1079"/>
      <c r="Q37" s="335">
        <v>20000</v>
      </c>
      <c r="R37" s="1022"/>
      <c r="S37" s="999"/>
      <c r="T37" s="1079"/>
      <c r="U37" s="335">
        <v>25000</v>
      </c>
      <c r="V37" s="924"/>
      <c r="W37" s="152"/>
      <c r="X37" s="152"/>
      <c r="Y37" s="152"/>
      <c r="Z37" s="152"/>
      <c r="AA37" s="152"/>
      <c r="AB37" s="68"/>
    </row>
    <row r="38" spans="1:28" ht="17.649999999999999" customHeight="1" collapsed="1" x14ac:dyDescent="0.25">
      <c r="A38" s="765"/>
      <c r="B38" s="913" t="s">
        <v>638</v>
      </c>
      <c r="C38" s="869"/>
      <c r="D38" s="1074">
        <v>0.25</v>
      </c>
      <c r="E38" s="890" t="str">
        <f>(IF(E$7="SIM",D38*E39*E40*12/$H$2,"-"))</f>
        <v>-</v>
      </c>
      <c r="F38" s="1021"/>
      <c r="G38" s="1000"/>
      <c r="H38" s="1074">
        <v>0.25</v>
      </c>
      <c r="I38" s="890" t="str">
        <f>(IF(I$7="SIM",H38*I39*I40*12/$H$2,"-"))</f>
        <v>-</v>
      </c>
      <c r="J38" s="1021"/>
      <c r="K38" s="1000"/>
      <c r="L38" s="1074">
        <v>0.25</v>
      </c>
      <c r="M38" s="890" t="str">
        <f>(IF(M$7="SIM",L38*M39*M40*12/$H$2,"-"))</f>
        <v>-</v>
      </c>
      <c r="N38" s="1021"/>
      <c r="O38" s="1000"/>
      <c r="P38" s="1074">
        <v>0.25</v>
      </c>
      <c r="Q38" s="890" t="str">
        <f>(IF(Q$7="SIM",P38*Q39*Q40*12/$H$2,"-"))</f>
        <v>-</v>
      </c>
      <c r="R38" s="1021"/>
      <c r="S38" s="1000"/>
      <c r="T38" s="1074">
        <v>0.25</v>
      </c>
      <c r="U38" s="891" t="str">
        <f>(IF(U$7="SIM",T38*U39*U40*12/$H$2,"-"))</f>
        <v>-</v>
      </c>
      <c r="V38" s="1039"/>
      <c r="W38" s="153"/>
      <c r="X38" s="153"/>
      <c r="Y38" s="153"/>
      <c r="Z38" s="153"/>
      <c r="AA38" s="153"/>
      <c r="AB38" s="68"/>
    </row>
    <row r="39" spans="1:28" ht="18" hidden="1" customHeight="1" outlineLevel="1" x14ac:dyDescent="0.25">
      <c r="A39" s="76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152"/>
      <c r="X39" s="152"/>
      <c r="Y39" s="152"/>
      <c r="Z39" s="152"/>
      <c r="AA39" s="152"/>
      <c r="AB39" s="68"/>
    </row>
    <row r="40" spans="1:28" ht="18" hidden="1" customHeight="1" outlineLevel="1" x14ac:dyDescent="0.25">
      <c r="A40" s="765"/>
      <c r="B40" s="1011" t="s">
        <v>384</v>
      </c>
      <c r="C40" s="925"/>
      <c r="D40" s="915"/>
      <c r="E40" s="336">
        <v>0.2</v>
      </c>
      <c r="F40" s="1023"/>
      <c r="G40" s="996"/>
      <c r="H40" s="1082"/>
      <c r="I40" s="336">
        <v>0.2</v>
      </c>
      <c r="J40" s="1023"/>
      <c r="K40" s="996"/>
      <c r="L40" s="1082"/>
      <c r="M40" s="336">
        <v>0.2</v>
      </c>
      <c r="N40" s="1023"/>
      <c r="O40" s="996"/>
      <c r="P40" s="1082"/>
      <c r="Q40" s="336">
        <v>0.25</v>
      </c>
      <c r="R40" s="1023"/>
      <c r="S40" s="996"/>
      <c r="T40" s="1082"/>
      <c r="U40" s="336">
        <v>0.25</v>
      </c>
      <c r="V40" s="924"/>
      <c r="W40" s="153"/>
      <c r="X40" s="153"/>
      <c r="Y40" s="153"/>
      <c r="Z40" s="153"/>
      <c r="AA40" s="153"/>
      <c r="AB40" s="68"/>
    </row>
    <row r="41" spans="1:28" ht="17.649999999999999" customHeight="1" x14ac:dyDescent="0.25">
      <c r="A41" s="765"/>
      <c r="B41" s="913" t="s">
        <v>390</v>
      </c>
      <c r="C41" s="869"/>
      <c r="D41" s="1017"/>
      <c r="E41" s="893" t="str">
        <f>(IF(E$7="SIM",10+0.25*'R&amp;C-Painel de Controle'!$D$74+0.025*'R&amp;C-Painel de Controle'!$D$73,"-"))</f>
        <v>-</v>
      </c>
      <c r="F41" s="1021"/>
      <c r="G41" s="1000"/>
      <c r="H41" s="1080"/>
      <c r="I41" s="893" t="str">
        <f>(IF(I$7="SIM",7.5+0.25*'R&amp;C-Painel de Controle'!$D$74+0.025*'R&amp;C-Painel de Controle'!$D$73,"-"))</f>
        <v>-</v>
      </c>
      <c r="J41" s="1021"/>
      <c r="K41" s="1000"/>
      <c r="L41" s="1080"/>
      <c r="M41" s="893" t="str">
        <f>(IF(M$7="SIM",10+0.25*'R&amp;C-Painel de Controle'!$D$74+0.025*'R&amp;C-Painel de Controle'!$D$73,"-"))</f>
        <v>-</v>
      </c>
      <c r="N41" s="1021"/>
      <c r="O41" s="1000"/>
      <c r="P41" s="1080"/>
      <c r="Q41" s="893" t="str">
        <f>(IF(Q$7="SIM",10+0.25*'R&amp;C-Painel de Controle'!$D$74+0.025*'R&amp;C-Painel de Controle'!$D$73,"-"))</f>
        <v>-</v>
      </c>
      <c r="R41" s="1021"/>
      <c r="S41" s="1000"/>
      <c r="T41" s="1080"/>
      <c r="U41" s="894" t="str">
        <f>(IF(U$7="SIM",10+0.25*'R&amp;C-Painel de Controle'!$D$74+0.025*'R&amp;C-Painel de Controle'!$D$73,"-"))</f>
        <v>-</v>
      </c>
      <c r="V41" s="1039"/>
      <c r="W41" s="153"/>
      <c r="X41" s="153"/>
      <c r="Y41" s="153"/>
      <c r="Z41" s="153"/>
      <c r="AA41" s="153"/>
      <c r="AB41" s="68"/>
    </row>
    <row r="42" spans="1:28" s="882" customFormat="1" ht="19.899999999999999" customHeight="1" x14ac:dyDescent="0.3">
      <c r="A42" s="1107"/>
      <c r="B42" s="1012" t="s">
        <v>386</v>
      </c>
      <c r="C42" s="904"/>
      <c r="D42" s="1074">
        <v>0.05</v>
      </c>
      <c r="E42" s="887" t="str">
        <f>(IF(E$7="SIM",(E27+E32+E35+E38+E41)*(1+D42),"-"))</f>
        <v>-</v>
      </c>
      <c r="F42" s="1024"/>
      <c r="G42" s="1002"/>
      <c r="H42" s="1074">
        <v>0.05</v>
      </c>
      <c r="I42" s="887" t="str">
        <f>(IF(I$7="SIM",(I27+I32+I35+I38+I41)*(1+H42),"-"))</f>
        <v>-</v>
      </c>
      <c r="J42" s="1024"/>
      <c r="K42" s="1002"/>
      <c r="L42" s="1074">
        <v>0.05</v>
      </c>
      <c r="M42" s="887" t="str">
        <f>(IF(M$7="SIM",(M27+M32+M35+M38+M41)*(1+L42),"-"))</f>
        <v>-</v>
      </c>
      <c r="N42" s="1024"/>
      <c r="O42" s="1002"/>
      <c r="P42" s="1074">
        <v>0.05</v>
      </c>
      <c r="Q42" s="887" t="str">
        <f>(IF(Q$7="SIM",(Q27+Q32+Q35+Q38+Q41)*(1+P42),"-"))</f>
        <v>-</v>
      </c>
      <c r="R42" s="1024"/>
      <c r="S42" s="1002"/>
      <c r="T42" s="1074">
        <v>0.05</v>
      </c>
      <c r="U42" s="888" t="str">
        <f>(IF(U$7="SIM",(U27+U32+U35+U38+U41)*(1+T42),"-"))</f>
        <v>-</v>
      </c>
      <c r="V42" s="1040"/>
      <c r="W42" s="881"/>
      <c r="X42" s="881"/>
      <c r="Y42" s="881"/>
      <c r="Z42" s="881"/>
      <c r="AA42" s="881"/>
    </row>
    <row r="43" spans="1:28" s="882" customFormat="1" ht="19.899999999999999" customHeight="1" x14ac:dyDescent="0.3">
      <c r="A43" s="1107"/>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881"/>
      <c r="X43" s="881"/>
      <c r="Y43" s="881"/>
      <c r="Z43" s="881"/>
      <c r="AA43" s="881"/>
    </row>
    <row r="44" spans="1:28" s="691" customFormat="1" ht="18" customHeight="1" x14ac:dyDescent="0.25">
      <c r="A44" s="1108"/>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c r="W44" s="38"/>
      <c r="X44" s="38"/>
      <c r="Y44" s="38"/>
      <c r="Z44" s="38"/>
      <c r="AA44" s="38"/>
    </row>
    <row r="45" spans="1:28" s="691" customFormat="1" ht="18" customHeight="1" thickBot="1" x14ac:dyDescent="0.3">
      <c r="A45" s="1108"/>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38"/>
      <c r="X45" s="38"/>
      <c r="Y45" s="38"/>
      <c r="Z45" s="38"/>
      <c r="AA45" s="38"/>
    </row>
    <row r="46" spans="1:28"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row>
    <row r="49" spans="1:27"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row>
    <row r="50" spans="1:27"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row>
    <row r="51" spans="1:27"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row>
    <row r="52" spans="1:27"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row>
    <row r="53" spans="1:27"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row>
    <row r="54" spans="1:27"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row>
    <row r="55" spans="1:27"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row>
    <row r="56" spans="1:27"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row>
    <row r="57" spans="1:27"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row>
    <row r="58" spans="1:27"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row>
    <row r="59" spans="1:27"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row>
    <row r="60" spans="1:27"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row>
    <row r="61" spans="1:27"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row>
    <row r="62" spans="1:27"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row>
    <row r="63" spans="1:27"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row>
    <row r="64" spans="1:27"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row>
    <row r="65" spans="1:27"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row>
    <row r="66" spans="1:27"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row>
    <row r="67" spans="1:27"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row>
    <row r="68" spans="1:27"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row>
    <row r="69" spans="1:27"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row>
    <row r="70" spans="1:27"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row>
    <row r="71" spans="1:27"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row>
    <row r="72" spans="1:27"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row>
    <row r="73" spans="1:27"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row>
    <row r="74" spans="1:27"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row>
    <row r="75" spans="1:27"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row>
    <row r="76" spans="1:27"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row>
    <row r="77" spans="1:27"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row>
    <row r="78" spans="1:27"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row>
    <row r="79" spans="1:27"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row>
    <row r="80" spans="1:27"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row>
    <row r="81" spans="1:27"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row>
    <row r="82" spans="1:27"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row>
    <row r="83" spans="1:27"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row>
    <row r="84" spans="1:27"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row>
    <row r="85" spans="1:27"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row>
    <row r="86" spans="1:27"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row>
    <row r="87" spans="1:27"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row>
    <row r="88" spans="1:27"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row>
    <row r="89" spans="1:27"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row>
    <row r="90" spans="1:27"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row>
    <row r="91" spans="1:27"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row>
    <row r="92" spans="1:27"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row>
    <row r="93" spans="1:27"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row>
    <row r="94" spans="1:27"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row>
    <row r="95" spans="1:27"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row>
    <row r="96" spans="1:27"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row>
    <row r="97" spans="1:27"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row>
    <row r="98" spans="1:27"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row>
    <row r="99" spans="1:27"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row>
    <row r="100" spans="1:27"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row>
    <row r="101" spans="1:27"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row>
    <row r="102" spans="1:27"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row>
    <row r="103" spans="1:27"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row>
    <row r="104" spans="1:27"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06"/>
      <c r="B1" s="2939" t="s">
        <v>770</v>
      </c>
      <c r="C1" s="433"/>
      <c r="D1" s="433"/>
      <c r="E1" s="433"/>
      <c r="F1" s="433"/>
      <c r="G1" s="433"/>
      <c r="H1" s="433"/>
      <c r="I1" s="433"/>
      <c r="J1" s="433"/>
      <c r="K1" s="433"/>
      <c r="L1" s="433"/>
      <c r="M1" s="433"/>
      <c r="N1" s="433"/>
      <c r="O1" s="433"/>
      <c r="P1" s="433"/>
      <c r="Q1" s="433"/>
      <c r="R1" s="433"/>
      <c r="S1" s="433"/>
      <c r="T1" s="433"/>
      <c r="U1" s="433"/>
      <c r="V1" s="433"/>
      <c r="W1" s="152"/>
      <c r="X1" s="152"/>
      <c r="Y1" s="152"/>
      <c r="Z1" s="152"/>
      <c r="AA1" s="152"/>
      <c r="AB1" s="152"/>
    </row>
    <row r="2" spans="1:28" ht="19.899999999999999" customHeight="1" x14ac:dyDescent="0.3">
      <c r="A2" s="434"/>
      <c r="B2" s="2939"/>
      <c r="C2" s="436"/>
      <c r="D2" s="899">
        <f>'R-Resumo Bal. Massa'!B34*(1+'R&amp;C-Painel de Controle'!H65)</f>
        <v>0</v>
      </c>
      <c r="E2" s="900" t="s">
        <v>21</v>
      </c>
      <c r="H2" s="1105">
        <f>D2*313</f>
        <v>0</v>
      </c>
      <c r="I2" s="1104" t="s">
        <v>249</v>
      </c>
      <c r="L2" s="1086" t="str">
        <f>IF(D2&gt;0,"Sim","Não'")</f>
        <v>Não'</v>
      </c>
      <c r="M2" s="431"/>
      <c r="N2" s="431"/>
      <c r="O2" s="431"/>
      <c r="P2" s="1106" t="s">
        <v>436</v>
      </c>
      <c r="Q2" s="2930" t="str">
        <f>'R-Definição'!D2</f>
        <v>CIRSOP - Consórcio RSU Oeste Paulista</v>
      </c>
      <c r="R2" s="2931"/>
      <c r="S2" s="429"/>
      <c r="T2" s="1106" t="s">
        <v>437</v>
      </c>
      <c r="U2" s="2930" t="str">
        <f>'R-Definição'!D3</f>
        <v>Biodigestão c/ Prod. E. Elétrica</v>
      </c>
      <c r="V2" s="2931"/>
      <c r="W2" s="307"/>
      <c r="X2" s="307"/>
      <c r="Y2" s="307"/>
      <c r="Z2" s="307"/>
      <c r="AA2" s="307"/>
      <c r="AB2" s="307"/>
    </row>
    <row r="3" spans="1:28" ht="19.899999999999999" customHeight="1" x14ac:dyDescent="0.25">
      <c r="A3" s="406"/>
      <c r="B3" s="2939"/>
      <c r="C3" s="427"/>
      <c r="D3" s="426"/>
      <c r="E3" s="426"/>
      <c r="F3" s="426"/>
      <c r="G3" s="426"/>
      <c r="H3" s="426"/>
      <c r="I3" s="426"/>
      <c r="J3" s="426"/>
      <c r="K3" s="426"/>
      <c r="L3" s="426"/>
      <c r="M3" s="426"/>
      <c r="N3" s="426"/>
      <c r="O3" s="431"/>
      <c r="P3" s="426"/>
      <c r="Q3" s="426"/>
      <c r="R3" s="426"/>
      <c r="S3" s="426"/>
      <c r="T3" s="426"/>
      <c r="U3" s="426"/>
      <c r="V3" s="426"/>
      <c r="W3" s="152"/>
      <c r="X3" s="152"/>
      <c r="Y3" s="152"/>
      <c r="Z3" s="152"/>
      <c r="AA3" s="152"/>
      <c r="AB3" s="152"/>
    </row>
    <row r="4" spans="1:28"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170"/>
      <c r="X4" s="170"/>
      <c r="Y4" s="170"/>
      <c r="Z4" s="170"/>
      <c r="AA4" s="170"/>
      <c r="AB4" s="152"/>
    </row>
    <row r="5" spans="1:28" ht="17.649999999999999" customHeight="1" x14ac:dyDescent="0.25">
      <c r="A5" s="406"/>
      <c r="B5" s="865" t="s">
        <v>755</v>
      </c>
      <c r="C5" s="437"/>
      <c r="D5" s="1110">
        <v>4.5</v>
      </c>
      <c r="E5" s="870" t="s">
        <v>766</v>
      </c>
      <c r="F5" s="868"/>
      <c r="G5" s="868"/>
      <c r="H5" s="868"/>
      <c r="I5" s="868"/>
      <c r="J5" s="868"/>
      <c r="K5" s="868"/>
      <c r="L5" s="868"/>
      <c r="M5" s="868"/>
      <c r="N5" s="868"/>
      <c r="O5" s="868"/>
      <c r="P5" s="868"/>
      <c r="Q5" s="868"/>
      <c r="R5" s="868"/>
      <c r="S5" s="868"/>
      <c r="T5" s="868"/>
      <c r="U5" s="868"/>
      <c r="V5" s="317"/>
      <c r="W5" s="152"/>
      <c r="X5" s="152"/>
      <c r="Y5" s="152"/>
      <c r="Z5" s="152"/>
      <c r="AA5" s="152"/>
      <c r="AB5" s="152"/>
    </row>
    <row r="6" spans="1:28"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170"/>
      <c r="X6" s="170"/>
      <c r="Y6" s="170"/>
      <c r="Z6" s="170"/>
      <c r="AA6" s="170"/>
      <c r="AB6" s="152"/>
    </row>
    <row r="7" spans="1:28" ht="19.899999999999999" customHeight="1" x14ac:dyDescent="0.25">
      <c r="A7" s="406"/>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52"/>
      <c r="X7" s="152"/>
      <c r="Y7" s="152"/>
      <c r="Z7" s="152"/>
      <c r="AA7" s="152"/>
      <c r="AB7" s="152"/>
    </row>
    <row r="8" spans="1:28"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170"/>
      <c r="X8" s="170"/>
      <c r="Y8" s="170"/>
      <c r="Z8" s="170"/>
      <c r="AA8" s="170"/>
      <c r="AB8" s="152"/>
    </row>
    <row r="9" spans="1:28" s="882" customFormat="1" ht="17.649999999999999" customHeight="1" thickTop="1" thickBot="1" x14ac:dyDescent="0.35">
      <c r="A9" s="883"/>
      <c r="B9" s="2933" t="s">
        <v>640</v>
      </c>
      <c r="C9" s="901"/>
      <c r="D9" s="2936" t="s">
        <v>651</v>
      </c>
      <c r="E9" s="2937"/>
      <c r="F9" s="2937"/>
      <c r="G9" s="2937"/>
      <c r="H9" s="2937"/>
      <c r="I9" s="2937"/>
      <c r="J9" s="2937"/>
      <c r="K9" s="2937"/>
      <c r="L9" s="2937"/>
      <c r="M9" s="2937"/>
      <c r="N9" s="2937"/>
      <c r="O9" s="2937"/>
      <c r="P9" s="2937"/>
      <c r="Q9" s="2937"/>
      <c r="R9" s="2937"/>
      <c r="S9" s="2937"/>
      <c r="T9" s="2937"/>
      <c r="U9" s="2937"/>
      <c r="V9" s="2938"/>
      <c r="W9" s="1099"/>
      <c r="X9" s="1099"/>
      <c r="Y9" s="1099"/>
      <c r="Z9" s="1099"/>
      <c r="AA9" s="1112"/>
      <c r="AB9" s="885"/>
    </row>
    <row r="10" spans="1:28" ht="7.5" customHeight="1" x14ac:dyDescent="0.25">
      <c r="A10" s="406"/>
      <c r="B10" s="2934"/>
      <c r="C10" s="901"/>
      <c r="D10" s="1072"/>
      <c r="E10" s="898"/>
      <c r="F10" s="898"/>
      <c r="G10" s="850"/>
      <c r="H10" s="898"/>
      <c r="I10" s="898"/>
      <c r="J10" s="898"/>
      <c r="K10" s="850"/>
      <c r="L10" s="898"/>
      <c r="M10" s="898"/>
      <c r="N10" s="898"/>
      <c r="O10" s="850"/>
      <c r="P10" s="898"/>
      <c r="Q10" s="898"/>
      <c r="R10" s="898"/>
      <c r="S10" s="850"/>
      <c r="T10" s="898"/>
      <c r="U10" s="898"/>
      <c r="V10" s="1073"/>
      <c r="W10" s="170"/>
      <c r="X10" s="170"/>
      <c r="Y10" s="170"/>
      <c r="Z10" s="170"/>
      <c r="AA10" s="170"/>
      <c r="AB10" s="152"/>
    </row>
    <row r="11" spans="1:28" s="882" customFormat="1" ht="17.649999999999999" customHeight="1" thickBot="1" x14ac:dyDescent="0.35">
      <c r="A11" s="883"/>
      <c r="B11" s="2935"/>
      <c r="C11" s="901"/>
      <c r="D11" s="1064">
        <v>5</v>
      </c>
      <c r="E11" s="1066" t="s">
        <v>21</v>
      </c>
      <c r="F11" s="1066">
        <v>150</v>
      </c>
      <c r="G11" s="1067"/>
      <c r="H11" s="1066">
        <f>F11</f>
        <v>150</v>
      </c>
      <c r="I11" s="1066" t="s">
        <v>21</v>
      </c>
      <c r="J11" s="1066">
        <v>300</v>
      </c>
      <c r="K11" s="1067"/>
      <c r="L11" s="1066">
        <f>J11</f>
        <v>300</v>
      </c>
      <c r="M11" s="1066" t="s">
        <v>21</v>
      </c>
      <c r="N11" s="1066">
        <v>500</v>
      </c>
      <c r="O11" s="1067"/>
      <c r="P11" s="1066">
        <f>N11</f>
        <v>500</v>
      </c>
      <c r="Q11" s="1066" t="s">
        <v>21</v>
      </c>
      <c r="R11" s="1066">
        <v>1000</v>
      </c>
      <c r="S11" s="1067"/>
      <c r="T11" s="1066">
        <f>R11</f>
        <v>1000</v>
      </c>
      <c r="U11" s="1066" t="s">
        <v>21</v>
      </c>
      <c r="V11" s="1068">
        <v>1500</v>
      </c>
      <c r="W11" s="1112"/>
      <c r="X11" s="1113"/>
      <c r="Y11" s="1113"/>
      <c r="Z11" s="1113"/>
      <c r="AA11" s="1113"/>
      <c r="AB11" s="885"/>
    </row>
    <row r="12" spans="1:28"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170"/>
      <c r="X12" s="170"/>
      <c r="Y12" s="170"/>
      <c r="Z12" s="170"/>
      <c r="AA12" s="170"/>
      <c r="AB12" s="152"/>
    </row>
    <row r="13" spans="1:28" s="882" customFormat="1" ht="19.899999999999999" customHeight="1" thickTop="1" thickBot="1" x14ac:dyDescent="0.35">
      <c r="A13" s="883"/>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12">
        <v>100</v>
      </c>
      <c r="X13" s="1112">
        <v>225</v>
      </c>
      <c r="Y13" s="1112">
        <v>400</v>
      </c>
      <c r="Z13" s="1112">
        <v>750</v>
      </c>
      <c r="AA13" s="1112">
        <v>1250</v>
      </c>
      <c r="AB13" s="885"/>
    </row>
    <row r="14" spans="1:28" s="1407" customFormat="1" ht="7.5" customHeight="1" x14ac:dyDescent="0.25">
      <c r="A14" s="1654"/>
      <c r="B14" s="1655"/>
      <c r="C14" s="1656"/>
      <c r="D14" s="1657"/>
      <c r="E14" s="1659">
        <v>0.7</v>
      </c>
      <c r="F14" s="1658"/>
      <c r="G14" s="1656"/>
      <c r="H14" s="1657"/>
      <c r="I14" s="1659">
        <f>E14</f>
        <v>0.7</v>
      </c>
      <c r="J14" s="1658"/>
      <c r="K14" s="1656"/>
      <c r="L14" s="1657"/>
      <c r="M14" s="1659">
        <f>I14</f>
        <v>0.7</v>
      </c>
      <c r="N14" s="1658"/>
      <c r="O14" s="1656"/>
      <c r="P14" s="1657"/>
      <c r="Q14" s="1659">
        <f>M14</f>
        <v>0.7</v>
      </c>
      <c r="R14" s="1658"/>
      <c r="S14" s="1656"/>
      <c r="T14" s="1657"/>
      <c r="U14" s="1659">
        <f>Q14</f>
        <v>0.7</v>
      </c>
      <c r="V14" s="1658"/>
      <c r="W14" s="1660"/>
      <c r="X14" s="1660"/>
      <c r="Y14" s="1660"/>
      <c r="Z14" s="1660"/>
      <c r="AA14" s="1660"/>
      <c r="AB14" s="1661"/>
    </row>
    <row r="15" spans="1:28" ht="17.649999999999999" customHeight="1" x14ac:dyDescent="0.25">
      <c r="A15" s="407"/>
      <c r="B15" s="913" t="s">
        <v>376</v>
      </c>
      <c r="C15" s="869"/>
      <c r="D15" s="1075">
        <f>204.23509527105*E14</f>
        <v>142.96456668973499</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f>107.513406509516*I14</f>
        <v>75.259384556661203</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f>86.8641794831933*M14</f>
        <v>60.804925638235304</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115.146141149983*Q14</f>
        <v>80.602298804988095</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82.6080101595676*U14</f>
        <v>57.825607111697316</v>
      </c>
      <c r="U15" s="846"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917">
        <v>0.1</v>
      </c>
      <c r="W15" s="313">
        <v>30.188026315489164</v>
      </c>
      <c r="X15" s="313">
        <v>42.350533674649149</v>
      </c>
      <c r="Y15" s="313">
        <v>78.246319046111907</v>
      </c>
      <c r="Z15" s="329">
        <v>143.62054388829955</v>
      </c>
      <c r="AA15" s="313">
        <v>173.96339444813808</v>
      </c>
      <c r="AB15" s="153"/>
    </row>
    <row r="16" spans="1:28" ht="17.649999999999999" customHeight="1" x14ac:dyDescent="0.25">
      <c r="A16" s="407"/>
      <c r="B16" s="913" t="s">
        <v>641</v>
      </c>
      <c r="C16" s="869"/>
      <c r="D16" s="918">
        <f>70.5882352941177*(1-E25)</f>
        <v>56.470588235294159</v>
      </c>
      <c r="E16" s="84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9">
        <v>0.05</v>
      </c>
      <c r="G16" s="869"/>
      <c r="H16" s="918">
        <f>67.573159666955*(1-I25)</f>
        <v>54.058527733563999</v>
      </c>
      <c r="I16" s="84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919">
        <v>0.05</v>
      </c>
      <c r="K16" s="869"/>
      <c r="L16" s="918">
        <f>63.0570176722689*(1-M25)</f>
        <v>50.44561413781512</v>
      </c>
      <c r="M16" s="84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9">
        <v>0.05</v>
      </c>
      <c r="O16" s="869"/>
      <c r="P16" s="918">
        <f>61.6827698459384*(1-Q25)</f>
        <v>49.346215876750726</v>
      </c>
      <c r="Q16" s="84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9">
        <v>0.05</v>
      </c>
      <c r="S16" s="993"/>
      <c r="T16" s="918">
        <f>62.8*(1-U25)</f>
        <v>50.24</v>
      </c>
      <c r="U16" s="846"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9">
        <v>0.05</v>
      </c>
      <c r="W16" s="313">
        <v>15.867406442759496</v>
      </c>
      <c r="X16" s="313">
        <v>31.323852009522192</v>
      </c>
      <c r="Y16" s="313">
        <v>51.205676013371999</v>
      </c>
      <c r="Z16" s="329">
        <v>92.407443447205281</v>
      </c>
      <c r="AA16" s="313">
        <v>164.33217074614245</v>
      </c>
      <c r="AB16" s="153"/>
    </row>
    <row r="17" spans="1:28" ht="17.649999999999999" customHeight="1" x14ac:dyDescent="0.25">
      <c r="A17" s="407"/>
      <c r="B17" s="913" t="s">
        <v>753</v>
      </c>
      <c r="C17" s="869"/>
      <c r="D17" s="920" t="str">
        <f>(IF(E$7="SIM",2*(20*(20+(SQRT(F17))+20))+2*(20*(F17/(SQRT(F17))))+F17,"-"))</f>
        <v>-</v>
      </c>
      <c r="E17" s="846" t="str">
        <f>(IF(E$7="SIM",('R&amp;C-Painel de Controle'!$D$55+0.25)*D17/1000000,"-"))</f>
        <v>-</v>
      </c>
      <c r="F17" s="921" t="str">
        <f>IF(E7="SIM",(E22*E24)/0.0825,"-")</f>
        <v>-</v>
      </c>
      <c r="G17" s="869"/>
      <c r="H17" s="920" t="str">
        <f>(IF(I$7="SIM",2*(20*(20+(SQRT(J17))+20))+2*(20*(J17/(SQRT(J17))))+J17,"-"))</f>
        <v>-</v>
      </c>
      <c r="I17" s="846" t="str">
        <f>(IF(I$7="SIM",('R&amp;C-Painel de Controle'!$D$55+0.25)*H17/1000000,"-"))</f>
        <v>-</v>
      </c>
      <c r="J17" s="921" t="str">
        <f>IF(I7="SIM",(I22*I24)/0.0825,"-")</f>
        <v>-</v>
      </c>
      <c r="K17" s="869"/>
      <c r="L17" s="920" t="str">
        <f>(IF(M$7="SIM",2*(20*(20+(SQRT(N17))+20))+2*(20*(N17/(SQRT(N17))))+N17,"-"))</f>
        <v>-</v>
      </c>
      <c r="M17" s="846" t="str">
        <f>(IF(M$7="SIM",('R&amp;C-Painel de Controle'!$D$55+0.25)*L17/1000000,"-"))</f>
        <v>-</v>
      </c>
      <c r="N17" s="921" t="str">
        <f>IF(M7="SIM",(M22*M24)/0.0825,"-")</f>
        <v>-</v>
      </c>
      <c r="O17" s="869"/>
      <c r="P17" s="920" t="str">
        <f>(IF(Q$7="SIM",2*(20*(20+(SQRT(R17))+20))+2*(20*(R17/(SQRT(R17))))+R17,"-"))</f>
        <v>-</v>
      </c>
      <c r="Q17" s="846" t="str">
        <f>(IF(Q$7="SIM",('R&amp;C-Painel de Controle'!$D$55+0.25)*P17/1000000,"-"))</f>
        <v>-</v>
      </c>
      <c r="R17" s="921" t="str">
        <f>IF(Q7="SIM",(Q22*Q24)/0.0825,"-")</f>
        <v>-</v>
      </c>
      <c r="S17" s="869"/>
      <c r="T17" s="920" t="str">
        <f>(IF(U$7="SIM",2*(20*(20+(SQRT(V17))+20))+2*(20*(V17/(SQRT(V17))))+V17,"-"))</f>
        <v>-</v>
      </c>
      <c r="U17" s="846" t="str">
        <f>(IF(U$7="SIM",('R&amp;C-Painel de Controle'!$D$55+0.25)*T17/1000000,"-"))</f>
        <v>-</v>
      </c>
      <c r="V17" s="921" t="str">
        <f>IF(U7="SIM",(U22*U24)/0.0825,"-")</f>
        <v>-</v>
      </c>
      <c r="W17" s="313">
        <v>2.1106024674341599</v>
      </c>
      <c r="X17" s="313">
        <v>3.9579037237977364</v>
      </c>
      <c r="Y17" s="313">
        <v>6.3812082504196974</v>
      </c>
      <c r="Z17" s="329">
        <v>11.014894519118963</v>
      </c>
      <c r="AA17" s="313">
        <v>17.42408705424014</v>
      </c>
      <c r="AB17" s="153"/>
    </row>
    <row r="18" spans="1:28" ht="17.649999999999999" customHeight="1" x14ac:dyDescent="0.25">
      <c r="A18" s="407"/>
      <c r="B18" s="913" t="s">
        <v>438</v>
      </c>
      <c r="C18" s="869"/>
      <c r="D18" s="1076" t="str">
        <f>IF(E7="SIM",(E15+E16)*F18*1000/$H$2,"-")</f>
        <v>-</v>
      </c>
      <c r="E18" s="846" t="str">
        <f>(IF(E$7="SIM",$H$2*D18/1000,""))</f>
        <v/>
      </c>
      <c r="F18" s="917">
        <v>0.05</v>
      </c>
      <c r="G18" s="869"/>
      <c r="H18" s="1076" t="str">
        <f>IF(I7="SIM",(I15+I16)*J18*1000/$H$2,"-")</f>
        <v>-</v>
      </c>
      <c r="I18" s="846" t="str">
        <f>(IF(I$7="SIM",$H$2*H18/1000,""))</f>
        <v/>
      </c>
      <c r="J18" s="917">
        <v>0.05</v>
      </c>
      <c r="K18" s="869"/>
      <c r="L18" s="1076" t="str">
        <f>IF(M7="SIM",(M15+M16)*N18*1000/$H$2,"-")</f>
        <v>-</v>
      </c>
      <c r="M18" s="846" t="str">
        <f>(IF(M$7="SIM",$H$2*L18/1000,""))</f>
        <v/>
      </c>
      <c r="N18" s="917">
        <v>7.4999999999999997E-2</v>
      </c>
      <c r="O18" s="869"/>
      <c r="P18" s="1076" t="str">
        <f>IF(Q7="SIM",(Q15+Q16)*R18*1000/$H$2,"-")</f>
        <v>-</v>
      </c>
      <c r="Q18" s="846" t="str">
        <f>(IF(Q$7="SIM",$H$2*P18/1000,""))</f>
        <v/>
      </c>
      <c r="R18" s="917">
        <v>7.4999999999999997E-2</v>
      </c>
      <c r="S18" s="869"/>
      <c r="T18" s="1076" t="str">
        <f>IF(U7="SIM",(U15+U16)*V18*1000/$H$2,"-")</f>
        <v>-</v>
      </c>
      <c r="U18" s="846" t="str">
        <f>(IF(U$7="SIM",$H$2*T18/1000,""))</f>
        <v/>
      </c>
      <c r="V18" s="917">
        <v>7.4999999999999997E-2</v>
      </c>
      <c r="W18" s="313">
        <v>2.302771637912433</v>
      </c>
      <c r="X18" s="313">
        <v>3.6837192842085673</v>
      </c>
      <c r="Y18" s="313">
        <v>12.945199505948393</v>
      </c>
      <c r="Z18" s="329">
        <v>23.602798733550486</v>
      </c>
      <c r="AA18" s="313">
        <v>33.829556519428053</v>
      </c>
      <c r="AB18" s="153"/>
    </row>
    <row r="19" spans="1:28" s="882" customFormat="1" ht="19.899999999999999" customHeight="1" collapsed="1" thickBot="1" x14ac:dyDescent="0.35">
      <c r="A19" s="879"/>
      <c r="B19" s="914" t="s">
        <v>377</v>
      </c>
      <c r="C19" s="904"/>
      <c r="D19" s="1052">
        <v>0.1</v>
      </c>
      <c r="E19" s="922" t="str">
        <f>IF(E7="SIM",(SUM(E15:E18)+(IF('R-Definição'!$J$59&gt;0,E52*$H$2,IF('R-Definição'!$J$59&gt;0,E50*$H$2,0)))/1000000)*(1+D19),"-")</f>
        <v>-</v>
      </c>
      <c r="F19" s="1103" t="str">
        <f>IF(E7="SIM",(E16)/E19,"-")</f>
        <v>-</v>
      </c>
      <c r="G19" s="904"/>
      <c r="H19" s="1052">
        <v>0.1</v>
      </c>
      <c r="I19" s="922" t="str">
        <f>IF(I7="SIM",(SUM(I15:I18)+(IF('R-Definição'!$J$59&gt;0,I52*$H$2,IF('R-Definição'!$J$59&gt;0,I50*$H$2,0)))/1000000)*(1+H19),"-")</f>
        <v>-</v>
      </c>
      <c r="J19" s="1103" t="str">
        <f>IF(I7="SIM",(I16)/I19,"-")</f>
        <v>-</v>
      </c>
      <c r="K19" s="904"/>
      <c r="L19" s="1050">
        <v>7.4999999999999997E-2</v>
      </c>
      <c r="M19" s="922" t="str">
        <f>IF(M7="SIM",(SUM(M15:M18)+(IF('R-Definição'!$J$59&gt;0,M52*$H$2,IF('R-Definição'!$J$59&gt;0,M50*$H$2,0)))/1000000)*(1+L19),"-")</f>
        <v>-</v>
      </c>
      <c r="N19" s="1103" t="str">
        <f>IF(M7="SIM",(M16)/M19,"-")</f>
        <v>-</v>
      </c>
      <c r="O19" s="904"/>
      <c r="P19" s="1050">
        <v>0.05</v>
      </c>
      <c r="Q19" s="922" t="str">
        <f>IF(Q7="SIM",(SUM(Q15:Q18)+(IF('R-Definição'!$J$59&gt;0,Q52*$H$2,IF('R-Definição'!$J$59&gt;0,Q50*$H$2,0)))/1000000)*(1+P19),"-")</f>
        <v>-</v>
      </c>
      <c r="R19" s="1103" t="str">
        <f>IF(Q7="SIM",(Q16)/Q19,"-")</f>
        <v>-</v>
      </c>
      <c r="S19" s="904"/>
      <c r="T19" s="1050">
        <v>0.05</v>
      </c>
      <c r="U19" s="922" t="str">
        <f>IF(U7="SIM",(SUM(U15:U18)+(IF('R-Definição'!$J$59&gt;0,U52*$H$2,IF('R-Definição'!$J$59&gt;0,U50*$H$2,0)))/1000000)*(1+T19),"-")</f>
        <v>-</v>
      </c>
      <c r="V19" s="1103" t="str">
        <f>IF(U7="SIM",(U16)/U19,"-")</f>
        <v>-</v>
      </c>
      <c r="W19" s="880">
        <v>52.992247206775019</v>
      </c>
      <c r="X19" s="880">
        <v>85.381809126786536</v>
      </c>
      <c r="Y19" s="880">
        <v>156.21732295664461</v>
      </c>
      <c r="Z19" s="1111">
        <v>284.17796461758303</v>
      </c>
      <c r="AA19" s="880">
        <v>409.02666920634613</v>
      </c>
      <c r="AB19" s="881"/>
    </row>
    <row r="20" spans="1:28" ht="18" hidden="1" customHeight="1" outlineLevel="1" thickTop="1" x14ac:dyDescent="0.25">
      <c r="A20" s="406"/>
      <c r="B20" s="768" t="s">
        <v>378</v>
      </c>
      <c r="C20" s="756"/>
      <c r="D20" s="306" t="s">
        <v>289</v>
      </c>
      <c r="E20" s="304" t="str">
        <f>IF(E7="SIM",E19*1000000/$H$2,"-")</f>
        <v>-</v>
      </c>
      <c r="F20" s="306" t="s">
        <v>289</v>
      </c>
      <c r="G20" s="756"/>
      <c r="H20" s="306" t="s">
        <v>289</v>
      </c>
      <c r="I20" s="304" t="str">
        <f>IF(I7="SIM",I19*1000000/$H$2,"-")</f>
        <v>-</v>
      </c>
      <c r="J20" s="306" t="s">
        <v>289</v>
      </c>
      <c r="K20" s="756"/>
      <c r="L20" s="306" t="s">
        <v>289</v>
      </c>
      <c r="M20" s="304" t="str">
        <f>IF(M7="SIM",M19*1000000/$H$2,"-")</f>
        <v>-</v>
      </c>
      <c r="N20" s="306" t="s">
        <v>289</v>
      </c>
      <c r="O20" s="756"/>
      <c r="P20" s="306" t="s">
        <v>289</v>
      </c>
      <c r="Q20" s="304" t="str">
        <f>IF(Q7="SIM",Q19*1000000/$H$2,"-")</f>
        <v>-</v>
      </c>
      <c r="R20" s="306" t="s">
        <v>289</v>
      </c>
      <c r="S20" s="756"/>
      <c r="T20" s="306" t="s">
        <v>289</v>
      </c>
      <c r="U20" s="304" t="str">
        <f>IF(U7="SIM",U19*1000000/$H$2,"-")</f>
        <v>-</v>
      </c>
      <c r="V20" s="306" t="s">
        <v>289</v>
      </c>
      <c r="W20" s="311">
        <v>1693.0349151824053</v>
      </c>
      <c r="X20" s="311">
        <v>1212.376669922834</v>
      </c>
      <c r="Y20" s="311">
        <v>1247.7406988504947</v>
      </c>
      <c r="Z20" s="311">
        <v>1210.5549850641194</v>
      </c>
      <c r="AA20" s="311">
        <v>1045.435174799145</v>
      </c>
      <c r="AB20" s="152"/>
    </row>
    <row r="21" spans="1:28" ht="18" hidden="1" customHeight="1" outlineLevel="1" x14ac:dyDescent="0.25">
      <c r="A21" s="406"/>
      <c r="B21" s="768" t="s">
        <v>639</v>
      </c>
      <c r="C21" s="756"/>
      <c r="D21" s="344"/>
      <c r="E21" s="346">
        <f>'R&amp;C-Painel de Controle'!$G$65</f>
        <v>0.25</v>
      </c>
      <c r="F21" s="306"/>
      <c r="G21" s="758"/>
      <c r="H21" s="306"/>
      <c r="I21" s="346">
        <f>'R&amp;C-Painel de Controle'!$G$65</f>
        <v>0.25</v>
      </c>
      <c r="J21" s="306"/>
      <c r="K21" s="758"/>
      <c r="L21" s="306"/>
      <c r="M21" s="346">
        <f>'R&amp;C-Painel de Controle'!$G$65</f>
        <v>0.25</v>
      </c>
      <c r="N21" s="306"/>
      <c r="O21" s="758"/>
      <c r="P21" s="306"/>
      <c r="Q21" s="346">
        <f>'R&amp;C-Painel de Controle'!$G$65</f>
        <v>0.25</v>
      </c>
      <c r="R21" s="306"/>
      <c r="S21" s="758"/>
      <c r="T21" s="306"/>
      <c r="U21" s="346">
        <f>'R&amp;C-Painel de Controle'!$G$65</f>
        <v>0.25</v>
      </c>
      <c r="V21" s="344"/>
      <c r="W21" s="170"/>
      <c r="X21" s="314">
        <f>(X20-W20)/W20</f>
        <v>-0.2839033270662264</v>
      </c>
      <c r="Y21" s="314">
        <f>(Y20-X20)/X20</f>
        <v>2.9169176383039071E-2</v>
      </c>
      <c r="Z21" s="314">
        <f>(Z20-Y20)/Z20</f>
        <v>-3.0717905626075903E-2</v>
      </c>
      <c r="AA21" s="314">
        <f>(AA20-Z20)/AA20</f>
        <v>-0.15794361453037789</v>
      </c>
      <c r="AB21" s="152"/>
    </row>
    <row r="22" spans="1:28" ht="18" hidden="1" customHeight="1" outlineLevel="1" x14ac:dyDescent="0.25">
      <c r="A22" s="406"/>
      <c r="B22" s="768" t="s">
        <v>652</v>
      </c>
      <c r="C22" s="756"/>
      <c r="D22" s="352">
        <f>$H$2/4250</f>
        <v>0</v>
      </c>
      <c r="E22" s="304">
        <f>((($H$2/0.57)/52)*(E23))/(3.5*E24)</f>
        <v>0</v>
      </c>
      <c r="F22" s="344"/>
      <c r="G22" s="756"/>
      <c r="H22" s="352">
        <f>$H$2/4250</f>
        <v>0</v>
      </c>
      <c r="I22" s="304">
        <f>((($H$2/0.57)/52)*(I23))/(3.5*I24)</f>
        <v>0</v>
      </c>
      <c r="J22" s="344"/>
      <c r="K22" s="756"/>
      <c r="L22" s="352">
        <f>$H$2/4250</f>
        <v>0</v>
      </c>
      <c r="M22" s="304">
        <f>((($H$2/0.57)/52)*(M23))/(3.5*M24)</f>
        <v>0</v>
      </c>
      <c r="N22" s="344"/>
      <c r="O22" s="756"/>
      <c r="P22" s="352">
        <f>$H$2/4250</f>
        <v>0</v>
      </c>
      <c r="Q22" s="304">
        <f>((($H$2/0.57)/52)*(Q23))/(3.5*Q24)</f>
        <v>0</v>
      </c>
      <c r="R22" s="344"/>
      <c r="S22" s="756"/>
      <c r="T22" s="352">
        <f>$H$2/4250</f>
        <v>0</v>
      </c>
      <c r="U22" s="304">
        <f>((($H$2/0.57)/52)*(U23))/(3.5*U24)</f>
        <v>0</v>
      </c>
      <c r="V22" s="344"/>
      <c r="W22" s="152"/>
      <c r="X22" s="152"/>
      <c r="Y22" s="152"/>
      <c r="Z22" s="170"/>
      <c r="AA22" s="170"/>
      <c r="AB22" s="152"/>
    </row>
    <row r="23" spans="1:28" ht="18" hidden="1" customHeight="1" outlineLevel="1" x14ac:dyDescent="0.25">
      <c r="A23" s="406"/>
      <c r="B23" s="768" t="s">
        <v>393</v>
      </c>
      <c r="C23" s="756"/>
      <c r="D23" s="306"/>
      <c r="E23" s="306">
        <v>3.5</v>
      </c>
      <c r="F23" s="306"/>
      <c r="G23" s="758"/>
      <c r="H23" s="306"/>
      <c r="I23" s="306">
        <v>3.5</v>
      </c>
      <c r="J23" s="306"/>
      <c r="K23" s="758"/>
      <c r="L23" s="306"/>
      <c r="M23" s="306">
        <v>3.5</v>
      </c>
      <c r="N23" s="306"/>
      <c r="O23" s="758"/>
      <c r="P23" s="306"/>
      <c r="Q23" s="306">
        <v>3.5</v>
      </c>
      <c r="R23" s="306"/>
      <c r="S23" s="758"/>
      <c r="T23" s="306"/>
      <c r="U23" s="306">
        <v>3.5</v>
      </c>
      <c r="V23" s="306"/>
      <c r="W23" s="170"/>
      <c r="X23" s="170"/>
      <c r="Y23" s="170"/>
      <c r="Z23" s="309"/>
      <c r="AA23" s="309"/>
      <c r="AB23" s="152"/>
    </row>
    <row r="24" spans="1:28" ht="18" hidden="1" customHeight="1" outlineLevel="1" x14ac:dyDescent="0.25">
      <c r="A24" s="406"/>
      <c r="B24" s="768" t="s">
        <v>394</v>
      </c>
      <c r="C24" s="756"/>
      <c r="D24" s="353">
        <v>5.5</v>
      </c>
      <c r="E24" s="305">
        <f>(D24)*(F24)</f>
        <v>132</v>
      </c>
      <c r="F24" s="305">
        <v>24</v>
      </c>
      <c r="G24" s="767"/>
      <c r="H24" s="353">
        <v>5.5</v>
      </c>
      <c r="I24" s="305">
        <f>(H24)*(J24)</f>
        <v>143</v>
      </c>
      <c r="J24" s="305">
        <v>26</v>
      </c>
      <c r="K24" s="767"/>
      <c r="L24" s="353">
        <v>5.5</v>
      </c>
      <c r="M24" s="305">
        <f>(L24)*(N24)</f>
        <v>181.5</v>
      </c>
      <c r="N24" s="353">
        <v>33</v>
      </c>
      <c r="O24" s="767"/>
      <c r="P24" s="353">
        <v>5.5</v>
      </c>
      <c r="Q24" s="305">
        <f>(P24)*(R24)</f>
        <v>220</v>
      </c>
      <c r="R24" s="353">
        <v>40</v>
      </c>
      <c r="S24" s="767"/>
      <c r="T24" s="353">
        <v>7.5</v>
      </c>
      <c r="U24" s="305">
        <f>(T24)*(V24)</f>
        <v>300</v>
      </c>
      <c r="V24" s="305">
        <v>40</v>
      </c>
      <c r="W24" s="152"/>
      <c r="X24" s="152"/>
      <c r="Y24" s="152"/>
      <c r="Z24" s="152"/>
      <c r="AA24" s="152"/>
      <c r="AB24" s="152"/>
    </row>
    <row r="25" spans="1:28" ht="18" hidden="1" customHeight="1" outlineLevel="1" x14ac:dyDescent="0.25">
      <c r="A25" s="406"/>
      <c r="B25" s="768" t="s">
        <v>653</v>
      </c>
      <c r="C25" s="756"/>
      <c r="D25" s="344"/>
      <c r="E25" s="346">
        <f>15%/75%</f>
        <v>0.19999999999999998</v>
      </c>
      <c r="F25" s="347"/>
      <c r="G25" s="759"/>
      <c r="H25" s="354"/>
      <c r="I25" s="346">
        <f>E25</f>
        <v>0.19999999999999998</v>
      </c>
      <c r="J25" s="347"/>
      <c r="K25" s="759"/>
      <c r="L25" s="304"/>
      <c r="M25" s="346">
        <f>I25</f>
        <v>0.19999999999999998</v>
      </c>
      <c r="N25" s="346"/>
      <c r="O25" s="759"/>
      <c r="P25" s="304"/>
      <c r="Q25" s="346">
        <f>M25</f>
        <v>0.19999999999999998</v>
      </c>
      <c r="R25" s="346"/>
      <c r="S25" s="759"/>
      <c r="T25" s="304"/>
      <c r="U25" s="346">
        <f>Q25</f>
        <v>0.19999999999999998</v>
      </c>
      <c r="V25" s="346"/>
      <c r="W25" s="152"/>
      <c r="X25" s="152"/>
      <c r="Y25" s="152"/>
      <c r="Z25" s="152"/>
      <c r="AA25" s="152"/>
      <c r="AB25" s="152"/>
    </row>
    <row r="26" spans="1:28" ht="18" hidden="1" customHeight="1" outlineLevel="1" x14ac:dyDescent="0.25">
      <c r="A26" s="406"/>
      <c r="B26" s="768" t="s">
        <v>435</v>
      </c>
      <c r="C26" s="758"/>
      <c r="D26" s="346"/>
      <c r="E26" s="348" t="str">
        <f>IF(E7="SIM",(E15*F15+E16*F16)/4,"-")</f>
        <v>-</v>
      </c>
      <c r="F26" s="306"/>
      <c r="G26" s="758"/>
      <c r="H26" s="306"/>
      <c r="I26" s="348" t="str">
        <f>IF(I7="SIM",(I15*J15+I16*J16)/4,"-")</f>
        <v>-</v>
      </c>
      <c r="J26" s="306"/>
      <c r="K26" s="758"/>
      <c r="L26" s="306"/>
      <c r="M26" s="348" t="str">
        <f>IF(M7="SIM",(M15*N15+M16*N16)/4,"-")</f>
        <v>-</v>
      </c>
      <c r="N26" s="306"/>
      <c r="O26" s="758"/>
      <c r="P26" s="306"/>
      <c r="Q26" s="348" t="str">
        <f>IF(Q7="SIM",(Q15*R15+Q16*R16)/4,"-")</f>
        <v>-</v>
      </c>
      <c r="R26" s="306"/>
      <c r="S26" s="758"/>
      <c r="T26" s="306"/>
      <c r="U26" s="348" t="str">
        <f>IF(U7="SIM",(U15*V15+U16*V16)/4,"-")</f>
        <v>-</v>
      </c>
      <c r="V26" s="344"/>
      <c r="W26" s="152"/>
      <c r="X26" s="152"/>
      <c r="Y26" s="152"/>
      <c r="Z26" s="152"/>
      <c r="AA26" s="152"/>
      <c r="AB26" s="152"/>
    </row>
    <row r="27" spans="1:28" ht="15" customHeight="1" collapsed="1" thickTop="1" thickBot="1" x14ac:dyDescent="0.3">
      <c r="A27" s="406"/>
      <c r="B27" s="761"/>
      <c r="C27" s="756"/>
      <c r="D27" s="344"/>
      <c r="E27" s="344"/>
      <c r="F27" s="344"/>
      <c r="G27" s="756"/>
      <c r="H27" s="344"/>
      <c r="I27" s="344"/>
      <c r="J27" s="344"/>
      <c r="K27" s="756"/>
      <c r="L27" s="344"/>
      <c r="M27" s="344"/>
      <c r="N27" s="344"/>
      <c r="O27" s="756"/>
      <c r="P27" s="344"/>
      <c r="Q27" s="344"/>
      <c r="R27" s="344"/>
      <c r="S27" s="756"/>
      <c r="T27" s="344"/>
      <c r="U27" s="344"/>
      <c r="V27" s="344"/>
      <c r="W27" s="152"/>
      <c r="X27" s="152"/>
      <c r="Y27" s="152"/>
      <c r="Z27" s="152"/>
      <c r="AA27" s="152"/>
      <c r="AB27" s="152"/>
    </row>
    <row r="28" spans="1:28" s="1092" customFormat="1" ht="19.899999999999999" customHeight="1" thickTop="1" thickBot="1" x14ac:dyDescent="0.35">
      <c r="A28" s="879"/>
      <c r="B28" s="1085" t="s">
        <v>439</v>
      </c>
      <c r="C28" s="901"/>
      <c r="D28" s="982" t="s">
        <v>754</v>
      </c>
      <c r="E28" s="983" t="s">
        <v>763</v>
      </c>
      <c r="F28" s="984" t="s">
        <v>289</v>
      </c>
      <c r="G28" s="403"/>
      <c r="H28" s="985" t="s">
        <v>754</v>
      </c>
      <c r="I28" s="986" t="s">
        <v>763</v>
      </c>
      <c r="J28" s="987" t="s">
        <v>289</v>
      </c>
      <c r="K28" s="403"/>
      <c r="L28" s="985" t="s">
        <v>754</v>
      </c>
      <c r="M28" s="986" t="s">
        <v>763</v>
      </c>
      <c r="N28" s="987" t="s">
        <v>289</v>
      </c>
      <c r="O28" s="403"/>
      <c r="P28" s="985" t="s">
        <v>754</v>
      </c>
      <c r="Q28" s="986" t="s">
        <v>763</v>
      </c>
      <c r="R28" s="987" t="s">
        <v>289</v>
      </c>
      <c r="S28" s="403"/>
      <c r="T28" s="985" t="s">
        <v>754</v>
      </c>
      <c r="U28" s="986" t="s">
        <v>763</v>
      </c>
      <c r="V28" s="987" t="s">
        <v>289</v>
      </c>
      <c r="W28" s="881"/>
      <c r="X28" s="881"/>
      <c r="Y28" s="881"/>
      <c r="Z28" s="881"/>
      <c r="AA28" s="881"/>
      <c r="AB28" s="881"/>
    </row>
    <row r="29" spans="1:28" ht="7.5" customHeight="1" x14ac:dyDescent="0.25">
      <c r="A29" s="406"/>
      <c r="B29" s="1084"/>
      <c r="C29" s="903"/>
      <c r="D29" s="1015"/>
      <c r="E29" s="339"/>
      <c r="F29" s="1016"/>
      <c r="G29" s="996"/>
      <c r="H29" s="1031"/>
      <c r="I29" s="339"/>
      <c r="J29" s="1023"/>
      <c r="K29" s="996"/>
      <c r="L29" s="1036"/>
      <c r="M29" s="339"/>
      <c r="N29" s="1023"/>
      <c r="O29" s="996"/>
      <c r="P29" s="1036"/>
      <c r="Q29" s="339"/>
      <c r="R29" s="1023"/>
      <c r="S29" s="996"/>
      <c r="T29" s="1036"/>
      <c r="U29" s="339"/>
      <c r="V29" s="1038"/>
      <c r="W29" s="152"/>
      <c r="X29" s="152"/>
      <c r="Y29" s="152"/>
      <c r="Z29" s="152"/>
      <c r="AA29" s="152"/>
      <c r="AB29" s="152"/>
    </row>
    <row r="30" spans="1:28" ht="17.649999999999999" customHeight="1" collapsed="1" x14ac:dyDescent="0.25">
      <c r="A30" s="407"/>
      <c r="B30" s="913" t="s">
        <v>381</v>
      </c>
      <c r="C30" s="869"/>
      <c r="D30" s="1017"/>
      <c r="E30" s="890" t="str">
        <f>(IF(E$7="SIM",(E34)*2.4*12/$H$2,"-"))</f>
        <v>-</v>
      </c>
      <c r="F30" s="917"/>
      <c r="G30" s="993"/>
      <c r="H30" s="1032"/>
      <c r="I30" s="890" t="str">
        <f>(IF(I$7="SIM",(I34)*2.4*12/$H$2,"-"))</f>
        <v>-</v>
      </c>
      <c r="J30" s="1033"/>
      <c r="K30" s="993"/>
      <c r="L30" s="1032"/>
      <c r="M30" s="890" t="str">
        <f>(IF(M$7="SIM",(M34)*2.4*12/$H$2,"-"))</f>
        <v>-</v>
      </c>
      <c r="N30" s="1033"/>
      <c r="O30" s="993"/>
      <c r="P30" s="1032"/>
      <c r="Q30" s="890" t="str">
        <f>(IF(Q$7="SIM",(Q34)*2.4*12/$H$2,"-"))</f>
        <v>-</v>
      </c>
      <c r="R30" s="1033"/>
      <c r="S30" s="993"/>
      <c r="T30" s="1032"/>
      <c r="U30" s="891" t="str">
        <f>(IF(U$7="SIM",(U34)*2.4*12/$H$2,"-"))</f>
        <v>-</v>
      </c>
      <c r="V30" s="1039"/>
      <c r="W30" s="328"/>
      <c r="X30" s="328"/>
      <c r="Y30" s="328"/>
      <c r="Z30" s="328"/>
      <c r="AA30" s="328"/>
      <c r="AB30" s="153"/>
    </row>
    <row r="31" spans="1:28" ht="15" hidden="1" customHeight="1" outlineLevel="1" x14ac:dyDescent="0.25">
      <c r="A31" s="406"/>
      <c r="B31" s="1010"/>
      <c r="C31" s="925"/>
      <c r="D31" s="1015"/>
      <c r="E31" s="332"/>
      <c r="F31" s="1016"/>
      <c r="G31" s="997"/>
      <c r="H31" s="1031"/>
      <c r="I31" s="332"/>
      <c r="J31" s="1034"/>
      <c r="K31" s="997"/>
      <c r="L31" s="1031"/>
      <c r="M31" s="332"/>
      <c r="N31" s="1034"/>
      <c r="O31" s="997"/>
      <c r="P31" s="1031"/>
      <c r="Q31" s="332"/>
      <c r="R31" s="1034"/>
      <c r="S31" s="997"/>
      <c r="T31" s="1031"/>
      <c r="U31" s="341"/>
      <c r="V31" s="924"/>
      <c r="W31" s="152"/>
      <c r="X31" s="152"/>
      <c r="Y31" s="152"/>
      <c r="Z31" s="152"/>
      <c r="AA31" s="152"/>
      <c r="AB31" s="152"/>
    </row>
    <row r="32" spans="1:28" ht="18" hidden="1" customHeight="1" outlineLevel="1" x14ac:dyDescent="0.25">
      <c r="A32" s="406"/>
      <c r="B32" s="1011" t="s">
        <v>630</v>
      </c>
      <c r="C32" s="903"/>
      <c r="D32" s="1015"/>
      <c r="E32" s="338">
        <v>3</v>
      </c>
      <c r="F32" s="1016"/>
      <c r="G32" s="998"/>
      <c r="H32" s="1031"/>
      <c r="I32" s="338">
        <v>3</v>
      </c>
      <c r="J32" s="1035"/>
      <c r="K32" s="998"/>
      <c r="L32" s="1037"/>
      <c r="M32" s="338">
        <v>3</v>
      </c>
      <c r="N32" s="1035"/>
      <c r="O32" s="998"/>
      <c r="P32" s="1037"/>
      <c r="Q32" s="338">
        <v>3</v>
      </c>
      <c r="R32" s="1035"/>
      <c r="S32" s="998"/>
      <c r="T32" s="1037"/>
      <c r="U32" s="338">
        <v>3</v>
      </c>
      <c r="V32" s="924"/>
      <c r="W32" s="311"/>
      <c r="X32" s="311"/>
      <c r="Y32" s="311"/>
      <c r="Z32" s="311"/>
      <c r="AA32" s="311"/>
      <c r="AB32" s="152"/>
    </row>
    <row r="33" spans="1:28" ht="18" hidden="1" customHeight="1" outlineLevel="1" x14ac:dyDescent="0.25">
      <c r="A33" s="406"/>
      <c r="B33" s="1011" t="s">
        <v>642</v>
      </c>
      <c r="C33" s="903"/>
      <c r="D33" s="1015"/>
      <c r="E33" s="338">
        <v>4</v>
      </c>
      <c r="F33" s="1016"/>
      <c r="G33" s="998"/>
      <c r="H33" s="1031"/>
      <c r="I33" s="338">
        <v>5</v>
      </c>
      <c r="J33" s="1035"/>
      <c r="K33" s="998"/>
      <c r="L33" s="1037"/>
      <c r="M33" s="338">
        <v>6</v>
      </c>
      <c r="N33" s="1035"/>
      <c r="O33" s="998"/>
      <c r="P33" s="1037"/>
      <c r="Q33" s="338">
        <v>8</v>
      </c>
      <c r="R33" s="1035"/>
      <c r="S33" s="998"/>
      <c r="T33" s="1037"/>
      <c r="U33" s="338">
        <v>8</v>
      </c>
      <c r="V33" s="924"/>
      <c r="W33" s="311"/>
      <c r="X33" s="311"/>
      <c r="Y33" s="311"/>
      <c r="Z33" s="311"/>
      <c r="AA33" s="311"/>
      <c r="AB33" s="152"/>
    </row>
    <row r="34" spans="1:28" ht="18" hidden="1" customHeight="1" outlineLevel="1" x14ac:dyDescent="0.25">
      <c r="A34" s="406"/>
      <c r="B34" s="1011" t="s">
        <v>632</v>
      </c>
      <c r="C34" s="903"/>
      <c r="D34" s="1015"/>
      <c r="E34" s="335">
        <f>0.6*'R&amp;C-Painel de Controle'!$D$63+0.6*E32*3*'R&amp;C-Painel de Controle'!$D64+E33*E32*'R&amp;C-Painel de Controle'!$D$65</f>
        <v>84000</v>
      </c>
      <c r="F34" s="1016"/>
      <c r="G34" s="996"/>
      <c r="H34" s="1031"/>
      <c r="I34" s="335">
        <f>0.7*'R&amp;C-Painel de Controle'!$D$63+0.7*I32*3*'R&amp;C-Painel de Controle'!$D64+I33*I32*'R&amp;C-Painel de Controle'!$D$65</f>
        <v>99500</v>
      </c>
      <c r="J34" s="1023"/>
      <c r="K34" s="996"/>
      <c r="L34" s="1036"/>
      <c r="M34" s="335">
        <f>0.8*'R&amp;C-Painel de Controle'!$D$63+0.8*M32*4*'R&amp;C-Painel de Controle'!$D64+M33*M32*'R&amp;C-Painel de Controle'!$D$65</f>
        <v>139000</v>
      </c>
      <c r="N34" s="1023"/>
      <c r="O34" s="996"/>
      <c r="P34" s="1036"/>
      <c r="Q34" s="335">
        <f>0.9*'R&amp;C-Painel de Controle'!$D$63+0.9*Q32*5*'R&amp;C-Painel de Controle'!$D64+Q33*Q32*'R&amp;C-Painel de Controle'!$D$65</f>
        <v>189000</v>
      </c>
      <c r="R34" s="1023"/>
      <c r="S34" s="996"/>
      <c r="T34" s="1036"/>
      <c r="U34" s="335">
        <f>1*'R&amp;C-Painel de Controle'!$D$63+1*U32*5*'R&amp;C-Painel de Controle'!$D64+U33*U32*'R&amp;C-Painel de Controle'!$D$65</f>
        <v>206000</v>
      </c>
      <c r="V34" s="924"/>
      <c r="W34" s="312"/>
      <c r="X34" s="312"/>
      <c r="Y34" s="312"/>
      <c r="Z34" s="312"/>
      <c r="AA34" s="312"/>
      <c r="AB34" s="152"/>
    </row>
    <row r="35" spans="1:28" ht="17.649999999999999" customHeight="1" collapsed="1" x14ac:dyDescent="0.25">
      <c r="A35" s="407"/>
      <c r="B35" s="913" t="s">
        <v>382</v>
      </c>
      <c r="C35" s="869"/>
      <c r="D35" s="1017"/>
      <c r="E35" s="890" t="str">
        <f>(IF(E$7="SIM",(E36*$H$2/1000*'R&amp;C-Painel de Controle'!$D$68+E37/1000*'R&amp;C-Painel de Controle'!$D$69*12)/$H$2,"-"))</f>
        <v>-</v>
      </c>
      <c r="F35" s="917"/>
      <c r="G35" s="993"/>
      <c r="H35" s="1077"/>
      <c r="I35" s="890" t="str">
        <f>(IF(I$7="SIM",(I36*$H$2/1000*'R&amp;C-Painel de Controle'!$D$68+I37/1000*'R&amp;C-Painel de Controle'!$D$69*12)/$H$2,"-"))</f>
        <v>-</v>
      </c>
      <c r="J35" s="1033"/>
      <c r="K35" s="993"/>
      <c r="L35" s="1077"/>
      <c r="M35" s="890" t="str">
        <f>(IF(M$7="SIM",(M36*$H$2/1000*'R&amp;C-Painel de Controle'!$D$68+M37/1000*'R&amp;C-Painel de Controle'!$D$69*12)/$H$2,"-"))</f>
        <v>-</v>
      </c>
      <c r="N35" s="1033"/>
      <c r="O35" s="993"/>
      <c r="P35" s="1077"/>
      <c r="Q35" s="890" t="str">
        <f>(IF(Q$7="SIM",(Q36*$H$2/1000*'R&amp;C-Painel de Controle'!$D$68+Q37/1000*'R&amp;C-Painel de Controle'!$D$69*12)/$H$2,"-"))</f>
        <v>-</v>
      </c>
      <c r="R35" s="1033"/>
      <c r="S35" s="993"/>
      <c r="T35" s="1077"/>
      <c r="U35" s="891" t="str">
        <f>(IF(U$7="SIM",(U36*$H$2/1000*'R&amp;C-Painel de Controle'!$D$68+U37/1000*'R&amp;C-Painel de Controle'!$D$69*12)/$H$2,"-"))</f>
        <v>-</v>
      </c>
      <c r="V35" s="1039"/>
      <c r="W35" s="330"/>
      <c r="X35" s="330"/>
      <c r="Y35" s="330"/>
      <c r="Z35" s="330"/>
      <c r="AA35" s="330"/>
      <c r="AB35" s="350" t="s">
        <v>396</v>
      </c>
    </row>
    <row r="36" spans="1:28" ht="18" hidden="1" customHeight="1" outlineLevel="1" x14ac:dyDescent="0.25">
      <c r="A36" s="406"/>
      <c r="B36" s="1011" t="s">
        <v>633</v>
      </c>
      <c r="C36" s="903"/>
      <c r="D36" s="1018"/>
      <c r="E36" s="338">
        <f>'R-Definição'!$F$66*0.075</f>
        <v>30</v>
      </c>
      <c r="F36" s="1035"/>
      <c r="G36" s="998"/>
      <c r="H36" s="1488"/>
      <c r="I36" s="338">
        <f>'R-Definição'!$F$66*0.075</f>
        <v>30</v>
      </c>
      <c r="J36" s="1019"/>
      <c r="K36" s="996"/>
      <c r="L36" s="1078"/>
      <c r="M36" s="338">
        <f>'R-Definição'!$F$66*0.075</f>
        <v>30</v>
      </c>
      <c r="N36" s="1035"/>
      <c r="O36" s="996"/>
      <c r="P36" s="1078"/>
      <c r="Q36" s="338">
        <f>'R-Definição'!$F$66*0.075</f>
        <v>30</v>
      </c>
      <c r="R36" s="1019"/>
      <c r="S36" s="996"/>
      <c r="T36" s="1078"/>
      <c r="U36" s="338">
        <f>'R-Definição'!$F$66*0.075</f>
        <v>30</v>
      </c>
      <c r="V36" s="1019"/>
      <c r="W36" s="170"/>
      <c r="X36" s="170"/>
      <c r="Y36" s="170"/>
      <c r="Z36" s="170"/>
      <c r="AA36" s="170"/>
      <c r="AB36" s="152"/>
    </row>
    <row r="37" spans="1:28" ht="18" hidden="1" customHeight="1" outlineLevel="1" x14ac:dyDescent="0.25">
      <c r="A37" s="406"/>
      <c r="B37" s="1011" t="s">
        <v>634</v>
      </c>
      <c r="C37" s="925"/>
      <c r="D37" s="1015"/>
      <c r="E37" s="335">
        <f>E36*F11*0.9*(0.92/24)</f>
        <v>155.25000000000003</v>
      </c>
      <c r="F37" s="1016"/>
      <c r="G37" s="999"/>
      <c r="H37" s="1082"/>
      <c r="I37" s="335">
        <f>I36*J11*0.9*(0.92/24)</f>
        <v>310.50000000000006</v>
      </c>
      <c r="J37" s="1022"/>
      <c r="K37" s="999"/>
      <c r="L37" s="1079"/>
      <c r="M37" s="335">
        <f>M36*N11*0.9*(0.92/24)</f>
        <v>517.5</v>
      </c>
      <c r="N37" s="1022"/>
      <c r="O37" s="999"/>
      <c r="P37" s="1079"/>
      <c r="Q37" s="335">
        <f>Q36*R11*0.9*(0.92/24)</f>
        <v>1035</v>
      </c>
      <c r="R37" s="1022"/>
      <c r="S37" s="999"/>
      <c r="T37" s="1079"/>
      <c r="U37" s="335">
        <f>U36*V11*0.9*(0.92/24)</f>
        <v>1552.5000000000002</v>
      </c>
      <c r="V37" s="924"/>
      <c r="W37" s="309"/>
      <c r="X37" s="309"/>
      <c r="Y37" s="309"/>
      <c r="Z37" s="309"/>
      <c r="AA37" s="309"/>
      <c r="AB37" s="152"/>
    </row>
    <row r="38" spans="1:28" ht="17.649999999999999" customHeight="1" collapsed="1" x14ac:dyDescent="0.25">
      <c r="A38" s="407"/>
      <c r="B38" s="913" t="s">
        <v>383</v>
      </c>
      <c r="C38" s="869"/>
      <c r="D38" s="1017"/>
      <c r="E38" s="890" t="str">
        <f>(IF(E$7="SIM",(E15*1000000*E39+E40*12)/$H$2,"-"))</f>
        <v>-</v>
      </c>
      <c r="F38" s="1021"/>
      <c r="G38" s="1000"/>
      <c r="H38" s="1080"/>
      <c r="I38" s="890" t="str">
        <f>(IF(I$7="SIM",(I15*1000000*I39+I40*12)/$H$2,"-"))</f>
        <v>-</v>
      </c>
      <c r="J38" s="1021"/>
      <c r="K38" s="1000"/>
      <c r="L38" s="1080"/>
      <c r="M38" s="890" t="str">
        <f>(IF(M$7="SIM",(M15*1000000*M39+M40*12)/$H$2,"-"))</f>
        <v>-</v>
      </c>
      <c r="N38" s="1021"/>
      <c r="O38" s="1000"/>
      <c r="P38" s="1080"/>
      <c r="Q38" s="890" t="str">
        <f>(IF(Q$7="SIM",(Q15*1000000*Q39+Q40*12)/$H$2,"-"))</f>
        <v>-</v>
      </c>
      <c r="R38" s="1021"/>
      <c r="S38" s="1000"/>
      <c r="T38" s="1080"/>
      <c r="U38" s="891" t="str">
        <f>(IF(U$7="SIM",(U15*1000000*U39+U40*12)/$H$2,"-"))</f>
        <v>-</v>
      </c>
      <c r="V38" s="1039"/>
      <c r="W38" s="308"/>
      <c r="X38" s="308"/>
      <c r="Y38" s="308"/>
      <c r="Z38" s="308"/>
      <c r="AA38" s="308"/>
      <c r="AB38" s="153"/>
    </row>
    <row r="39" spans="1:28" ht="18" hidden="1" customHeight="1" outlineLevel="1" x14ac:dyDescent="0.25">
      <c r="A39" s="406"/>
      <c r="B39" s="1011" t="s">
        <v>650</v>
      </c>
      <c r="C39" s="903"/>
      <c r="D39" s="915"/>
      <c r="E39" s="340">
        <v>2.5000000000000001E-2</v>
      </c>
      <c r="F39" s="1016"/>
      <c r="G39" s="1001"/>
      <c r="H39" s="1081"/>
      <c r="I39" s="340">
        <v>2.5000000000000001E-2</v>
      </c>
      <c r="J39" s="1016"/>
      <c r="K39" s="1001"/>
      <c r="L39" s="1081"/>
      <c r="M39" s="340">
        <v>3.5000000000000003E-2</v>
      </c>
      <c r="N39" s="1016"/>
      <c r="O39" s="1001"/>
      <c r="P39" s="1081"/>
      <c r="Q39" s="340">
        <v>3.5000000000000003E-2</v>
      </c>
      <c r="R39" s="1016"/>
      <c r="S39" s="1001"/>
      <c r="T39" s="1081"/>
      <c r="U39" s="340">
        <v>0.05</v>
      </c>
      <c r="V39" s="924"/>
      <c r="W39" s="330"/>
      <c r="X39" s="308"/>
      <c r="Y39" s="309"/>
      <c r="Z39" s="309"/>
      <c r="AA39" s="309"/>
      <c r="AB39" s="351" t="s">
        <v>397</v>
      </c>
    </row>
    <row r="40" spans="1:28" ht="18" hidden="1" customHeight="1" outlineLevel="1" x14ac:dyDescent="0.25">
      <c r="A40" s="407"/>
      <c r="B40" s="1011" t="s">
        <v>441</v>
      </c>
      <c r="C40" s="903"/>
      <c r="D40" s="915"/>
      <c r="E40" s="335">
        <v>25000</v>
      </c>
      <c r="F40" s="1022"/>
      <c r="G40" s="999"/>
      <c r="H40" s="1079"/>
      <c r="I40" s="335">
        <v>50000</v>
      </c>
      <c r="J40" s="1022"/>
      <c r="K40" s="999"/>
      <c r="L40" s="1079"/>
      <c r="M40" s="335">
        <v>50000</v>
      </c>
      <c r="N40" s="1022"/>
      <c r="O40" s="999"/>
      <c r="P40" s="1079"/>
      <c r="Q40" s="335">
        <v>75000</v>
      </c>
      <c r="R40" s="1022"/>
      <c r="S40" s="999"/>
      <c r="T40" s="1079"/>
      <c r="U40" s="335">
        <v>75000</v>
      </c>
      <c r="V40" s="924"/>
      <c r="W40" s="330"/>
      <c r="X40" s="308"/>
      <c r="Y40" s="308"/>
      <c r="Z40" s="308"/>
      <c r="AA40" s="308"/>
      <c r="AB40" s="153"/>
    </row>
    <row r="41" spans="1:28" ht="17.649999999999999" customHeight="1" collapsed="1" x14ac:dyDescent="0.25">
      <c r="A41" s="435"/>
      <c r="B41" s="913" t="s">
        <v>638</v>
      </c>
      <c r="C41" s="869"/>
      <c r="D41" s="1074">
        <v>0.25</v>
      </c>
      <c r="E41" s="890" t="str">
        <f>(IF(E$7="SIM",D41*E42*E43*12/$H$2,"-"))</f>
        <v>-</v>
      </c>
      <c r="F41" s="1021"/>
      <c r="G41" s="1000"/>
      <c r="H41" s="1074">
        <v>0.25</v>
      </c>
      <c r="I41" s="890" t="str">
        <f>(IF(I$7="SIM",H41*I42*I43*12/$H$2,"-"))</f>
        <v>-</v>
      </c>
      <c r="J41" s="1021"/>
      <c r="K41" s="1000"/>
      <c r="L41" s="1074">
        <v>0.25</v>
      </c>
      <c r="M41" s="890" t="str">
        <f>(IF(M$7="SIM",L41*M42*M43*12/$H$2,"-"))</f>
        <v>-</v>
      </c>
      <c r="N41" s="1021"/>
      <c r="O41" s="1000"/>
      <c r="P41" s="1074">
        <v>0.5</v>
      </c>
      <c r="Q41" s="890" t="str">
        <f>(IF(Q$7="SIM",P41*Q42*Q43*12/$H$2,"-"))</f>
        <v>-</v>
      </c>
      <c r="R41" s="1021"/>
      <c r="S41" s="1000"/>
      <c r="T41" s="1074">
        <v>0.5</v>
      </c>
      <c r="U41" s="891" t="str">
        <f>(IF(U$7="SIM",T41*U42*U43*12/$H$2,"-"))</f>
        <v>-</v>
      </c>
      <c r="V41" s="1039"/>
      <c r="W41" s="153"/>
      <c r="X41" s="153"/>
      <c r="Y41" s="153"/>
      <c r="Z41" s="153"/>
      <c r="AA41" s="153"/>
      <c r="AB41" s="153"/>
    </row>
    <row r="42" spans="1:28" ht="18" hidden="1" customHeight="1" outlineLevel="1" x14ac:dyDescent="0.25">
      <c r="A42" s="407"/>
      <c r="B42" s="1011" t="s">
        <v>636</v>
      </c>
      <c r="C42" s="925"/>
      <c r="D42" s="915"/>
      <c r="E42" s="335">
        <f>'R&amp;C-Painel de Controle'!$D$70</f>
        <v>100000</v>
      </c>
      <c r="F42" s="1023"/>
      <c r="G42" s="996"/>
      <c r="H42" s="1082"/>
      <c r="I42" s="335">
        <f>'R&amp;C-Painel de Controle'!$D$70</f>
        <v>100000</v>
      </c>
      <c r="J42" s="1023"/>
      <c r="K42" s="996"/>
      <c r="L42" s="1082"/>
      <c r="M42" s="335">
        <f>'R&amp;C-Painel de Controle'!$D$70</f>
        <v>100000</v>
      </c>
      <c r="N42" s="1023"/>
      <c r="O42" s="996"/>
      <c r="P42" s="1082"/>
      <c r="Q42" s="335">
        <f>'R&amp;C-Painel de Controle'!$D$70</f>
        <v>100000</v>
      </c>
      <c r="R42" s="1023"/>
      <c r="S42" s="996"/>
      <c r="T42" s="1082"/>
      <c r="U42" s="335">
        <f>'R&amp;C-Painel de Controle'!$D$70</f>
        <v>100000</v>
      </c>
      <c r="V42" s="924"/>
      <c r="W42" s="153"/>
      <c r="X42" s="153"/>
      <c r="Y42" s="153"/>
      <c r="Z42" s="153"/>
      <c r="AA42" s="153"/>
      <c r="AB42" s="153"/>
    </row>
    <row r="43" spans="1:28" ht="18" hidden="1" customHeight="1" outlineLevel="1" x14ac:dyDescent="0.25">
      <c r="A43" s="406"/>
      <c r="B43" s="1011" t="s">
        <v>637</v>
      </c>
      <c r="C43" s="925"/>
      <c r="D43" s="915"/>
      <c r="E43" s="336">
        <v>0.5</v>
      </c>
      <c r="F43" s="1023"/>
      <c r="G43" s="996"/>
      <c r="H43" s="1082"/>
      <c r="I43" s="336">
        <v>1</v>
      </c>
      <c r="J43" s="1023"/>
      <c r="K43" s="996"/>
      <c r="L43" s="1082"/>
      <c r="M43" s="336">
        <v>1.5</v>
      </c>
      <c r="N43" s="1023"/>
      <c r="O43" s="996"/>
      <c r="P43" s="1082"/>
      <c r="Q43" s="336">
        <v>2</v>
      </c>
      <c r="R43" s="1023"/>
      <c r="S43" s="996"/>
      <c r="T43" s="1082"/>
      <c r="U43" s="336">
        <v>2.5</v>
      </c>
      <c r="V43" s="924"/>
      <c r="W43" s="152"/>
      <c r="X43" s="152"/>
      <c r="Y43" s="152"/>
      <c r="Z43" s="152"/>
      <c r="AA43" s="152"/>
      <c r="AB43" s="152"/>
    </row>
    <row r="44" spans="1:28" ht="17.649999999999999" customHeight="1" x14ac:dyDescent="0.25">
      <c r="A44" s="407"/>
      <c r="B44" s="913" t="s">
        <v>390</v>
      </c>
      <c r="C44" s="869"/>
      <c r="D44" s="1017"/>
      <c r="E44" s="893" t="str">
        <f>(IF(E$7="SIM",2.5+2.5*'R&amp;C-Painel de Controle'!$D$74,"-"))</f>
        <v>-</v>
      </c>
      <c r="F44" s="1021"/>
      <c r="G44" s="1000"/>
      <c r="H44" s="1080"/>
      <c r="I44" s="893" t="str">
        <f>(IF(I$7="SIM",2.5+2.5*'R&amp;C-Painel de Controle'!$D$74,"-"))</f>
        <v>-</v>
      </c>
      <c r="J44" s="1021"/>
      <c r="K44" s="1000"/>
      <c r="L44" s="1080"/>
      <c r="M44" s="893" t="str">
        <f>(IF(M$7="SIM",2.5+2.5*'R&amp;C-Painel de Controle'!$D$74,"-"))</f>
        <v>-</v>
      </c>
      <c r="N44" s="1021"/>
      <c r="O44" s="1000"/>
      <c r="P44" s="1080"/>
      <c r="Q44" s="893" t="str">
        <f>(IF(Q$7="SIM",2.5+2.5*'R&amp;C-Painel de Controle'!$D$74,"-"))</f>
        <v>-</v>
      </c>
      <c r="R44" s="1021"/>
      <c r="S44" s="1000"/>
      <c r="T44" s="1080"/>
      <c r="U44" s="894" t="str">
        <f>(IF(U$7="SIM",2.5+2.5*'R&amp;C-Painel de Controle'!$D$74,"-"))</f>
        <v>-</v>
      </c>
      <c r="V44" s="1039"/>
      <c r="W44" s="153"/>
      <c r="X44" s="153"/>
      <c r="Y44" s="153"/>
      <c r="Z44" s="153"/>
      <c r="AA44" s="153"/>
      <c r="AB44" s="153"/>
    </row>
    <row r="45" spans="1:28" s="882" customFormat="1" ht="19.899999999999999" customHeight="1" x14ac:dyDescent="0.3">
      <c r="A45" s="879"/>
      <c r="B45" s="1012" t="s">
        <v>386</v>
      </c>
      <c r="C45" s="904"/>
      <c r="D45" s="1489">
        <v>2.5000000000000001E-2</v>
      </c>
      <c r="E45" s="887" t="str">
        <f>(IF(E$7="SIM",((E30+E35+E38+E41+E44)+(IF('R-Definição'!$J$59&gt;0,E53,IF('R-Definição'!$J$59&gt;0,E51,0))))*(1+D45),"-"))</f>
        <v>-</v>
      </c>
      <c r="F45" s="1024"/>
      <c r="G45" s="1002"/>
      <c r="H45" s="1489">
        <v>2.5000000000000001E-2</v>
      </c>
      <c r="I45" s="887" t="str">
        <f>(IF(I$7="SIM",((I30+I35+I38+I41+I44)+(IF('R-Definição'!$J$59&gt;0,I53,IF('R-Definição'!$J$59&gt;0,I51,0))))*(1+H45),"-"))</f>
        <v>-</v>
      </c>
      <c r="J45" s="1024"/>
      <c r="K45" s="1002"/>
      <c r="L45" s="1489">
        <v>2.5000000000000001E-2</v>
      </c>
      <c r="M45" s="887" t="str">
        <f>(IF(M$7="SIM",((M30+M35+M38+M41+M44)+(IF('R-Definição'!$J$59&gt;0,M53,IF('R-Definição'!$J$59&gt;0,M51,0))))*(1+L45),"-"))</f>
        <v>-</v>
      </c>
      <c r="N45" s="1024"/>
      <c r="O45" s="1002"/>
      <c r="P45" s="1489">
        <v>0.05</v>
      </c>
      <c r="Q45" s="887" t="str">
        <f>(IF(Q$7="SIM",((Q30+Q35+Q38+Q41+Q44)+(IF('R-Definição'!$J$59&gt;0,Q53,IF('R-Definição'!$J$59&gt;0,Q51,0))))*(1+P45),"-"))</f>
        <v>-</v>
      </c>
      <c r="R45" s="1024"/>
      <c r="S45" s="1002"/>
      <c r="T45" s="1489">
        <v>0.05</v>
      </c>
      <c r="U45" s="887" t="str">
        <f>(IF(U$7="SIM",((U30+U35+U38+U41+U44)+(IF('R-Definição'!$J$59&gt;0,U53,IF('R-Definição'!$J$59&gt;0,U51,0))))*(1+T45),"-"))</f>
        <v>-</v>
      </c>
      <c r="V45" s="1040"/>
      <c r="W45" s="881"/>
      <c r="X45" s="881"/>
      <c r="Y45" s="881"/>
      <c r="Z45" s="881"/>
      <c r="AA45" s="881"/>
      <c r="AB45" s="881"/>
    </row>
    <row r="46" spans="1:28" s="882" customFormat="1" ht="19.899999999999999" customHeight="1" x14ac:dyDescent="0.3">
      <c r="A46" s="879"/>
      <c r="B46" s="1012" t="s">
        <v>387</v>
      </c>
      <c r="C46" s="904"/>
      <c r="D46" s="1025"/>
      <c r="E46" s="886" t="str">
        <f>(IF(E$7="SIM",E45*$H$2/1000000,"-"))</f>
        <v>-</v>
      </c>
      <c r="F46" s="1026"/>
      <c r="G46" s="904"/>
      <c r="H46" s="1025"/>
      <c r="I46" s="886" t="str">
        <f>(IF(I$7="SIM",I45*$H$2/1000000,"-"))</f>
        <v>-</v>
      </c>
      <c r="J46" s="1026"/>
      <c r="K46" s="904"/>
      <c r="L46" s="1025"/>
      <c r="M46" s="886" t="str">
        <f>(IF(M$7="SIM",M45*$H$2/1000000,"-"))</f>
        <v>-</v>
      </c>
      <c r="N46" s="1026"/>
      <c r="O46" s="904"/>
      <c r="P46" s="1083"/>
      <c r="Q46" s="886" t="str">
        <f>(IF(Q$7="SIM",Q45*$H$2/1000000,"-"))</f>
        <v>-</v>
      </c>
      <c r="R46" s="1026"/>
      <c r="S46" s="904"/>
      <c r="T46" s="1025"/>
      <c r="U46" s="851" t="str">
        <f>(IF(U$7="SIM",U45*$H$2/1000000,"-"))</f>
        <v>-</v>
      </c>
      <c r="V46" s="1026"/>
      <c r="W46" s="881"/>
      <c r="X46" s="881"/>
      <c r="Y46" s="881"/>
      <c r="Z46" s="881"/>
      <c r="AA46" s="881"/>
      <c r="AB46" s="881"/>
    </row>
    <row r="47" spans="1:28" s="691" customFormat="1" ht="17.649999999999999" customHeight="1" x14ac:dyDescent="0.25">
      <c r="A47" s="657"/>
      <c r="B47" s="1013" t="s">
        <v>388</v>
      </c>
      <c r="C47" s="869"/>
      <c r="D47" s="1020"/>
      <c r="E47" s="895" t="str">
        <f>(IF(E$7="SIM",(((E30*$H$2/12)+(E37/1000*'R&amp;C-Painel de Controle'!$D$69*12)+(E40*12)+(E42*E43*12))/1000000),"-"))</f>
        <v>-</v>
      </c>
      <c r="F47" s="1027"/>
      <c r="G47" s="869"/>
      <c r="H47" s="1020"/>
      <c r="I47" s="895" t="str">
        <f>(IF(I$7="SIM",(((I30*$H$2/12)+(I37/1000*'R&amp;C-Painel de Controle'!$D$69*12)+(I40*12)+(I42*I43*12))/1000000),"-"))</f>
        <v>-</v>
      </c>
      <c r="J47" s="1027"/>
      <c r="K47" s="869"/>
      <c r="L47" s="1020"/>
      <c r="M47" s="895" t="str">
        <f>(IF(M$7="SIM",(((M30*$H$2/12)+(M37/1000*'R&amp;C-Painel de Controle'!$D$69*12)+(M40*12)+(M42*M43*12))/1000000),"-"))</f>
        <v>-</v>
      </c>
      <c r="N47" s="1027"/>
      <c r="O47" s="869"/>
      <c r="P47" s="1020"/>
      <c r="Q47" s="895" t="str">
        <f>(IF(Q$7="SIM",(((Q30*$H$2/12)+(Q37/1000*'R&amp;C-Painel de Controle'!$D$69*12)+(Q40*12)+(Q42*Q43*12))/1000000),"-"))</f>
        <v>-</v>
      </c>
      <c r="R47" s="1027"/>
      <c r="S47" s="869"/>
      <c r="T47" s="1020"/>
      <c r="U47" s="896" t="str">
        <f>(IF(U$7="SIM",(((U30*$H$2/12)+(U37/1000*'R&amp;C-Painel de Controle'!$D$69*12)+(U40*12)+(U42*U43*12))/1000000),"-"))</f>
        <v>-</v>
      </c>
      <c r="V47" s="1027"/>
      <c r="W47" s="38"/>
      <c r="X47" s="38"/>
      <c r="Y47" s="38"/>
      <c r="Z47" s="38"/>
      <c r="AA47" s="38"/>
      <c r="AB47" s="38"/>
    </row>
    <row r="48" spans="1:28" s="691" customFormat="1" ht="17.649999999999999" customHeight="1" thickBot="1" x14ac:dyDescent="0.3">
      <c r="A48" s="657"/>
      <c r="B48" s="1014" t="s">
        <v>389</v>
      </c>
      <c r="C48" s="869"/>
      <c r="D48" s="1028"/>
      <c r="E48" s="1029" t="str">
        <f>(IF(E$7="SIM",((E46-E47)*1000000)/$H$2,"-"))</f>
        <v>-</v>
      </c>
      <c r="F48" s="1030"/>
      <c r="G48" s="869"/>
      <c r="H48" s="1028"/>
      <c r="I48" s="1029" t="str">
        <f>(IF(I$7="SIM",((I46-I47)*1000000)/$H$2,"-"))</f>
        <v>-</v>
      </c>
      <c r="J48" s="1030"/>
      <c r="K48" s="869"/>
      <c r="L48" s="1028"/>
      <c r="M48" s="1029" t="str">
        <f>(IF(M$7="SIM",((M46-M47)*1000000)/$H$2,"-"))</f>
        <v>-</v>
      </c>
      <c r="N48" s="1030"/>
      <c r="O48" s="869"/>
      <c r="P48" s="1028"/>
      <c r="Q48" s="1029" t="str">
        <f>(IF(Q$7="SIM",((Q46-Q47)*1000000)/$H$2,"-"))</f>
        <v>-</v>
      </c>
      <c r="R48" s="1030"/>
      <c r="S48" s="869"/>
      <c r="T48" s="1028"/>
      <c r="U48" s="1041" t="str">
        <f>(IF(U$7="SIM",((U46-U47)*1000000)/$H$2,"-"))</f>
        <v>-</v>
      </c>
      <c r="V48" s="1030"/>
      <c r="W48" s="38"/>
      <c r="X48" s="38"/>
      <c r="Y48" s="38"/>
      <c r="Z48" s="38"/>
      <c r="AA48" s="38"/>
      <c r="AB48" s="38"/>
    </row>
    <row r="49" spans="1:28" ht="14.25" customHeight="1" thickTop="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1487" t="s">
        <v>900</v>
      </c>
      <c r="C50" s="33"/>
      <c r="D50" s="33"/>
      <c r="E50" s="29"/>
      <c r="F50" s="33"/>
      <c r="G50" s="33"/>
      <c r="H50" s="33"/>
      <c r="I50" s="29"/>
      <c r="J50" s="33"/>
      <c r="K50" s="33"/>
      <c r="L50" s="33"/>
      <c r="M50" s="29"/>
      <c r="N50" s="33"/>
      <c r="O50" s="33"/>
      <c r="P50" s="33"/>
      <c r="Q50" s="29"/>
      <c r="R50" s="33"/>
      <c r="S50" s="33"/>
      <c r="T50" s="33"/>
      <c r="U50" s="29"/>
      <c r="V50" s="33"/>
      <c r="W50" s="33"/>
      <c r="X50" s="33"/>
      <c r="Y50" s="33"/>
      <c r="Z50" s="33"/>
      <c r="AA50" s="33"/>
      <c r="AB50" s="33"/>
    </row>
    <row r="51" spans="1:28" ht="14.25" customHeight="1" x14ac:dyDescent="0.25">
      <c r="A51" s="33"/>
      <c r="B51" s="1487" t="s">
        <v>901</v>
      </c>
      <c r="C51" s="33"/>
      <c r="D51" s="33"/>
      <c r="E51" s="29"/>
      <c r="F51" s="33"/>
      <c r="G51" s="33"/>
      <c r="H51" s="33"/>
      <c r="I51" s="29"/>
      <c r="J51" s="33"/>
      <c r="K51" s="33"/>
      <c r="L51" s="33"/>
      <c r="M51" s="29"/>
      <c r="N51" s="33"/>
      <c r="O51" s="33"/>
      <c r="P51" s="33"/>
      <c r="Q51" s="29"/>
      <c r="R51" s="33"/>
      <c r="S51" s="33"/>
      <c r="T51" s="33"/>
      <c r="U51" s="29"/>
      <c r="V51" s="33"/>
      <c r="W51" s="33"/>
      <c r="X51" s="33"/>
      <c r="Y51" s="33"/>
      <c r="Z51" s="33"/>
      <c r="AA51" s="33"/>
      <c r="AB51" s="33"/>
    </row>
    <row r="52" spans="1:28" ht="14.25" customHeight="1" x14ac:dyDescent="0.25">
      <c r="A52" s="33"/>
      <c r="B52" s="1487" t="s">
        <v>902</v>
      </c>
      <c r="C52" s="33"/>
      <c r="D52" s="33"/>
      <c r="E52" s="29"/>
      <c r="F52" s="33"/>
      <c r="G52" s="33"/>
      <c r="H52" s="33"/>
      <c r="I52" s="29"/>
      <c r="J52" s="33"/>
      <c r="K52" s="33"/>
      <c r="L52" s="33"/>
      <c r="M52" s="29"/>
      <c r="N52" s="33"/>
      <c r="O52" s="33"/>
      <c r="P52" s="33"/>
      <c r="Q52" s="29"/>
      <c r="R52" s="33"/>
      <c r="S52" s="33"/>
      <c r="T52" s="33"/>
      <c r="U52" s="29"/>
      <c r="V52" s="33"/>
      <c r="W52" s="33"/>
      <c r="X52" s="33"/>
      <c r="Y52" s="33"/>
      <c r="Z52" s="33"/>
      <c r="AA52" s="33"/>
      <c r="AB52" s="33"/>
    </row>
    <row r="53" spans="1:28" ht="14.25" customHeight="1" x14ac:dyDescent="0.25">
      <c r="A53" s="33"/>
      <c r="B53" s="1487" t="s">
        <v>903</v>
      </c>
      <c r="C53" s="33"/>
      <c r="D53" s="33"/>
      <c r="E53" s="29"/>
      <c r="F53" s="33"/>
      <c r="G53" s="33"/>
      <c r="H53" s="33"/>
      <c r="I53" s="29"/>
      <c r="J53" s="33"/>
      <c r="K53" s="33"/>
      <c r="L53" s="33"/>
      <c r="M53" s="29"/>
      <c r="N53" s="33"/>
      <c r="O53" s="33"/>
      <c r="P53" s="33"/>
      <c r="Q53" s="29"/>
      <c r="R53" s="33"/>
      <c r="S53" s="33"/>
      <c r="T53" s="33"/>
      <c r="U53" s="29"/>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row r="105" spans="1:28"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c r="AA105" s="33"/>
      <c r="AB105" s="33"/>
    </row>
    <row r="106" spans="1:28"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c r="AA106" s="33"/>
      <c r="AB106" s="33"/>
    </row>
    <row r="107" spans="1:28" ht="14.25" customHeight="1" x14ac:dyDescent="0.25">
      <c r="A107" s="33"/>
      <c r="B107" s="42"/>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c r="AA107" s="33"/>
      <c r="AB107" s="33"/>
    </row>
    <row r="108" spans="1:28" ht="14.25" customHeight="1" x14ac:dyDescent="0.25">
      <c r="A108" s="33"/>
      <c r="B108" s="42"/>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c r="AA108" s="33"/>
      <c r="AB108" s="33"/>
    </row>
    <row r="109" spans="1:28" ht="14.25" customHeight="1" x14ac:dyDescent="0.25">
      <c r="A109" s="33"/>
      <c r="B109" s="42"/>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c r="AA109" s="33"/>
      <c r="AB109" s="33"/>
    </row>
  </sheetData>
  <sheetProtection algorithmName="SHA-512" hashValue="Et4M8W/OLllXpEz4VH7mNF0oiDUp1CHcYLa1Rrdo2ze95g30MJUyo6Ek6QJXx0KyUxjMnSKcCWHWaJJrjR7RLA==" saltValue="eih1AUSnlNSZBTegL8zrLw=="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68" customFormat="1" ht="19.899999999999999" customHeight="1" x14ac:dyDescent="0.25">
      <c r="A1" s="433"/>
      <c r="B1" s="2939" t="s">
        <v>771</v>
      </c>
      <c r="C1" s="433"/>
      <c r="D1" s="433"/>
      <c r="E1" s="433"/>
      <c r="F1" s="433"/>
      <c r="G1" s="433"/>
      <c r="H1" s="433"/>
      <c r="I1" s="433"/>
      <c r="J1" s="1133" t="str">
        <f>'R&amp;C-Painel de Controle'!C58</f>
        <v>%</v>
      </c>
      <c r="K1" s="1133"/>
      <c r="L1" s="1133" t="s">
        <v>398</v>
      </c>
      <c r="M1" s="1133" t="s">
        <v>714</v>
      </c>
      <c r="N1" s="433"/>
      <c r="O1" s="433"/>
      <c r="P1" s="433"/>
      <c r="Q1" s="433"/>
      <c r="R1" s="433"/>
      <c r="S1" s="433"/>
      <c r="T1" s="433"/>
      <c r="U1" s="433"/>
      <c r="V1" s="433"/>
      <c r="W1" s="170"/>
      <c r="X1" s="170"/>
      <c r="Y1" s="170"/>
      <c r="Z1" s="170"/>
      <c r="AA1" s="170"/>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row>
    <row r="2" spans="1:61" s="68" customFormat="1" ht="19.899999999999999" customHeight="1" x14ac:dyDescent="0.3">
      <c r="A2" s="769"/>
      <c r="B2" s="2939"/>
      <c r="C2" s="436"/>
      <c r="D2" s="899">
        <f>'R-Resumo Bal. Massa'!B39*(1+'R&amp;C-Painel de Controle'!H71)</f>
        <v>0</v>
      </c>
      <c r="E2" s="900" t="s">
        <v>21</v>
      </c>
      <c r="F2"/>
      <c r="G2"/>
      <c r="H2" s="1105">
        <f>D2*313</f>
        <v>0</v>
      </c>
      <c r="I2" s="1104" t="s">
        <v>249</v>
      </c>
      <c r="J2"/>
      <c r="K2"/>
      <c r="L2" s="1086" t="str">
        <f>IF(D2&gt;0,"Sim","Não")</f>
        <v>Não</v>
      </c>
      <c r="M2" s="431"/>
      <c r="N2" s="431"/>
      <c r="O2" s="431"/>
      <c r="P2" s="1106" t="s">
        <v>436</v>
      </c>
      <c r="Q2" s="2930" t="str">
        <f>'R-Definição'!D2</f>
        <v>CIRSOP - Consórcio RSU Oeste Paulista</v>
      </c>
      <c r="R2" s="2931"/>
      <c r="S2" s="429"/>
      <c r="T2" s="1106" t="s">
        <v>437</v>
      </c>
      <c r="U2" s="2930" t="str">
        <f>'R-Definição'!D3</f>
        <v>Biodigestão c/ Prod. E. Elétrica</v>
      </c>
      <c r="V2" s="2931"/>
      <c r="W2" s="327"/>
      <c r="X2" s="327"/>
      <c r="Y2" s="327"/>
      <c r="Z2" s="327"/>
      <c r="AA2" s="327"/>
      <c r="AB2" s="307"/>
      <c r="AC2" s="307"/>
      <c r="AD2" s="307"/>
      <c r="AE2" s="307"/>
      <c r="AF2" s="307"/>
      <c r="AG2" s="307"/>
      <c r="AH2" s="307"/>
      <c r="AI2" s="307"/>
      <c r="AJ2" s="307"/>
      <c r="AK2" s="307"/>
      <c r="AL2" s="307"/>
      <c r="AM2" s="307"/>
      <c r="AN2" s="307"/>
      <c r="AO2" s="307"/>
      <c r="AP2" s="307"/>
      <c r="AQ2" s="307"/>
      <c r="AR2" s="307"/>
      <c r="AS2" s="307"/>
      <c r="AT2" s="307"/>
      <c r="AU2" s="307"/>
      <c r="AV2" s="307"/>
      <c r="AW2" s="307"/>
      <c r="AX2" s="307"/>
      <c r="AY2" s="307"/>
      <c r="AZ2" s="307"/>
      <c r="BA2" s="307"/>
      <c r="BB2" s="307"/>
      <c r="BC2" s="307"/>
      <c r="BD2" s="307"/>
      <c r="BE2" s="307"/>
      <c r="BF2" s="307"/>
      <c r="BG2" s="307"/>
      <c r="BH2" s="307"/>
      <c r="BI2" s="307"/>
    </row>
    <row r="3" spans="1:61" s="68" customFormat="1" ht="19.899999999999999" customHeight="1" x14ac:dyDescent="0.25">
      <c r="A3" s="433"/>
      <c r="B3" s="2939"/>
      <c r="C3" s="427"/>
      <c r="D3" s="426"/>
      <c r="E3" s="426"/>
      <c r="F3" s="426"/>
      <c r="G3" s="426"/>
      <c r="H3" s="426"/>
      <c r="I3" s="426"/>
      <c r="J3" s="426"/>
      <c r="K3" s="426"/>
      <c r="L3" s="426"/>
      <c r="M3" s="426"/>
      <c r="N3" s="426"/>
      <c r="O3" s="431"/>
      <c r="P3" s="426"/>
      <c r="Q3" s="426"/>
      <c r="R3" s="426"/>
      <c r="S3" s="426"/>
      <c r="T3" s="426"/>
      <c r="U3" s="426"/>
      <c r="V3" s="426"/>
      <c r="W3" s="170"/>
      <c r="X3" s="170"/>
      <c r="Y3" s="170"/>
      <c r="Z3" s="170"/>
      <c r="AA3" s="170"/>
      <c r="AB3" s="152"/>
      <c r="AC3" s="152"/>
      <c r="AD3" s="152"/>
      <c r="AE3" s="152"/>
      <c r="AF3" s="152"/>
      <c r="AG3" s="152"/>
      <c r="AH3" s="152"/>
      <c r="AI3" s="152"/>
      <c r="AJ3" s="152"/>
      <c r="AK3" s="152"/>
      <c r="AL3" s="152"/>
      <c r="AM3" s="152"/>
      <c r="AN3" s="152"/>
      <c r="AO3" s="152"/>
      <c r="AP3" s="152"/>
      <c r="AQ3" s="152"/>
      <c r="AR3" s="152"/>
      <c r="AS3" s="152"/>
      <c r="AT3" s="152"/>
      <c r="AU3" s="152"/>
      <c r="AV3" s="152"/>
      <c r="AW3" s="152"/>
      <c r="AX3" s="152"/>
      <c r="AY3" s="152"/>
      <c r="AZ3" s="152"/>
      <c r="BA3" s="152"/>
      <c r="BB3" s="152"/>
      <c r="BC3" s="152"/>
      <c r="BD3" s="152"/>
      <c r="BE3" s="152"/>
      <c r="BF3" s="152"/>
      <c r="BG3" s="152"/>
      <c r="BH3" s="152"/>
      <c r="BI3" s="152"/>
    </row>
    <row r="4" spans="1:61" s="68" customFormat="1" ht="7.5" customHeight="1" x14ac:dyDescent="0.25">
      <c r="A4" s="433"/>
      <c r="B4" s="683"/>
      <c r="C4" s="403"/>
      <c r="D4" s="1061"/>
      <c r="E4" s="1061"/>
      <c r="F4" s="1061"/>
      <c r="G4" s="403"/>
      <c r="H4" s="1061"/>
      <c r="I4" s="1061"/>
      <c r="J4" s="1061"/>
      <c r="K4" s="403"/>
      <c r="L4" s="1061"/>
      <c r="M4" s="1061"/>
      <c r="N4" s="1383"/>
      <c r="O4" s="403"/>
      <c r="P4" s="1061"/>
      <c r="Q4" s="1061"/>
      <c r="R4" s="1061"/>
      <c r="S4" s="905"/>
      <c r="T4" s="1061"/>
      <c r="U4" s="1061"/>
      <c r="V4" s="906"/>
      <c r="W4" s="355"/>
      <c r="X4" s="355"/>
      <c r="Y4" s="355"/>
      <c r="Z4" s="355"/>
      <c r="AA4" s="355"/>
      <c r="AB4" s="152"/>
      <c r="AC4" s="152"/>
      <c r="AD4" s="152"/>
      <c r="AE4" s="152"/>
      <c r="AF4" s="152"/>
      <c r="AG4" s="152"/>
      <c r="AH4" s="152"/>
      <c r="AI4" s="152"/>
      <c r="AJ4" s="152"/>
      <c r="AK4" s="152"/>
      <c r="AL4" s="152"/>
      <c r="AM4" s="152"/>
      <c r="AN4" s="152"/>
      <c r="AO4" s="152"/>
      <c r="AP4" s="152"/>
      <c r="AQ4" s="152"/>
      <c r="AR4" s="152"/>
      <c r="AS4" s="152"/>
      <c r="AT4" s="152"/>
      <c r="AU4" s="152"/>
      <c r="AV4" s="152"/>
      <c r="AW4" s="152"/>
      <c r="AX4" s="152"/>
      <c r="AY4" s="152"/>
      <c r="AZ4" s="152"/>
      <c r="BA4" s="152"/>
      <c r="BB4" s="152"/>
      <c r="BC4" s="152"/>
      <c r="BD4" s="152"/>
      <c r="BE4" s="152"/>
      <c r="BF4" s="152"/>
      <c r="BG4" s="152"/>
      <c r="BH4" s="152"/>
      <c r="BI4" s="152"/>
    </row>
    <row r="5" spans="1:61" s="68" customFormat="1" ht="17.649999999999999" customHeight="1" x14ac:dyDescent="0.25">
      <c r="A5" s="433"/>
      <c r="B5" s="865" t="s">
        <v>764</v>
      </c>
      <c r="C5" s="437"/>
      <c r="D5" s="1110">
        <v>4.5</v>
      </c>
      <c r="E5" s="870" t="s">
        <v>776</v>
      </c>
      <c r="F5" s="868"/>
      <c r="G5" s="868"/>
      <c r="H5" s="868"/>
      <c r="I5" s="868"/>
      <c r="J5" s="868"/>
      <c r="K5" s="868"/>
      <c r="L5" s="868"/>
      <c r="M5" s="868"/>
      <c r="N5" s="868"/>
      <c r="O5" s="868"/>
      <c r="P5" s="868"/>
      <c r="Q5" s="868"/>
      <c r="R5" s="868"/>
      <c r="S5" s="868"/>
      <c r="T5" s="868"/>
      <c r="U5" s="868"/>
      <c r="V5" s="317"/>
      <c r="W5" s="170"/>
      <c r="X5" s="170"/>
      <c r="Y5" s="170"/>
      <c r="Z5" s="170"/>
      <c r="AA5" s="170"/>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row>
    <row r="6" spans="1:61" s="68" customFormat="1" ht="7.5" customHeight="1" x14ac:dyDescent="0.25">
      <c r="A6" s="433"/>
      <c r="B6" s="683"/>
      <c r="C6" s="403"/>
      <c r="D6" s="1061"/>
      <c r="E6" s="1061"/>
      <c r="F6" s="1061"/>
      <c r="G6" s="403"/>
      <c r="H6" s="1061"/>
      <c r="I6" s="1061"/>
      <c r="J6" s="1061"/>
      <c r="K6" s="403"/>
      <c r="L6" s="1061"/>
      <c r="M6" s="1061"/>
      <c r="N6" s="1061"/>
      <c r="O6" s="403"/>
      <c r="P6" s="1061"/>
      <c r="Q6" s="1061"/>
      <c r="R6" s="1061"/>
      <c r="S6" s="905"/>
      <c r="T6" s="1061"/>
      <c r="U6" s="1061"/>
      <c r="V6" s="906"/>
      <c r="W6" s="355"/>
      <c r="X6" s="355"/>
      <c r="Y6" s="355"/>
      <c r="Z6" s="355"/>
      <c r="AA6" s="355"/>
      <c r="AB6" s="152"/>
      <c r="AC6" s="152"/>
      <c r="AD6" s="152"/>
      <c r="AE6" s="152"/>
      <c r="AF6" s="152"/>
      <c r="AG6" s="152"/>
      <c r="AH6" s="152"/>
      <c r="AI6" s="152"/>
      <c r="AJ6" s="152"/>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row>
    <row r="7" spans="1:61" s="68" customFormat="1" ht="19.899999999999999" customHeight="1" x14ac:dyDescent="0.25">
      <c r="A7" s="433"/>
      <c r="B7" s="865" t="s">
        <v>841</v>
      </c>
      <c r="C7" s="849"/>
      <c r="D7" s="1384" t="e">
        <f>(2.6*('R-Definição'!O111/'R-Definição'!E112))/(0.97*'R-Definição'!E114)</f>
        <v>#DIV/0!</v>
      </c>
      <c r="E7" s="1054" t="str">
        <f>IF(AND(L2="Sim",$D$2&gt;D11,$D$2&lt;=F11),"SIM","NÃO")</f>
        <v>NÃO</v>
      </c>
      <c r="F7" s="1483">
        <v>0.72499999999999998</v>
      </c>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70"/>
      <c r="X7" s="170"/>
      <c r="Y7" s="170"/>
      <c r="Z7" s="170"/>
      <c r="AA7" s="170"/>
      <c r="AB7" s="152"/>
      <c r="AC7" s="152"/>
      <c r="AD7" s="152"/>
      <c r="AE7" s="152"/>
      <c r="AF7" s="152"/>
      <c r="AG7" s="152"/>
      <c r="AH7" s="152"/>
      <c r="AI7" s="152"/>
      <c r="AJ7" s="152"/>
      <c r="AK7" s="152"/>
      <c r="AL7" s="152"/>
      <c r="AM7" s="152"/>
      <c r="AN7" s="152"/>
      <c r="AO7" s="152"/>
      <c r="AP7" s="152"/>
      <c r="AQ7" s="152"/>
      <c r="AR7" s="152"/>
      <c r="AS7" s="152"/>
      <c r="AT7" s="152"/>
      <c r="AU7" s="152"/>
      <c r="AV7" s="152"/>
      <c r="AW7" s="152"/>
      <c r="AX7" s="152"/>
      <c r="AY7" s="152"/>
      <c r="AZ7" s="152"/>
      <c r="BA7" s="152"/>
      <c r="BB7" s="152"/>
      <c r="BC7" s="152"/>
      <c r="BD7" s="152"/>
      <c r="BE7" s="152"/>
      <c r="BF7" s="152"/>
      <c r="BG7" s="152"/>
      <c r="BH7" s="152"/>
      <c r="BI7" s="152"/>
    </row>
    <row r="8" spans="1:61" s="68" customFormat="1" ht="7.5" customHeight="1" thickBot="1" x14ac:dyDescent="0.3">
      <c r="A8" s="433"/>
      <c r="B8" s="683"/>
      <c r="C8" s="403"/>
      <c r="D8" s="1061"/>
      <c r="E8" s="1061"/>
      <c r="F8" s="1061"/>
      <c r="G8" s="403"/>
      <c r="H8" s="1061"/>
      <c r="I8" s="1061"/>
      <c r="J8" s="1061"/>
      <c r="K8" s="403"/>
      <c r="L8" s="1061"/>
      <c r="M8" s="1061"/>
      <c r="N8" s="1061"/>
      <c r="O8" s="403"/>
      <c r="P8" s="1061"/>
      <c r="Q8" s="1061"/>
      <c r="R8" s="1061"/>
      <c r="S8" s="905"/>
      <c r="T8" s="1061"/>
      <c r="U8" s="1061"/>
      <c r="V8" s="906"/>
      <c r="W8" s="355"/>
      <c r="X8" s="355"/>
      <c r="Y8" s="355"/>
      <c r="Z8" s="355"/>
      <c r="AA8" s="355"/>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row>
    <row r="9" spans="1:61" s="1121" customFormat="1" ht="17.649999999999999" customHeight="1" thickTop="1" thickBot="1" x14ac:dyDescent="0.35">
      <c r="A9" s="1123"/>
      <c r="B9" s="2933" t="s">
        <v>640</v>
      </c>
      <c r="C9" s="901"/>
      <c r="D9" s="2936" t="s">
        <v>399</v>
      </c>
      <c r="E9" s="2937"/>
      <c r="F9" s="2937"/>
      <c r="G9" s="2937"/>
      <c r="H9" s="2937"/>
      <c r="I9" s="2937"/>
      <c r="J9" s="2937"/>
      <c r="K9" s="2937"/>
      <c r="L9" s="2937"/>
      <c r="M9" s="2937"/>
      <c r="N9" s="2937"/>
      <c r="O9" s="2937"/>
      <c r="P9" s="2937"/>
      <c r="Q9" s="2937"/>
      <c r="R9" s="2937"/>
      <c r="S9" s="2937"/>
      <c r="T9" s="2937"/>
      <c r="U9" s="2937"/>
      <c r="V9" s="2938"/>
      <c r="W9" s="1129"/>
      <c r="X9" s="1129"/>
      <c r="Y9" s="1129"/>
      <c r="Z9" s="1129"/>
      <c r="AA9" s="1129"/>
      <c r="AB9" s="1125"/>
      <c r="AC9" s="1125"/>
      <c r="AD9" s="1125"/>
      <c r="AE9" s="1125"/>
      <c r="AF9" s="1125"/>
      <c r="AG9" s="1125"/>
      <c r="AH9" s="1125"/>
      <c r="AI9" s="1125"/>
      <c r="AJ9" s="1125"/>
      <c r="AK9" s="1125"/>
      <c r="AL9" s="1125"/>
      <c r="AM9" s="1125"/>
      <c r="AN9" s="1125"/>
      <c r="AO9" s="1125"/>
      <c r="AP9" s="1125"/>
      <c r="AQ9" s="1125"/>
      <c r="AR9" s="1125"/>
      <c r="AS9" s="1125"/>
      <c r="AT9" s="1125"/>
      <c r="AU9" s="1125"/>
      <c r="AV9" s="1125"/>
      <c r="AW9" s="1125"/>
      <c r="AX9" s="1125"/>
      <c r="AY9" s="1125"/>
      <c r="AZ9" s="1125"/>
      <c r="BA9" s="1125"/>
      <c r="BB9" s="1125"/>
      <c r="BC9" s="1125"/>
      <c r="BD9" s="1125"/>
      <c r="BE9" s="1125"/>
      <c r="BF9" s="1125"/>
      <c r="BG9" s="1125"/>
      <c r="BH9" s="1125"/>
      <c r="BI9" s="1125"/>
    </row>
    <row r="10" spans="1:61" s="1121" customFormat="1" ht="7.5" customHeight="1" x14ac:dyDescent="0.3">
      <c r="A10" s="1123"/>
      <c r="B10" s="2934"/>
      <c r="C10" s="901"/>
      <c r="D10" s="1072"/>
      <c r="E10" s="898"/>
      <c r="F10" s="898"/>
      <c r="G10" s="850"/>
      <c r="H10" s="898"/>
      <c r="I10" s="898"/>
      <c r="J10" s="898"/>
      <c r="K10" s="850"/>
      <c r="L10" s="898"/>
      <c r="M10" s="898"/>
      <c r="N10" s="898"/>
      <c r="O10" s="850"/>
      <c r="P10" s="898"/>
      <c r="Q10" s="898"/>
      <c r="R10" s="898"/>
      <c r="S10" s="850"/>
      <c r="T10" s="898"/>
      <c r="U10" s="898"/>
      <c r="V10" s="1073"/>
      <c r="W10" s="1129"/>
      <c r="X10" s="1129"/>
      <c r="Y10" s="1129"/>
      <c r="Z10" s="1129"/>
      <c r="AA10" s="1129"/>
      <c r="AB10" s="1125"/>
      <c r="AC10" s="1125"/>
      <c r="AD10" s="1125"/>
      <c r="AE10" s="1125"/>
      <c r="AF10" s="1125"/>
      <c r="AG10" s="1125"/>
      <c r="AH10" s="1125"/>
      <c r="AI10" s="1125"/>
      <c r="AJ10" s="1125"/>
      <c r="AK10" s="1125"/>
      <c r="AL10" s="1125"/>
      <c r="AM10" s="1125"/>
      <c r="AN10" s="1125"/>
      <c r="AO10" s="1125"/>
      <c r="AP10" s="1125"/>
      <c r="AQ10" s="1125"/>
      <c r="AR10" s="1125"/>
      <c r="AS10" s="1125"/>
      <c r="AT10" s="1125"/>
      <c r="AU10" s="1125"/>
      <c r="AV10" s="1125"/>
      <c r="AW10" s="1125"/>
      <c r="AX10" s="1125"/>
      <c r="AY10" s="1125"/>
      <c r="AZ10" s="1125"/>
      <c r="BA10" s="1125"/>
      <c r="BB10" s="1125"/>
      <c r="BC10" s="1125"/>
      <c r="BD10" s="1125"/>
      <c r="BE10" s="1125"/>
      <c r="BF10" s="1125"/>
      <c r="BG10" s="1125"/>
      <c r="BH10" s="1125"/>
      <c r="BI10" s="1125"/>
    </row>
    <row r="11" spans="1:61" s="1121" customFormat="1" ht="17.649999999999999" customHeight="1" thickBot="1" x14ac:dyDescent="0.35">
      <c r="A11" s="1123"/>
      <c r="B11" s="2935"/>
      <c r="C11" s="901"/>
      <c r="D11" s="1064">
        <v>5</v>
      </c>
      <c r="E11" s="1066" t="s">
        <v>21</v>
      </c>
      <c r="F11" s="1066">
        <v>1000</v>
      </c>
      <c r="G11" s="1067"/>
      <c r="H11" s="1066">
        <f>F11</f>
        <v>1000</v>
      </c>
      <c r="I11" s="1066" t="s">
        <v>21</v>
      </c>
      <c r="J11" s="1066">
        <v>2000</v>
      </c>
      <c r="K11" s="1067"/>
      <c r="L11" s="1066">
        <f>J11</f>
        <v>2000</v>
      </c>
      <c r="M11" s="1066" t="s">
        <v>21</v>
      </c>
      <c r="N11" s="1066">
        <v>3000</v>
      </c>
      <c r="O11" s="1067"/>
      <c r="P11" s="1066">
        <f>N11</f>
        <v>3000</v>
      </c>
      <c r="Q11" s="1066" t="s">
        <v>21</v>
      </c>
      <c r="R11" s="1066">
        <v>4000</v>
      </c>
      <c r="S11" s="1067"/>
      <c r="T11" s="1066">
        <f>R11</f>
        <v>4000</v>
      </c>
      <c r="U11" s="1066" t="s">
        <v>21</v>
      </c>
      <c r="V11" s="1068">
        <v>5000</v>
      </c>
      <c r="W11" s="1129"/>
      <c r="X11" s="1129"/>
      <c r="Y11" s="1129"/>
      <c r="Z11" s="1129"/>
      <c r="AA11" s="1129"/>
      <c r="AB11" s="1125"/>
      <c r="AC11" s="1125"/>
      <c r="AD11" s="1125"/>
      <c r="AE11" s="1125"/>
      <c r="AF11" s="1125"/>
      <c r="AG11" s="1125"/>
      <c r="AH11" s="1125"/>
      <c r="AI11" s="1125"/>
      <c r="AJ11" s="1125"/>
      <c r="AK11" s="1125"/>
      <c r="AL11" s="1125"/>
      <c r="AM11" s="1125"/>
      <c r="AN11" s="1125"/>
      <c r="AO11" s="1125"/>
      <c r="AP11" s="1125"/>
      <c r="AQ11" s="1125"/>
      <c r="AR11" s="1125"/>
      <c r="AS11" s="1125"/>
      <c r="AT11" s="1125"/>
      <c r="AU11" s="1125"/>
      <c r="AV11" s="1125"/>
      <c r="AW11" s="1125"/>
      <c r="AX11" s="1125"/>
      <c r="AY11" s="1125"/>
      <c r="AZ11" s="1125"/>
      <c r="BA11" s="1125"/>
      <c r="BB11" s="1125"/>
      <c r="BC11" s="1125"/>
      <c r="BD11" s="1125"/>
      <c r="BE11" s="1125"/>
      <c r="BF11" s="1125"/>
      <c r="BG11" s="1125"/>
      <c r="BH11" s="1125"/>
      <c r="BI11" s="1125"/>
    </row>
    <row r="12" spans="1:61" s="68" customFormat="1" ht="15" customHeight="1" thickTop="1" thickBot="1" x14ac:dyDescent="0.3">
      <c r="A12" s="433"/>
      <c r="B12" s="1070"/>
      <c r="C12" s="751"/>
      <c r="D12" s="1071"/>
      <c r="E12" s="1071"/>
      <c r="F12" s="1071"/>
      <c r="G12" s="751"/>
      <c r="H12" s="1071"/>
      <c r="I12" s="1071"/>
      <c r="J12" s="1071"/>
      <c r="K12" s="751"/>
      <c r="L12" s="1071"/>
      <c r="M12" s="1071"/>
      <c r="N12" s="1071"/>
      <c r="O12" s="751"/>
      <c r="P12" s="1071"/>
      <c r="Q12" s="1071"/>
      <c r="R12" s="1071"/>
      <c r="S12" s="751"/>
      <c r="T12" s="1071"/>
      <c r="U12" s="1071"/>
      <c r="V12" s="1071"/>
      <c r="W12" s="170"/>
      <c r="X12" s="170"/>
      <c r="Y12" s="170"/>
      <c r="Z12" s="170"/>
      <c r="AA12" s="170"/>
      <c r="AB12" s="152"/>
      <c r="AC12" s="152"/>
      <c r="AD12" s="152"/>
      <c r="AE12" s="152"/>
      <c r="AF12" s="152"/>
      <c r="AG12" s="152"/>
      <c r="AH12" s="152"/>
      <c r="AI12" s="152"/>
      <c r="AJ12" s="152"/>
      <c r="AK12" s="152"/>
      <c r="AL12" s="152"/>
      <c r="AM12" s="152"/>
      <c r="AN12" s="152"/>
      <c r="AO12" s="152"/>
      <c r="AP12" s="152"/>
      <c r="AQ12" s="152"/>
      <c r="AR12" s="152"/>
      <c r="AS12" s="152"/>
      <c r="AT12" s="152"/>
      <c r="AU12" s="152"/>
      <c r="AV12" s="152"/>
      <c r="AW12" s="152"/>
      <c r="AX12" s="152"/>
      <c r="AY12" s="152"/>
      <c r="AZ12" s="152"/>
      <c r="BA12" s="152"/>
      <c r="BB12" s="152"/>
      <c r="BC12" s="152"/>
      <c r="BD12" s="152"/>
      <c r="BE12" s="152"/>
      <c r="BF12" s="152"/>
      <c r="BG12" s="152"/>
      <c r="BH12" s="152"/>
      <c r="BI12" s="152"/>
    </row>
    <row r="13" spans="1:61" s="1121" customFormat="1" ht="19.899999999999999" customHeight="1" thickTop="1" thickBot="1" x14ac:dyDescent="0.35">
      <c r="A13" s="1123"/>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26" t="s">
        <v>714</v>
      </c>
      <c r="X13" s="1127"/>
      <c r="Y13" s="1127"/>
      <c r="Z13" s="1127"/>
      <c r="AA13" s="1127"/>
      <c r="AB13" s="1125"/>
      <c r="AC13" s="1125"/>
      <c r="AD13" s="1125"/>
      <c r="AE13" s="1125"/>
      <c r="AF13" s="1125"/>
      <c r="AG13" s="1125"/>
      <c r="AH13" s="1125"/>
      <c r="AI13" s="1125"/>
      <c r="AJ13" s="1125"/>
      <c r="AK13" s="1125"/>
      <c r="AL13" s="1125"/>
      <c r="AM13" s="1125"/>
      <c r="AN13" s="1125"/>
      <c r="AO13" s="1125"/>
      <c r="AP13" s="1125"/>
      <c r="AQ13" s="1125"/>
      <c r="AR13" s="1125"/>
      <c r="AS13" s="1125"/>
      <c r="AT13" s="1125"/>
      <c r="AU13" s="1125"/>
      <c r="AV13" s="1125"/>
      <c r="AW13" s="1125"/>
      <c r="AX13" s="1125"/>
      <c r="AY13" s="1125"/>
      <c r="AZ13" s="1125"/>
      <c r="BA13" s="1125"/>
      <c r="BB13" s="1125"/>
      <c r="BC13" s="1125"/>
      <c r="BD13" s="1125"/>
      <c r="BE13" s="1125"/>
      <c r="BF13" s="1125"/>
      <c r="BG13" s="1125"/>
      <c r="BH13" s="1125"/>
      <c r="BI13" s="1125"/>
    </row>
    <row r="14" spans="1:61" s="68" customFormat="1" ht="7.5" customHeight="1" x14ac:dyDescent="0.25">
      <c r="A14" s="433"/>
      <c r="B14" s="1009"/>
      <c r="C14" s="903"/>
      <c r="D14" s="1015"/>
      <c r="E14" s="331"/>
      <c r="F14" s="924"/>
      <c r="G14" s="903"/>
      <c r="H14" s="1015"/>
      <c r="I14" s="331"/>
      <c r="J14" s="924"/>
      <c r="K14" s="903"/>
      <c r="L14" s="1015"/>
      <c r="M14" s="331"/>
      <c r="N14" s="924"/>
      <c r="O14" s="903"/>
      <c r="P14" s="1015"/>
      <c r="Q14" s="331"/>
      <c r="R14" s="924"/>
      <c r="S14" s="903"/>
      <c r="T14" s="1015"/>
      <c r="U14" s="331"/>
      <c r="V14" s="924"/>
      <c r="W14" s="355"/>
      <c r="X14" s="355"/>
      <c r="Y14" s="355"/>
      <c r="Z14" s="355"/>
      <c r="AA14" s="355"/>
      <c r="AB14" s="152"/>
      <c r="AC14" s="152"/>
      <c r="AD14" s="152"/>
      <c r="AE14" s="152"/>
      <c r="AF14" s="152"/>
      <c r="AG14" s="152"/>
      <c r="AH14" s="152"/>
      <c r="AI14" s="152"/>
      <c r="AJ14" s="152"/>
      <c r="AK14" s="152"/>
      <c r="AL14" s="152"/>
      <c r="AM14" s="152"/>
      <c r="AN14" s="152"/>
      <c r="AO14" s="152"/>
      <c r="AP14" s="152"/>
      <c r="AQ14" s="152"/>
      <c r="AR14" s="152"/>
      <c r="AS14" s="152"/>
      <c r="AT14" s="152"/>
      <c r="AU14" s="152"/>
      <c r="AV14" s="152"/>
      <c r="AW14" s="152"/>
      <c r="AX14" s="152"/>
      <c r="AY14" s="152"/>
      <c r="AZ14" s="152"/>
      <c r="BA14" s="152"/>
      <c r="BB14" s="152"/>
      <c r="BC14" s="152"/>
      <c r="BD14" s="152"/>
      <c r="BE14" s="152"/>
      <c r="BF14" s="152"/>
      <c r="BG14" s="152"/>
      <c r="BH14" s="152"/>
      <c r="BI14" s="152"/>
    </row>
    <row r="15" spans="1:61" s="68" customFormat="1" ht="17.649999999999999" customHeight="1" x14ac:dyDescent="0.25">
      <c r="A15" s="433"/>
      <c r="B15" s="913" t="s">
        <v>376</v>
      </c>
      <c r="C15" s="869"/>
      <c r="D15" s="1075">
        <f>(IF('R&amp;C-Painel de Controle'!$C$58="Tecnologia Chinesa",572.251338598527*D22, 572.251338598527))*F7</f>
        <v>414.88222048393209</v>
      </c>
      <c r="E15" s="846"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917">
        <v>0.15</v>
      </c>
      <c r="G15" s="869"/>
      <c r="H15" s="1075">
        <f>(IF('R&amp;C-Painel de Controle'!$C$58="Tecnologia Chinesa",525.884311407721*H$22, 525.884311407721))*F7</f>
        <v>381.26612577059774</v>
      </c>
      <c r="I15" s="846"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917">
        <v>0.15</v>
      </c>
      <c r="K15" s="869"/>
      <c r="L15" s="1075">
        <f>(IF('R&amp;C-Painel de Controle'!$C$58="Tecnologia Chinesa",476.115698784112*L$22, 476.115698784112))*F7</f>
        <v>345.18388161848117</v>
      </c>
      <c r="M15" s="846"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917">
        <v>0.15</v>
      </c>
      <c r="O15" s="869"/>
      <c r="P15" s="1075">
        <f>(IF('R&amp;C-Painel de Controle'!$C$58="Tecnologia Chinesa",442.933814489642*P$22, 442.933814489642))*F7</f>
        <v>321.12701550499042</v>
      </c>
      <c r="Q15" s="846"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917">
        <v>0.15</v>
      </c>
      <c r="S15" s="993"/>
      <c r="T15" s="1075">
        <f>(IF('R&amp;C-Painel de Controle'!$C$58="Tecnologia Chinesa",426.037265400051*T$22, 426.037265400051))*F7</f>
        <v>308.87701741503696</v>
      </c>
      <c r="U15" s="846"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917">
        <v>0.15</v>
      </c>
      <c r="W15" s="356">
        <v>826.20534346404645</v>
      </c>
      <c r="X15" s="356">
        <v>1508.0558121008478</v>
      </c>
      <c r="Y15" s="356">
        <v>2305.5392335198767</v>
      </c>
      <c r="Z15" s="356">
        <v>3051.9601128146246</v>
      </c>
      <c r="AA15" s="357">
        <v>3738.5277415516616</v>
      </c>
      <c r="AB15" s="152"/>
      <c r="AC15" s="152"/>
      <c r="AD15" s="152"/>
      <c r="AE15" s="152"/>
      <c r="AF15" s="152"/>
      <c r="AG15" s="152"/>
      <c r="AH15" s="152"/>
      <c r="AI15" s="152"/>
      <c r="AJ15" s="152"/>
      <c r="AK15" s="152"/>
      <c r="AL15" s="152"/>
      <c r="AM15" s="152"/>
      <c r="AN15" s="152"/>
      <c r="AO15" s="152"/>
      <c r="AP15" s="152"/>
      <c r="AQ15" s="152"/>
      <c r="AR15" s="152"/>
      <c r="AS15" s="152"/>
      <c r="AT15" s="152"/>
      <c r="AU15" s="152"/>
      <c r="AV15" s="152"/>
      <c r="AW15" s="152"/>
      <c r="AX15" s="152"/>
      <c r="AY15" s="152"/>
      <c r="AZ15" s="152"/>
      <c r="BA15" s="152"/>
      <c r="BB15" s="152"/>
      <c r="BC15" s="152"/>
      <c r="BD15" s="152"/>
      <c r="BE15" s="152"/>
      <c r="BF15" s="152"/>
      <c r="BG15" s="152"/>
      <c r="BH15" s="152"/>
      <c r="BI15" s="152"/>
    </row>
    <row r="16" spans="1:61" s="68" customFormat="1" ht="17.649999999999999" customHeight="1" x14ac:dyDescent="0.25">
      <c r="A16" s="433"/>
      <c r="B16" s="913" t="s">
        <v>641</v>
      </c>
      <c r="C16" s="869"/>
      <c r="D16" s="918">
        <f>(IF('R&amp;C-Painel de Controle'!$C$58="Tecnologia Chinesa",245.250573685083*D22*(1-E24), 245.250573685083*(1-E24)))*F7</f>
        <v>133.35499944126386</v>
      </c>
      <c r="E16" s="846"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919">
        <v>0.05</v>
      </c>
      <c r="G16" s="869"/>
      <c r="H16" s="918">
        <f>(IF('R&amp;C-Painel de Controle'!$C$58="Tecnologia Chinesa",194.505156274089*H$22*(1-I24), 194.505156274089*(1-I24)))*F7</f>
        <v>105.76217872403588</v>
      </c>
      <c r="I16" s="846"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919">
        <v>0.05</v>
      </c>
      <c r="K16" s="869"/>
      <c r="L16" s="918">
        <f>(IF('R&amp;C-Painel de Controle'!$C$58="Tecnologia Chinesa",150.352325931825*L$22*(1-M24), 150.352325931825*(1-M24)))*F7</f>
        <v>81.754077225429839</v>
      </c>
      <c r="M16" s="846"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919">
        <v>0.05</v>
      </c>
      <c r="O16" s="869"/>
      <c r="P16" s="918">
        <f>(IF('R&amp;C-Painel de Controle'!$C$58="Tecnologia Chinesa",128.593688077638*P$22*(1-Q24), 128.593688077638*(1-Q24)))*F7</f>
        <v>69.922817892215662</v>
      </c>
      <c r="Q16" s="846"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919">
        <v>0.05</v>
      </c>
      <c r="S16" s="993"/>
      <c r="T16" s="918">
        <f>(IF('R&amp;C-Painel de Controle'!$C$58="Tecnologia Chinesa",106.509316350013*T$22*(1-U24), 106.509316350013*(1-U24)))*F7</f>
        <v>57.914440765319561</v>
      </c>
      <c r="U16" s="846"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919">
        <v>0.05</v>
      </c>
      <c r="W16" s="356">
        <v>197.3742696830154</v>
      </c>
      <c r="X16" s="356">
        <v>309.61101840584979</v>
      </c>
      <c r="Y16" s="356">
        <v>417.41699685660871</v>
      </c>
      <c r="Z16" s="356">
        <v>492.55829715531871</v>
      </c>
      <c r="AA16" s="357">
        <v>557.4997509331439</v>
      </c>
      <c r="AB16" s="152"/>
      <c r="AC16" s="152"/>
      <c r="AD16" s="152"/>
      <c r="AE16" s="152"/>
      <c r="AF16" s="152"/>
      <c r="AG16" s="152"/>
      <c r="AH16" s="152"/>
      <c r="AI16" s="152"/>
      <c r="AJ16" s="152"/>
      <c r="AK16" s="152"/>
      <c r="AL16" s="152"/>
      <c r="AM16" s="152"/>
      <c r="AN16" s="152"/>
      <c r="AO16" s="152"/>
      <c r="AP16" s="152"/>
      <c r="AQ16" s="152"/>
      <c r="AR16" s="152"/>
      <c r="AS16" s="152"/>
      <c r="AT16" s="152"/>
      <c r="AU16" s="152"/>
      <c r="AV16" s="152"/>
      <c r="AW16" s="152"/>
      <c r="AX16" s="152"/>
      <c r="AY16" s="152"/>
      <c r="AZ16" s="152"/>
      <c r="BA16" s="152"/>
      <c r="BB16" s="152"/>
      <c r="BC16" s="152"/>
      <c r="BD16" s="152"/>
      <c r="BE16" s="152"/>
      <c r="BF16" s="152"/>
      <c r="BG16" s="152"/>
      <c r="BH16" s="152"/>
      <c r="BI16" s="152"/>
    </row>
    <row r="17" spans="1:61" s="68" customFormat="1" ht="17.649999999999999" customHeight="1" x14ac:dyDescent="0.25">
      <c r="A17" s="433"/>
      <c r="B17" s="913" t="s">
        <v>753</v>
      </c>
      <c r="C17" s="869"/>
      <c r="D17" s="920">
        <f>4*F17</f>
        <v>96000</v>
      </c>
      <c r="E17" s="846" t="str">
        <f>(IF(E$7="SIM",('R&amp;C-Painel de Controle'!$D$55+0.25)*D17/1000000,"-"))</f>
        <v>-</v>
      </c>
      <c r="F17" s="921">
        <f>240*100</f>
        <v>24000</v>
      </c>
      <c r="G17" s="869"/>
      <c r="H17" s="920">
        <f>2*J17</f>
        <v>93600</v>
      </c>
      <c r="I17" s="846" t="str">
        <f>(IF(I$7="SIM",('R&amp;C-Painel de Controle'!$D$55+0.25)*H17/1000000,"-"))</f>
        <v>-</v>
      </c>
      <c r="J17" s="921">
        <f>360*130</f>
        <v>46800</v>
      </c>
      <c r="K17" s="869"/>
      <c r="L17" s="920">
        <f>2*N17</f>
        <v>108000</v>
      </c>
      <c r="M17" s="846" t="str">
        <f>(IF(M$7="SIM",('R&amp;C-Painel de Controle'!$D$55+0.25)*L17/1000000,"-"))</f>
        <v>-</v>
      </c>
      <c r="N17" s="921">
        <f>360*150</f>
        <v>54000</v>
      </c>
      <c r="O17" s="869"/>
      <c r="P17" s="920">
        <f>2*R17</f>
        <v>156000</v>
      </c>
      <c r="Q17" s="846" t="str">
        <f>(IF(Q$7="SIM",('R&amp;C-Painel de Controle'!$D$55+0.25)*P17/1000000,"-"))</f>
        <v>-</v>
      </c>
      <c r="R17" s="921">
        <f>N17+F17</f>
        <v>78000</v>
      </c>
      <c r="S17" s="869"/>
      <c r="T17" s="920">
        <f>2*V17</f>
        <v>201600</v>
      </c>
      <c r="U17" s="846" t="str">
        <f>(IF(U$7="SIM",('R&amp;C-Painel de Controle'!$D$55+0.25)*T17/1000000,"-"))</f>
        <v>-</v>
      </c>
      <c r="V17" s="921">
        <f>N17+J17</f>
        <v>100800</v>
      </c>
      <c r="W17" s="356">
        <v>9.6</v>
      </c>
      <c r="X17" s="356">
        <v>9.36</v>
      </c>
      <c r="Y17" s="356">
        <v>10.8</v>
      </c>
      <c r="Z17" s="356">
        <v>15.6</v>
      </c>
      <c r="AA17" s="357">
        <v>20.16</v>
      </c>
      <c r="AB17" s="152"/>
      <c r="AC17" s="152"/>
      <c r="AD17" s="152"/>
      <c r="AE17" s="152"/>
      <c r="AF17" s="152"/>
      <c r="AG17" s="152"/>
      <c r="AH17" s="152"/>
      <c r="AI17" s="152"/>
      <c r="AJ17" s="152"/>
      <c r="AK17" s="152"/>
      <c r="AL17" s="152"/>
      <c r="AM17" s="152"/>
      <c r="AN17" s="152"/>
      <c r="AO17" s="152"/>
      <c r="AP17" s="152"/>
      <c r="AQ17" s="152"/>
      <c r="AR17" s="152"/>
      <c r="AS17" s="152"/>
      <c r="AT17" s="152"/>
      <c r="AU17" s="152"/>
      <c r="AV17" s="152"/>
      <c r="AW17" s="152"/>
      <c r="AX17" s="152"/>
      <c r="AY17" s="152"/>
      <c r="AZ17" s="152"/>
      <c r="BA17" s="152"/>
      <c r="BB17" s="152"/>
      <c r="BC17" s="152"/>
      <c r="BD17" s="152"/>
      <c r="BE17" s="152"/>
      <c r="BF17" s="152"/>
      <c r="BG17" s="152"/>
      <c r="BH17" s="152"/>
      <c r="BI17" s="152"/>
    </row>
    <row r="18" spans="1:61" s="68" customFormat="1" ht="17.649999999999999" customHeight="1" x14ac:dyDescent="0.25">
      <c r="A18" s="433"/>
      <c r="B18" s="913" t="s">
        <v>438</v>
      </c>
      <c r="C18" s="869"/>
      <c r="D18" s="1076" t="str">
        <f>IF(E7="SIM",(E15+E16)*F18*1000/$H$2,"-")</f>
        <v>-</v>
      </c>
      <c r="E18" s="846" t="str">
        <f>(IF(E$7="SIM",$H$2*D18/1000,""))</f>
        <v/>
      </c>
      <c r="F18" s="917">
        <v>2.5000000000000001E-2</v>
      </c>
      <c r="G18" s="869"/>
      <c r="H18" s="1076" t="str">
        <f>IF(I7="SIM",(I15+I16)*J18*1000/$H$2,"-")</f>
        <v>-</v>
      </c>
      <c r="I18" s="846" t="str">
        <f>(IF(I$7="SIM",$H$2*H18/1000,""))</f>
        <v/>
      </c>
      <c r="J18" s="917">
        <v>0.02</v>
      </c>
      <c r="K18" s="869"/>
      <c r="L18" s="1076" t="str">
        <f>IF(M7="SIM",(M15+M16)*N18*1000/$H$2,"-")</f>
        <v>-</v>
      </c>
      <c r="M18" s="846" t="str">
        <f>(IF(M$7="SIM",$H$2*L18/1000,""))</f>
        <v/>
      </c>
      <c r="N18" s="917">
        <v>1.4999999999999999E-2</v>
      </c>
      <c r="O18" s="869"/>
      <c r="P18" s="1076" t="str">
        <f>IF(Q7="SIM",(Q15+Q16)*R18*1000/$H$2,"-")</f>
        <v>-</v>
      </c>
      <c r="Q18" s="846" t="str">
        <f>(IF(Q$7="SIM",$H$2*P18/1000,""))</f>
        <v/>
      </c>
      <c r="R18" s="917">
        <v>1.4999999999999999E-2</v>
      </c>
      <c r="S18" s="869"/>
      <c r="T18" s="1076" t="str">
        <f>IF(U7="SIM",(U15+U16)*V18*1000/$H$2,"-")</f>
        <v>-</v>
      </c>
      <c r="U18" s="846" t="str">
        <f>(IF(U$7="SIM",$H$2*T18/1000,""))</f>
        <v/>
      </c>
      <c r="V18" s="917">
        <v>1.4999999999999999E-2</v>
      </c>
      <c r="W18" s="356">
        <v>25.589490328676547</v>
      </c>
      <c r="X18" s="356">
        <v>27.265002457600463</v>
      </c>
      <c r="Y18" s="356">
        <v>40.844343455647284</v>
      </c>
      <c r="Z18" s="356">
        <v>53.167776149549148</v>
      </c>
      <c r="AA18" s="357">
        <v>64.440412387272076</v>
      </c>
      <c r="AB18" s="152"/>
      <c r="AC18" s="152"/>
      <c r="AD18" s="152"/>
      <c r="AE18" s="152"/>
      <c r="AF18" s="152"/>
      <c r="AG18" s="152"/>
      <c r="AH18" s="152"/>
      <c r="AI18" s="152"/>
      <c r="AJ18" s="152"/>
      <c r="AK18" s="152"/>
      <c r="AL18" s="152"/>
      <c r="AM18" s="152"/>
      <c r="AN18" s="152"/>
      <c r="AO18" s="152"/>
      <c r="AP18" s="152"/>
      <c r="AQ18" s="152"/>
      <c r="AR18" s="152"/>
      <c r="AS18" s="152"/>
      <c r="AT18" s="152"/>
      <c r="AU18" s="152"/>
      <c r="AV18" s="152"/>
      <c r="AW18" s="152"/>
      <c r="AX18" s="152"/>
      <c r="AY18" s="152"/>
      <c r="AZ18" s="152"/>
      <c r="BA18" s="152"/>
      <c r="BB18" s="152"/>
      <c r="BC18" s="152"/>
      <c r="BD18" s="152"/>
      <c r="BE18" s="152"/>
      <c r="BF18" s="152"/>
      <c r="BG18" s="152"/>
      <c r="BH18" s="152"/>
      <c r="BI18" s="152"/>
    </row>
    <row r="19" spans="1:61" s="882" customFormat="1" ht="19.899999999999999" customHeight="1" collapsed="1" thickBot="1" x14ac:dyDescent="0.35">
      <c r="A19" s="879"/>
      <c r="B19" s="914" t="s">
        <v>377</v>
      </c>
      <c r="C19" s="904"/>
      <c r="D19" s="1052">
        <v>0.05</v>
      </c>
      <c r="E19" s="922" t="str">
        <f>IF(E7="SIM",SUM(E15:E18)*(1+D19),"-")</f>
        <v>-</v>
      </c>
      <c r="F19" s="1103" t="str">
        <f>IF(E7="SIM",(E16)/E19,"-")</f>
        <v>-</v>
      </c>
      <c r="G19" s="904"/>
      <c r="H19" s="1052">
        <v>0.05</v>
      </c>
      <c r="I19" s="922" t="str">
        <f>IF(I7="SIM",SUM(I15:I18)*(1+H19),"-")</f>
        <v>-</v>
      </c>
      <c r="J19" s="1103" t="str">
        <f>IF(I7="SIM",(I16)/I19,"-")</f>
        <v>-</v>
      </c>
      <c r="K19" s="904"/>
      <c r="L19" s="1052">
        <v>0.05</v>
      </c>
      <c r="M19" s="922" t="str">
        <f>IF(M7="SIM",SUM(M15:M18)*(1+L19),"-")</f>
        <v>-</v>
      </c>
      <c r="N19" s="1103" t="str">
        <f>IF(M7="SIM",(M16)/M19,"-")</f>
        <v>-</v>
      </c>
      <c r="O19" s="904"/>
      <c r="P19" s="1050">
        <v>0.05</v>
      </c>
      <c r="Q19" s="922" t="str">
        <f>IF(Q7="SIM",SUM(Q15:Q18)*(1+P19),"-")</f>
        <v>-</v>
      </c>
      <c r="R19" s="1103" t="str">
        <f>IF(Q7="SIM",(Q16)/Q19,"-")</f>
        <v>-</v>
      </c>
      <c r="S19" s="904"/>
      <c r="T19" s="1050">
        <v>0.05</v>
      </c>
      <c r="U19" s="922" t="str">
        <f>IF(U7="SIM",SUM(U15:U18)*(1+T19),"-")</f>
        <v>-</v>
      </c>
      <c r="V19" s="1103" t="str">
        <f>IF(U7="SIM",(U16)/U19,"-")</f>
        <v>-</v>
      </c>
      <c r="W19" s="1130">
        <v>1111.7075586495253</v>
      </c>
      <c r="X19" s="1130">
        <v>1947.006424612513</v>
      </c>
      <c r="Y19" s="1130">
        <v>2913.3306025237403</v>
      </c>
      <c r="Z19" s="1130">
        <v>3793.9504954254671</v>
      </c>
      <c r="AA19" s="1131">
        <v>4599.6593001156816</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s="68" customFormat="1" ht="16.899999999999999" hidden="1" customHeight="1" outlineLevel="1" thickTop="1" x14ac:dyDescent="0.25">
      <c r="A20" s="433"/>
      <c r="B20" s="760" t="s">
        <v>378</v>
      </c>
      <c r="C20" s="756"/>
      <c r="D20" s="306" t="s">
        <v>289</v>
      </c>
      <c r="E20" s="304" t="str">
        <f>IF(E7="SIM",E19*1000000/$H$2,"-")</f>
        <v>-</v>
      </c>
      <c r="F20" s="306">
        <f>F17/F11</f>
        <v>24</v>
      </c>
      <c r="G20" s="756"/>
      <c r="H20" s="344"/>
      <c r="I20" s="304" t="str">
        <f>IF(I7="SIM",I19*1000000/$H$2,"-")</f>
        <v>-</v>
      </c>
      <c r="J20" s="306">
        <f>J17/J11</f>
        <v>23.4</v>
      </c>
      <c r="K20" s="756"/>
      <c r="L20" s="344"/>
      <c r="M20" s="304" t="str">
        <f>IF(M7="SIM",M19*1000000/$H$2,"-")</f>
        <v>-</v>
      </c>
      <c r="N20" s="306">
        <f>N17/N11</f>
        <v>18</v>
      </c>
      <c r="O20" s="756"/>
      <c r="P20" s="344"/>
      <c r="Q20" s="304" t="str">
        <f>IF(Q7="SIM",Q19*1000000/$H$2,"-")</f>
        <v>-</v>
      </c>
      <c r="R20" s="306">
        <f>R17/R11</f>
        <v>19.5</v>
      </c>
      <c r="S20" s="756"/>
      <c r="T20" s="344"/>
      <c r="U20" s="304" t="str">
        <f>IF(U7="SIM",U19*1000000/$H$2,"-")</f>
        <v>-</v>
      </c>
      <c r="V20" s="306">
        <f>V17/V11</f>
        <v>20.16</v>
      </c>
      <c r="W20" s="356">
        <v>4737.8436382508635</v>
      </c>
      <c r="X20" s="356">
        <v>4147.9132032842199</v>
      </c>
      <c r="Y20" s="356">
        <v>3723.60963333072</v>
      </c>
      <c r="Z20" s="356">
        <v>3463.5480767053346</v>
      </c>
      <c r="AA20" s="357">
        <v>3265.8891101087656</v>
      </c>
      <c r="AB20" s="152"/>
      <c r="AC20" s="152"/>
      <c r="AD20" s="152"/>
      <c r="AE20" s="152"/>
      <c r="AF20" s="152"/>
      <c r="AG20" s="152"/>
      <c r="AH20" s="152"/>
      <c r="AI20" s="152"/>
      <c r="AJ20" s="152"/>
      <c r="AK20" s="152"/>
      <c r="AL20" s="152"/>
      <c r="AM20" s="152"/>
      <c r="AN20" s="152"/>
      <c r="AO20" s="152"/>
      <c r="AP20" s="152"/>
      <c r="AQ20" s="152"/>
      <c r="AR20" s="152"/>
      <c r="AS20" s="152"/>
      <c r="AT20" s="152"/>
      <c r="AU20" s="152"/>
      <c r="AV20" s="152"/>
      <c r="AW20" s="152"/>
      <c r="AX20" s="152"/>
      <c r="AY20" s="152"/>
      <c r="AZ20" s="152"/>
      <c r="BA20" s="152"/>
      <c r="BB20" s="152"/>
      <c r="BC20" s="152"/>
      <c r="BD20" s="152"/>
      <c r="BE20" s="152"/>
      <c r="BF20" s="152"/>
      <c r="BG20" s="152"/>
      <c r="BH20" s="152"/>
      <c r="BI20" s="152"/>
    </row>
    <row r="21" spans="1:61" s="68" customFormat="1" ht="16.899999999999999" hidden="1" customHeight="1" outlineLevel="1" x14ac:dyDescent="0.25">
      <c r="A21" s="433"/>
      <c r="B21" s="760" t="s">
        <v>639</v>
      </c>
      <c r="C21" s="756"/>
      <c r="D21" s="346"/>
      <c r="E21" s="346">
        <f>'R&amp;C-Painel de Controle'!$D$58*'R&amp;C-Painel de Controle'!$G$71+(1-'R&amp;C-Painel de Controle'!$D$58)*('R&amp;C-Painel de Controle'!$G$71)*(1+20%)</f>
        <v>0.26750000000000002</v>
      </c>
      <c r="F21" s="306"/>
      <c r="G21" s="758"/>
      <c r="H21" s="346"/>
      <c r="I21" s="346">
        <f>'R&amp;C-Painel de Controle'!$D$58*'R&amp;C-Painel de Controle'!$G$71+(1-'R&amp;C-Painel de Controle'!$D$58)*('R&amp;C-Painel de Controle'!$G$71)*(1+20%)</f>
        <v>0.26750000000000002</v>
      </c>
      <c r="J21" s="306"/>
      <c r="K21" s="758"/>
      <c r="L21" s="346"/>
      <c r="M21" s="346">
        <f>'R&amp;C-Painel de Controle'!$D$58*'R&amp;C-Painel de Controle'!$G$71+(1-'R&amp;C-Painel de Controle'!$D$58)*('R&amp;C-Painel de Controle'!$G$71)*(1+20%)</f>
        <v>0.26750000000000002</v>
      </c>
      <c r="N21" s="306"/>
      <c r="O21" s="758"/>
      <c r="P21" s="346"/>
      <c r="Q21" s="346">
        <f>'R&amp;C-Painel de Controle'!$D$58*'R&amp;C-Painel de Controle'!$G$71+(1-'R&amp;C-Painel de Controle'!$D$58)*('R&amp;C-Painel de Controle'!$G$71)*(1+20%)</f>
        <v>0.26750000000000002</v>
      </c>
      <c r="R21" s="306"/>
      <c r="S21" s="758"/>
      <c r="T21" s="346"/>
      <c r="U21" s="346">
        <f>'R&amp;C-Painel de Controle'!$D$58*'R&amp;C-Painel de Controle'!$G$71+(1-'R&amp;C-Painel de Controle'!$D$58)*('R&amp;C-Painel de Controle'!$G$71)*(1+20%)</f>
        <v>0.26750000000000002</v>
      </c>
      <c r="V21" s="344"/>
      <c r="W21" s="355"/>
      <c r="X21" s="358">
        <f>(X20-W20)/W20</f>
        <v>-0.12451454290383389</v>
      </c>
      <c r="Y21" s="358">
        <f>(Y20-X20)/X20</f>
        <v>-0.10229326149292282</v>
      </c>
      <c r="Z21" s="359">
        <f>(Z20-Y20)/Y20</f>
        <v>-6.9841251429131099E-2</v>
      </c>
      <c r="AA21" s="358">
        <f>(AA20-Z20)/Z20</f>
        <v>-5.7068347896181086E-2</v>
      </c>
      <c r="AB21" s="152"/>
      <c r="AC21" s="152"/>
      <c r="AD21" s="152"/>
      <c r="AE21" s="152"/>
      <c r="AF21" s="152"/>
      <c r="AG21" s="152"/>
      <c r="AH21" s="152"/>
      <c r="AI21" s="152"/>
      <c r="AJ21" s="152"/>
      <c r="AK21" s="152"/>
      <c r="AL21" s="152"/>
      <c r="AM21" s="152"/>
      <c r="AN21" s="152"/>
      <c r="AO21" s="152"/>
      <c r="AP21" s="152"/>
      <c r="AQ21" s="152"/>
      <c r="AR21" s="152"/>
      <c r="AS21" s="152"/>
      <c r="AT21" s="152"/>
      <c r="AU21" s="152"/>
      <c r="AV21" s="152"/>
      <c r="AW21" s="152"/>
      <c r="AX21" s="152"/>
      <c r="AY21" s="152"/>
      <c r="AZ21" s="152"/>
      <c r="BA21" s="152"/>
      <c r="BB21" s="152"/>
      <c r="BC21" s="152"/>
      <c r="BD21" s="152"/>
      <c r="BE21" s="152"/>
      <c r="BF21" s="152"/>
      <c r="BG21" s="152"/>
      <c r="BH21" s="152"/>
      <c r="BI21" s="152"/>
    </row>
    <row r="22" spans="1:61" s="68" customFormat="1" ht="16.899999999999999" hidden="1" customHeight="1" outlineLevel="1" x14ac:dyDescent="0.25">
      <c r="A22" s="433"/>
      <c r="B22" s="760" t="s">
        <v>654</v>
      </c>
      <c r="C22" s="756"/>
      <c r="D22" s="346">
        <v>0.37</v>
      </c>
      <c r="E22" s="349" t="str">
        <f>IF(E7="SIM",$D$2*313/(8000*E23),"-")</f>
        <v>-</v>
      </c>
      <c r="F22" s="344"/>
      <c r="G22" s="756"/>
      <c r="H22" s="346">
        <v>0.45</v>
      </c>
      <c r="I22" s="349" t="str">
        <f>IF(I7="SIM",$D$2*313/(8000*I23),"-")</f>
        <v>-</v>
      </c>
      <c r="J22" s="344"/>
      <c r="K22" s="756"/>
      <c r="L22" s="346">
        <v>0.51</v>
      </c>
      <c r="M22" s="349" t="str">
        <f>IF(M7="SIM",$D$2*313/(8000*M23),"-")</f>
        <v>-</v>
      </c>
      <c r="N22" s="344"/>
      <c r="O22" s="756"/>
      <c r="P22" s="346">
        <v>0.56000000000000005</v>
      </c>
      <c r="Q22" s="349" t="str">
        <f>IF(Q7="SIM",$D$2*313/(8000*Q23),"-")</f>
        <v>-</v>
      </c>
      <c r="R22" s="344"/>
      <c r="S22" s="756"/>
      <c r="T22" s="346">
        <v>0.65</v>
      </c>
      <c r="U22" s="349" t="str">
        <f>IF(U7="SIM",$D$2*313/(8000*U23),"-")</f>
        <v>-</v>
      </c>
      <c r="V22" s="344"/>
      <c r="W22" s="355"/>
      <c r="X22" s="360"/>
      <c r="Y22" s="361"/>
      <c r="Z22" s="361"/>
      <c r="AA22" s="362"/>
      <c r="AB22" s="152"/>
      <c r="AC22" s="152"/>
      <c r="AD22" s="152"/>
      <c r="AE22" s="152"/>
      <c r="AF22" s="152"/>
      <c r="AG22" s="152"/>
      <c r="AH22" s="152"/>
      <c r="AI22" s="152"/>
      <c r="AJ22" s="152"/>
      <c r="AK22" s="152"/>
      <c r="AL22" s="152"/>
      <c r="AM22" s="152"/>
      <c r="AN22" s="152"/>
      <c r="AO22" s="152"/>
      <c r="AP22" s="152"/>
      <c r="AQ22" s="152"/>
      <c r="AR22" s="152"/>
      <c r="AS22" s="152"/>
      <c r="AT22" s="152"/>
      <c r="AU22" s="152"/>
      <c r="AV22" s="152"/>
      <c r="AW22" s="152"/>
      <c r="AX22" s="152"/>
      <c r="AY22" s="152"/>
      <c r="AZ22" s="152"/>
      <c r="BA22" s="152"/>
      <c r="BB22" s="152"/>
      <c r="BC22" s="152"/>
      <c r="BD22" s="152"/>
      <c r="BE22" s="152"/>
      <c r="BF22" s="152"/>
      <c r="BG22" s="152"/>
      <c r="BH22" s="152"/>
      <c r="BI22" s="152"/>
    </row>
    <row r="23" spans="1:61" s="68" customFormat="1" ht="16.899999999999999" hidden="1" customHeight="1" outlineLevel="1" x14ac:dyDescent="0.25">
      <c r="A23" s="433"/>
      <c r="B23" s="760" t="s">
        <v>400</v>
      </c>
      <c r="C23" s="756"/>
      <c r="D23" s="306"/>
      <c r="E23" s="306">
        <v>20</v>
      </c>
      <c r="F23" s="306"/>
      <c r="G23" s="758"/>
      <c r="H23" s="306"/>
      <c r="I23" s="306">
        <v>20</v>
      </c>
      <c r="J23" s="306"/>
      <c r="K23" s="758"/>
      <c r="L23" s="306"/>
      <c r="M23" s="306">
        <v>20</v>
      </c>
      <c r="N23" s="306"/>
      <c r="O23" s="758"/>
      <c r="P23" s="306"/>
      <c r="Q23" s="306">
        <v>20</v>
      </c>
      <c r="R23" s="306"/>
      <c r="S23" s="758"/>
      <c r="T23" s="306"/>
      <c r="U23" s="306">
        <v>20</v>
      </c>
      <c r="V23" s="306"/>
      <c r="W23" s="315">
        <v>2</v>
      </c>
      <c r="X23" s="315">
        <v>2</v>
      </c>
      <c r="Y23" s="170">
        <v>2.9</v>
      </c>
      <c r="Z23" s="170">
        <v>3.9</v>
      </c>
      <c r="AA23" s="170">
        <v>3.9</v>
      </c>
      <c r="AB23" s="152"/>
      <c r="AC23" s="152"/>
      <c r="AD23" s="152"/>
      <c r="AE23" s="152"/>
      <c r="AF23" s="152"/>
      <c r="AG23" s="152"/>
      <c r="AH23" s="152"/>
      <c r="AI23" s="152"/>
      <c r="AJ23" s="152"/>
      <c r="AK23" s="152"/>
      <c r="AL23" s="152"/>
      <c r="AM23" s="152"/>
      <c r="AN23" s="152"/>
      <c r="AO23" s="152"/>
      <c r="AP23" s="152"/>
      <c r="AQ23" s="152"/>
      <c r="AR23" s="152"/>
      <c r="AS23" s="152"/>
      <c r="AT23" s="152"/>
      <c r="AU23" s="152"/>
      <c r="AV23" s="152"/>
      <c r="AW23" s="152"/>
      <c r="AX23" s="152"/>
      <c r="AY23" s="152"/>
      <c r="AZ23" s="152"/>
      <c r="BA23" s="152"/>
      <c r="BB23" s="152"/>
      <c r="BC23" s="152"/>
      <c r="BD23" s="152"/>
      <c r="BE23" s="152"/>
      <c r="BF23" s="152"/>
      <c r="BG23" s="152"/>
      <c r="BH23" s="152"/>
      <c r="BI23" s="152"/>
    </row>
    <row r="24" spans="1:61" s="68" customFormat="1" ht="16.899999999999999" hidden="1" customHeight="1" outlineLevel="1" x14ac:dyDescent="0.25">
      <c r="A24" s="433"/>
      <c r="B24" s="760" t="s">
        <v>395</v>
      </c>
      <c r="C24" s="756"/>
      <c r="D24" s="346"/>
      <c r="E24" s="346">
        <f>(15%/75%)*125%</f>
        <v>0.24999999999999997</v>
      </c>
      <c r="F24" s="346"/>
      <c r="G24" s="758"/>
      <c r="H24" s="346"/>
      <c r="I24" s="346">
        <f>(15%/75%)*125%</f>
        <v>0.24999999999999997</v>
      </c>
      <c r="J24" s="346"/>
      <c r="K24" s="758"/>
      <c r="L24" s="346"/>
      <c r="M24" s="346">
        <f>(15%/75%)*125%</f>
        <v>0.24999999999999997</v>
      </c>
      <c r="N24" s="346"/>
      <c r="O24" s="758"/>
      <c r="P24" s="346"/>
      <c r="Q24" s="346">
        <f>(15%/75%)*125%</f>
        <v>0.24999999999999997</v>
      </c>
      <c r="R24" s="346"/>
      <c r="S24" s="758"/>
      <c r="T24" s="346"/>
      <c r="U24" s="346">
        <f>(15%/75%)*125%</f>
        <v>0.24999999999999997</v>
      </c>
      <c r="V24" s="346"/>
      <c r="W24" s="363">
        <f>(W20-W38)/W20</f>
        <v>0.60985215098840428</v>
      </c>
      <c r="X24" s="363">
        <f>(X20-X38)/X20</f>
        <v>0.5425809192877038</v>
      </c>
      <c r="Y24" s="363">
        <f>(Y20-Y38)/Y20</f>
        <v>0.49094786613501212</v>
      </c>
      <c r="Z24" s="363">
        <f>(Z20-Z38)/Z20</f>
        <v>0.43100388095406283</v>
      </c>
      <c r="AA24" s="363">
        <f>(AA20-AA38)/AA20</f>
        <v>0.36597158146305414</v>
      </c>
      <c r="AB24" s="152"/>
      <c r="AC24" s="152"/>
      <c r="AD24" s="152"/>
      <c r="AE24" s="152"/>
      <c r="AF24" s="152"/>
      <c r="AG24" s="152"/>
      <c r="AH24" s="152"/>
      <c r="AI24" s="152"/>
      <c r="AJ24" s="152"/>
      <c r="AK24" s="152"/>
      <c r="AL24" s="152"/>
      <c r="AM24" s="152"/>
      <c r="AN24" s="152"/>
      <c r="AO24" s="152"/>
      <c r="AP24" s="152"/>
      <c r="AQ24" s="152"/>
      <c r="AR24" s="152"/>
      <c r="AS24" s="152"/>
      <c r="AT24" s="152"/>
      <c r="AU24" s="152"/>
      <c r="AV24" s="152"/>
      <c r="AW24" s="152"/>
      <c r="AX24" s="152"/>
      <c r="AY24" s="152"/>
      <c r="AZ24" s="152"/>
      <c r="BA24" s="152"/>
      <c r="BB24" s="152"/>
      <c r="BC24" s="152"/>
      <c r="BD24" s="152"/>
      <c r="BE24" s="152"/>
      <c r="BF24" s="152"/>
      <c r="BG24" s="152"/>
      <c r="BH24" s="152"/>
      <c r="BI24" s="152"/>
    </row>
    <row r="25" spans="1:61" s="68" customFormat="1" ht="16.899999999999999" hidden="1" customHeight="1" outlineLevel="1" x14ac:dyDescent="0.25">
      <c r="A25" s="433"/>
      <c r="B25" s="760" t="s">
        <v>435</v>
      </c>
      <c r="C25" s="758"/>
      <c r="D25" s="346"/>
      <c r="E25" s="348" t="str">
        <f>IF(E7="SIM",'R&amp;C-Painel de Controle'!$D$58*(E15*F15+E16*F16)/4+(1-'R&amp;C-Painel de Controle'!$D$58)*(E15*F15*1.25+E16*F16)/4,"-")</f>
        <v>-</v>
      </c>
      <c r="F25" s="306"/>
      <c r="G25" s="758"/>
      <c r="H25" s="306"/>
      <c r="I25" s="348" t="str">
        <f>IF(I7="SIM",'R&amp;C-Painel de Controle'!$D$58*(I15*J15+I16*J16)/4+(1-'R&amp;C-Painel de Controle'!$D$58)*(I15*J15*1.25+I16*J16)/4,"-")</f>
        <v>-</v>
      </c>
      <c r="J25" s="306"/>
      <c r="K25" s="758"/>
      <c r="L25" s="306"/>
      <c r="M25" s="348" t="str">
        <f>IF(M7="SIM",'R&amp;C-Painel de Controle'!$D$58*(M15*N15+M16*N16)/4+(1-'R&amp;C-Painel de Controle'!$D$58)*(M15*N15*1.25+M16*N16)/4,"-")</f>
        <v>-</v>
      </c>
      <c r="N25" s="306"/>
      <c r="O25" s="758"/>
      <c r="P25" s="306"/>
      <c r="Q25" s="348" t="str">
        <f>IF(Q7="SIM",'R&amp;C-Painel de Controle'!$D$58*(Q15*R15+Q16*R16)/4+(1-'R&amp;C-Painel de Controle'!$D$58)*(Q15*R15*1.25+Q16*R16)/4,"-")</f>
        <v>-</v>
      </c>
      <c r="R25" s="306"/>
      <c r="S25" s="758"/>
      <c r="T25" s="306"/>
      <c r="U25" s="348" t="str">
        <f>IF(U7="SIM",'R&amp;C-Painel de Controle'!$D$58*(U15*V15+U16*V16)/4+(1-'R&amp;C-Painel de Controle'!$D$58)*(U15*V15*1.25+U16*V16)/4,"-")</f>
        <v>-</v>
      </c>
      <c r="V25" s="344"/>
      <c r="W25" s="312">
        <f>(W15-W33)/W15</f>
        <v>0.62039253661454907</v>
      </c>
      <c r="X25" s="312">
        <f>(X15-X33)/X15</f>
        <v>0.55508853153171733</v>
      </c>
      <c r="Y25" s="312">
        <f>(Y15-Y33)/Y15</f>
        <v>0.50339882563573612</v>
      </c>
      <c r="Z25" s="312">
        <f>(Z15-Z33)/Z15</f>
        <v>0.43829800570445404</v>
      </c>
      <c r="AA25" s="312">
        <f>(AA15-AA33)/AA15</f>
        <v>0.39561403508771931</v>
      </c>
      <c r="AB25" s="152"/>
      <c r="AC25" s="152"/>
      <c r="AD25" s="152"/>
      <c r="AE25" s="152"/>
      <c r="AF25" s="152"/>
      <c r="AG25" s="152"/>
      <c r="AH25" s="152"/>
      <c r="AI25" s="152"/>
      <c r="AJ25" s="152"/>
      <c r="AK25" s="152"/>
      <c r="AL25" s="152"/>
      <c r="AM25" s="152"/>
      <c r="AN25" s="152"/>
      <c r="AO25" s="152"/>
      <c r="AP25" s="152"/>
      <c r="AQ25" s="152"/>
      <c r="AR25" s="152"/>
      <c r="AS25" s="152"/>
      <c r="AT25" s="152"/>
      <c r="AU25" s="152"/>
      <c r="AV25" s="152"/>
      <c r="AW25" s="152"/>
      <c r="AX25" s="152"/>
      <c r="AY25" s="152"/>
      <c r="AZ25" s="152"/>
      <c r="BA25" s="152"/>
      <c r="BB25" s="152"/>
      <c r="BC25" s="152"/>
      <c r="BD25" s="152"/>
      <c r="BE25" s="152"/>
      <c r="BF25" s="152"/>
      <c r="BG25" s="152"/>
      <c r="BH25" s="152"/>
      <c r="BI25" s="152"/>
    </row>
    <row r="26" spans="1:61" s="68" customFormat="1" ht="15" customHeight="1" thickTop="1" thickBot="1" x14ac:dyDescent="0.3">
      <c r="A26" s="433"/>
      <c r="B26" s="343"/>
      <c r="C26" s="756"/>
      <c r="D26" s="344"/>
      <c r="E26" s="344"/>
      <c r="F26" s="344"/>
      <c r="G26" s="756"/>
      <c r="H26" s="344"/>
      <c r="I26" s="344"/>
      <c r="J26" s="344"/>
      <c r="K26" s="756"/>
      <c r="L26" s="344"/>
      <c r="M26" s="344"/>
      <c r="N26" s="344"/>
      <c r="O26" s="756"/>
      <c r="P26" s="344"/>
      <c r="Q26" s="344"/>
      <c r="R26" s="344"/>
      <c r="S26" s="756"/>
      <c r="T26" s="344"/>
      <c r="U26" s="344"/>
      <c r="V26" s="344"/>
      <c r="W26" s="355"/>
      <c r="X26" s="355"/>
      <c r="Y26" s="355"/>
      <c r="Z26" s="355"/>
      <c r="AA26" s="355"/>
      <c r="AB26" s="152"/>
      <c r="AC26" s="152"/>
      <c r="AD26" s="152"/>
      <c r="AE26" s="152"/>
      <c r="AF26" s="152"/>
      <c r="AG26" s="152"/>
      <c r="AH26" s="152"/>
      <c r="AI26" s="152"/>
      <c r="AJ26" s="152"/>
      <c r="AK26" s="152"/>
      <c r="AL26" s="152"/>
      <c r="AM26" s="152"/>
      <c r="AN26" s="152"/>
      <c r="AO26" s="152"/>
      <c r="AP26" s="152"/>
      <c r="AQ26" s="152"/>
      <c r="AR26" s="152"/>
      <c r="AS26" s="152"/>
      <c r="AT26" s="152"/>
      <c r="AU26" s="152"/>
      <c r="AV26" s="152"/>
      <c r="AW26" s="152"/>
      <c r="AX26" s="152"/>
      <c r="AY26" s="152"/>
      <c r="AZ26" s="152"/>
      <c r="BA26" s="152"/>
      <c r="BB26" s="152"/>
      <c r="BC26" s="152"/>
      <c r="BD26" s="152"/>
      <c r="BE26" s="152"/>
      <c r="BF26" s="152"/>
      <c r="BG26" s="152"/>
      <c r="BH26" s="152"/>
      <c r="BI26" s="152"/>
    </row>
    <row r="27" spans="1:61" s="1121" customFormat="1" ht="19.899999999999999" customHeight="1" thickTop="1" thickBot="1" x14ac:dyDescent="0.35">
      <c r="A27" s="1123"/>
      <c r="B27" s="1085" t="s">
        <v>379</v>
      </c>
      <c r="C27" s="901"/>
      <c r="D27" s="982" t="s">
        <v>772</v>
      </c>
      <c r="E27" s="983" t="s">
        <v>763</v>
      </c>
      <c r="F27" s="984" t="s">
        <v>773</v>
      </c>
      <c r="G27" s="403"/>
      <c r="H27" s="985" t="s">
        <v>772</v>
      </c>
      <c r="I27" s="986" t="s">
        <v>763</v>
      </c>
      <c r="J27" s="987" t="s">
        <v>773</v>
      </c>
      <c r="K27" s="403"/>
      <c r="L27" s="985" t="s">
        <v>772</v>
      </c>
      <c r="M27" s="986" t="s">
        <v>763</v>
      </c>
      <c r="N27" s="987" t="s">
        <v>773</v>
      </c>
      <c r="O27" s="403"/>
      <c r="P27" s="985" t="s">
        <v>772</v>
      </c>
      <c r="Q27" s="986" t="s">
        <v>763</v>
      </c>
      <c r="R27" s="987" t="s">
        <v>773</v>
      </c>
      <c r="S27" s="403"/>
      <c r="T27" s="985" t="s">
        <v>772</v>
      </c>
      <c r="U27" s="986" t="s">
        <v>763</v>
      </c>
      <c r="V27" s="987" t="s">
        <v>773</v>
      </c>
      <c r="W27" s="1124">
        <f>(W20-W38)/W20</f>
        <v>0.60985215098840428</v>
      </c>
      <c r="X27" s="1124">
        <f>(X20-X38)/X20</f>
        <v>0.5425809192877038</v>
      </c>
      <c r="Y27" s="1124">
        <f>(Y20-Y38)/Y20</f>
        <v>0.49094786613501212</v>
      </c>
      <c r="Z27" s="1124">
        <f>(Z20-Z38)/Z20</f>
        <v>0.43100388095406283</v>
      </c>
      <c r="AA27" s="1124">
        <f>(AA20-AA38)/AA20</f>
        <v>0.36597158146305414</v>
      </c>
      <c r="AB27" s="1125"/>
      <c r="AC27" s="1125"/>
      <c r="AD27" s="1125"/>
      <c r="AE27" s="1125"/>
      <c r="AF27" s="1125"/>
      <c r="AG27" s="1125"/>
      <c r="AH27" s="1125"/>
      <c r="AI27" s="1125"/>
      <c r="AJ27" s="1125"/>
      <c r="AK27" s="1125"/>
      <c r="AL27" s="1125"/>
      <c r="AM27" s="1125"/>
      <c r="AN27" s="1125"/>
      <c r="AO27" s="1125"/>
      <c r="AP27" s="1125"/>
      <c r="AQ27" s="1125"/>
      <c r="AR27" s="1125"/>
      <c r="AS27" s="1125"/>
      <c r="AT27" s="1125"/>
      <c r="AU27" s="1125"/>
      <c r="AV27" s="1125"/>
      <c r="AW27" s="1125"/>
      <c r="AX27" s="1125"/>
      <c r="AY27" s="1125"/>
      <c r="AZ27" s="1125"/>
      <c r="BA27" s="1125"/>
      <c r="BB27" s="1125"/>
      <c r="BC27" s="1125"/>
      <c r="BD27" s="1125"/>
      <c r="BE27" s="1125"/>
      <c r="BF27" s="1125"/>
      <c r="BG27" s="1125"/>
      <c r="BH27" s="1125"/>
      <c r="BI27" s="1125"/>
    </row>
    <row r="28" spans="1:61" s="68" customFormat="1" ht="7.5" customHeight="1" x14ac:dyDescent="0.25">
      <c r="A28" s="433"/>
      <c r="B28" s="1084"/>
      <c r="C28" s="903"/>
      <c r="D28" s="1015"/>
      <c r="E28" s="339"/>
      <c r="F28" s="1016"/>
      <c r="G28" s="996"/>
      <c r="H28" s="1031"/>
      <c r="I28" s="339"/>
      <c r="J28" s="1023"/>
      <c r="K28" s="996"/>
      <c r="L28" s="1036"/>
      <c r="M28" s="339"/>
      <c r="N28" s="1023"/>
      <c r="O28" s="996"/>
      <c r="P28" s="1036"/>
      <c r="Q28" s="339"/>
      <c r="R28" s="1023"/>
      <c r="S28" s="996"/>
      <c r="T28" s="1036"/>
      <c r="U28" s="339"/>
      <c r="V28" s="1038"/>
      <c r="W28" s="170"/>
      <c r="X28" s="170"/>
      <c r="Y28" s="170"/>
      <c r="Z28" s="170"/>
      <c r="AA28" s="170"/>
      <c r="AB28" s="152"/>
      <c r="AC28" s="152"/>
      <c r="AD28" s="152"/>
      <c r="AE28" s="152"/>
      <c r="AF28" s="152"/>
      <c r="AG28" s="152"/>
      <c r="AH28" s="152"/>
      <c r="AI28" s="152"/>
      <c r="AJ28" s="152"/>
      <c r="AK28" s="152"/>
      <c r="AL28" s="152"/>
      <c r="AM28" s="152"/>
      <c r="AN28" s="152"/>
      <c r="AO28" s="152"/>
      <c r="AP28" s="152"/>
      <c r="AQ28" s="152"/>
      <c r="AR28" s="152"/>
      <c r="AS28" s="152"/>
      <c r="AT28" s="152"/>
      <c r="AU28" s="152"/>
      <c r="AV28" s="152"/>
      <c r="AW28" s="152"/>
      <c r="AX28" s="152"/>
      <c r="AY28" s="152"/>
      <c r="AZ28" s="152"/>
      <c r="BA28" s="152"/>
      <c r="BB28" s="152"/>
      <c r="BC28" s="152"/>
      <c r="BD28" s="152"/>
      <c r="BE28" s="152"/>
      <c r="BF28" s="152"/>
      <c r="BG28" s="152"/>
      <c r="BH28" s="152"/>
      <c r="BI28" s="152"/>
    </row>
    <row r="29" spans="1:61" s="68" customFormat="1" ht="17.649999999999999" customHeight="1" collapsed="1" x14ac:dyDescent="0.25">
      <c r="A29" s="432"/>
      <c r="B29" s="913" t="s">
        <v>381</v>
      </c>
      <c r="C29" s="869"/>
      <c r="D29" s="1017"/>
      <c r="E29" s="890" t="str">
        <f>(IF(E$7="SIM",(E33)*2.4*12/$H$2,"-"))</f>
        <v>-</v>
      </c>
      <c r="F29" s="917"/>
      <c r="G29" s="993"/>
      <c r="H29" s="1032"/>
      <c r="I29" s="890" t="str">
        <f>(IF(I$7="SIM",(I33)*2.4*12/$H$2,"-"))</f>
        <v>-</v>
      </c>
      <c r="J29" s="1033"/>
      <c r="K29" s="993"/>
      <c r="L29" s="1032"/>
      <c r="M29" s="890" t="str">
        <f>(IF(M$7="SIM",(M33)*2.4*12/$H$2,"-"))</f>
        <v>-</v>
      </c>
      <c r="N29" s="1033"/>
      <c r="O29" s="993"/>
      <c r="P29" s="1032"/>
      <c r="Q29" s="890" t="str">
        <f>(IF(Q$7="SIM",(Q33)*2.4*12/$H$2,"-"))</f>
        <v>-</v>
      </c>
      <c r="R29" s="1033"/>
      <c r="S29" s="993"/>
      <c r="T29" s="1032"/>
      <c r="U29" s="890" t="str">
        <f>(IF(U$7="SIM",(U33)*2.4*12/$H$2,"-"))</f>
        <v>-</v>
      </c>
      <c r="V29" s="1039"/>
      <c r="W29" s="366">
        <v>80.001883694054243</v>
      </c>
      <c r="X29" s="366">
        <v>147.41790884447153</v>
      </c>
      <c r="Y29" s="366">
        <v>222.49708736652727</v>
      </c>
      <c r="Z29" s="366">
        <v>295.90084117997679</v>
      </c>
      <c r="AA29" s="367">
        <v>457.02086783191311</v>
      </c>
      <c r="AB29" s="153"/>
      <c r="AC29" s="153"/>
      <c r="AD29" s="153"/>
      <c r="AE29" s="153"/>
      <c r="AF29" s="153"/>
      <c r="AG29" s="153"/>
      <c r="AH29" s="153"/>
      <c r="AI29" s="153"/>
      <c r="AJ29" s="153"/>
      <c r="AK29" s="153"/>
      <c r="AL29" s="153"/>
      <c r="AM29" s="153"/>
      <c r="AN29" s="153"/>
      <c r="AO29" s="153"/>
      <c r="AP29" s="153"/>
      <c r="AQ29" s="153"/>
      <c r="AR29" s="153"/>
      <c r="AS29" s="153"/>
      <c r="AT29" s="153"/>
      <c r="AU29" s="153"/>
      <c r="AV29" s="153"/>
      <c r="AW29" s="153"/>
      <c r="AX29" s="153"/>
      <c r="AY29" s="153"/>
      <c r="AZ29" s="153"/>
      <c r="BA29" s="153"/>
      <c r="BB29" s="153"/>
      <c r="BC29" s="153"/>
      <c r="BD29" s="153"/>
      <c r="BE29" s="153"/>
      <c r="BF29" s="153"/>
      <c r="BG29" s="153"/>
      <c r="BH29" s="153"/>
      <c r="BI29" s="153"/>
    </row>
    <row r="30" spans="1:61" s="68" customFormat="1" ht="15" hidden="1" customHeight="1" outlineLevel="1" x14ac:dyDescent="0.25">
      <c r="A30" s="433"/>
      <c r="B30" s="1010"/>
      <c r="C30" s="925"/>
      <c r="D30" s="1015"/>
      <c r="E30" s="332"/>
      <c r="F30" s="1016"/>
      <c r="G30" s="997"/>
      <c r="H30" s="1031"/>
      <c r="I30" s="332"/>
      <c r="J30" s="1034"/>
      <c r="K30" s="997"/>
      <c r="L30" s="1031"/>
      <c r="M30" s="332"/>
      <c r="N30" s="1034"/>
      <c r="O30" s="997"/>
      <c r="P30" s="1031"/>
      <c r="Q30" s="332"/>
      <c r="R30" s="1034"/>
      <c r="S30" s="997"/>
      <c r="T30" s="1031"/>
      <c r="U30" s="332"/>
      <c r="V30" s="924"/>
      <c r="W30" s="170"/>
      <c r="X30" s="170"/>
      <c r="Y30" s="170"/>
      <c r="Z30" s="170"/>
      <c r="AA30" s="170"/>
      <c r="AB30" s="152"/>
      <c r="AC30" s="152"/>
      <c r="AD30" s="152"/>
      <c r="AE30" s="152"/>
      <c r="AF30" s="152"/>
      <c r="AG30" s="152"/>
      <c r="AH30" s="152"/>
      <c r="AI30" s="152"/>
      <c r="AJ30" s="152"/>
      <c r="AK30" s="152"/>
      <c r="AL30" s="152"/>
      <c r="AM30" s="152"/>
      <c r="AN30" s="152"/>
      <c r="AO30" s="152"/>
      <c r="AP30" s="152"/>
      <c r="AQ30" s="152"/>
      <c r="AR30" s="152"/>
      <c r="AS30" s="152"/>
      <c r="AT30" s="152"/>
      <c r="AU30" s="152"/>
      <c r="AV30" s="152"/>
      <c r="AW30" s="152"/>
      <c r="AX30" s="152"/>
      <c r="AY30" s="152"/>
      <c r="AZ30" s="152"/>
      <c r="BA30" s="152"/>
      <c r="BB30" s="152"/>
      <c r="BC30" s="152"/>
      <c r="BD30" s="152"/>
      <c r="BE30" s="152"/>
      <c r="BF30" s="152"/>
      <c r="BG30" s="152"/>
      <c r="BH30" s="152"/>
      <c r="BI30" s="152"/>
    </row>
    <row r="31" spans="1:61" s="68" customFormat="1" ht="16.899999999999999" hidden="1" customHeight="1" outlineLevel="1" x14ac:dyDescent="0.25">
      <c r="A31" s="433"/>
      <c r="B31" s="1011" t="s">
        <v>655</v>
      </c>
      <c r="C31" s="903"/>
      <c r="D31" s="1015">
        <v>15</v>
      </c>
      <c r="E31" s="338">
        <f>(1-'R&amp;C-Painel de Controle'!$D$58)*F31+('R&amp;C-Painel de Controle'!$D$58)*D31</f>
        <v>16.75</v>
      </c>
      <c r="F31" s="1818">
        <v>20</v>
      </c>
      <c r="G31" s="998"/>
      <c r="H31" s="1031">
        <v>15</v>
      </c>
      <c r="I31" s="338">
        <f>(1-'R&amp;C-Painel de Controle'!$D$58)*J31+('R&amp;C-Painel de Controle'!$D$58)*H31</f>
        <v>16.75</v>
      </c>
      <c r="J31" s="1035">
        <v>20</v>
      </c>
      <c r="K31" s="998"/>
      <c r="L31" s="1037">
        <v>20</v>
      </c>
      <c r="M31" s="338">
        <f>(1-'R&amp;C-Painel de Controle'!$D$58)*N31+('R&amp;C-Painel de Controle'!$D$58)*L31</f>
        <v>21.75</v>
      </c>
      <c r="N31" s="1035">
        <v>25</v>
      </c>
      <c r="O31" s="998"/>
      <c r="P31" s="1037">
        <v>20</v>
      </c>
      <c r="Q31" s="338">
        <f>(1-'R&amp;C-Painel de Controle'!$D$58)*R31+('R&amp;C-Painel de Controle'!$D$58)*P31</f>
        <v>21.75</v>
      </c>
      <c r="R31" s="1035">
        <v>25</v>
      </c>
      <c r="S31" s="998"/>
      <c r="T31" s="1037">
        <v>20</v>
      </c>
      <c r="U31" s="338">
        <f>(1-'R&amp;C-Painel de Controle'!$D$58)*V31+('R&amp;C-Painel de Controle'!$D$58)*T31</f>
        <v>21.75</v>
      </c>
      <c r="V31" s="924">
        <v>25</v>
      </c>
      <c r="W31" s="364" t="s">
        <v>398</v>
      </c>
      <c r="X31" s="365"/>
      <c r="Y31" s="365"/>
      <c r="Z31" s="365"/>
      <c r="AA31" s="365"/>
      <c r="AB31" s="152"/>
      <c r="AC31" s="152"/>
      <c r="AD31" s="152"/>
      <c r="AE31" s="152"/>
      <c r="AF31" s="152"/>
      <c r="AG31" s="152"/>
      <c r="AH31" s="152"/>
      <c r="AI31" s="152"/>
      <c r="AJ31" s="152"/>
      <c r="AK31" s="152"/>
      <c r="AL31" s="152"/>
      <c r="AM31" s="152"/>
      <c r="AN31" s="152"/>
      <c r="AO31" s="152"/>
      <c r="AP31" s="152"/>
      <c r="AQ31" s="152"/>
      <c r="AR31" s="152"/>
      <c r="AS31" s="152"/>
      <c r="AT31" s="152"/>
      <c r="AU31" s="152"/>
      <c r="AV31" s="152"/>
      <c r="AW31" s="152"/>
      <c r="AX31" s="152"/>
      <c r="AY31" s="152"/>
      <c r="AZ31" s="152"/>
      <c r="BA31" s="152"/>
      <c r="BB31" s="152"/>
      <c r="BC31" s="152"/>
      <c r="BD31" s="152"/>
      <c r="BE31" s="152"/>
      <c r="BF31" s="152"/>
      <c r="BG31" s="152"/>
      <c r="BH31" s="152"/>
      <c r="BI31" s="152"/>
    </row>
    <row r="32" spans="1:61" s="68" customFormat="1" ht="16.899999999999999" hidden="1" customHeight="1" outlineLevel="1" x14ac:dyDescent="0.25">
      <c r="A32" s="433"/>
      <c r="B32" s="1011" t="s">
        <v>656</v>
      </c>
      <c r="C32" s="903"/>
      <c r="D32" s="1015"/>
      <c r="E32" s="338">
        <f>3+3+1+2+1</f>
        <v>10</v>
      </c>
      <c r="F32" s="1016"/>
      <c r="G32" s="998"/>
      <c r="H32" s="1031"/>
      <c r="I32" s="338">
        <f>3+3+1+2+1</f>
        <v>10</v>
      </c>
      <c r="J32" s="1035"/>
      <c r="K32" s="998"/>
      <c r="L32" s="1037"/>
      <c r="M32" s="338">
        <f>3+3+1+2+1</f>
        <v>10</v>
      </c>
      <c r="N32" s="1035"/>
      <c r="O32" s="998"/>
      <c r="P32" s="1037"/>
      <c r="Q32" s="338">
        <f>3+3+1+2+1</f>
        <v>10</v>
      </c>
      <c r="R32" s="1035"/>
      <c r="S32" s="998"/>
      <c r="T32" s="1037"/>
      <c r="U32" s="338">
        <f>3+3+1+2+1</f>
        <v>10</v>
      </c>
      <c r="V32" s="924"/>
      <c r="W32" s="365"/>
      <c r="X32" s="365"/>
      <c r="Y32" s="365"/>
      <c r="Z32" s="365"/>
      <c r="AA32" s="365"/>
      <c r="AB32" s="152"/>
      <c r="AC32" s="152"/>
      <c r="AD32" s="152"/>
      <c r="AE32" s="152"/>
      <c r="AF32" s="152"/>
      <c r="AG32" s="152"/>
      <c r="AH32" s="152"/>
      <c r="AI32" s="152"/>
      <c r="AJ32" s="152"/>
      <c r="AK32" s="152"/>
      <c r="AL32" s="152"/>
      <c r="AM32" s="152"/>
      <c r="AN32" s="152"/>
      <c r="AO32" s="152"/>
      <c r="AP32" s="152"/>
      <c r="AQ32" s="152"/>
      <c r="AR32" s="152"/>
      <c r="AS32" s="152"/>
      <c r="AT32" s="152"/>
      <c r="AU32" s="152"/>
      <c r="AV32" s="152"/>
      <c r="AW32" s="152"/>
      <c r="AX32" s="152"/>
      <c r="AY32" s="152"/>
      <c r="AZ32" s="152"/>
      <c r="BA32" s="152"/>
      <c r="BB32" s="152"/>
      <c r="BC32" s="152"/>
      <c r="BD32" s="152"/>
      <c r="BE32" s="152"/>
      <c r="BF32" s="152"/>
      <c r="BG32" s="152"/>
      <c r="BH32" s="152"/>
      <c r="BI32" s="152"/>
    </row>
    <row r="33" spans="1:61" s="68" customFormat="1" ht="16.899999999999999" hidden="1" customHeight="1" outlineLevel="1" x14ac:dyDescent="0.25">
      <c r="A33" s="433"/>
      <c r="B33" s="1011" t="s">
        <v>632</v>
      </c>
      <c r="C33" s="903"/>
      <c r="D33" s="1015"/>
      <c r="E33" s="335" t="str">
        <f>IF(E$7="SIM",'R&amp;C-Painel de Controle'!$D$63+(E31*3/10+E32)*'R&amp;C-Painel de Controle'!$D$64+E31*E22*3*'R&amp;C-Painel de Controle'!$D$65,"-")</f>
        <v>-</v>
      </c>
      <c r="F33" s="1016"/>
      <c r="G33" s="996"/>
      <c r="H33" s="1031"/>
      <c r="I33" s="335" t="str">
        <f>IF(I$7="SIM",'R&amp;C-Painel de Controle'!$D$63+(I31*3/10+I32)*'R&amp;C-Painel de Controle'!$D$64+I31*I22*3*'R&amp;C-Painel de Controle'!$D$65,"-")</f>
        <v>-</v>
      </c>
      <c r="J33" s="1023"/>
      <c r="K33" s="996"/>
      <c r="L33" s="1036"/>
      <c r="M33" s="335" t="str">
        <f>IF(M$7="SIM",'R&amp;C-Painel de Controle'!$D$63+(M31*3/10+M32)*'R&amp;C-Painel de Controle'!$D$64+M31*M22*3*'R&amp;C-Painel de Controle'!$D$65,"-")</f>
        <v>-</v>
      </c>
      <c r="N33" s="1023"/>
      <c r="O33" s="996"/>
      <c r="P33" s="1036"/>
      <c r="Q33" s="335" t="str">
        <f>IF(Q$7="SIM",'R&amp;C-Painel de Controle'!$D$63+(Q31*3/10+Q32)*'R&amp;C-Painel de Controle'!$D$64+Q31*Q22*3*'R&amp;C-Painel de Controle'!$D$65,"-")</f>
        <v>-</v>
      </c>
      <c r="R33" s="1023"/>
      <c r="S33" s="996"/>
      <c r="T33" s="1036"/>
      <c r="U33" s="335" t="str">
        <f>IF(U$7="SIM",'R&amp;C-Painel de Controle'!$D$63+(U31*3/10+U32)*'R&amp;C-Painel de Controle'!$D$64+U31*U22*3*'R&amp;C-Painel de Controle'!$D$65,"-")</f>
        <v>-</v>
      </c>
      <c r="V33" s="924"/>
      <c r="W33" s="365">
        <v>313.63371466789192</v>
      </c>
      <c r="X33" s="365">
        <v>670.95132589391676</v>
      </c>
      <c r="Y33" s="365">
        <v>1144.9334909088557</v>
      </c>
      <c r="Z33" s="365">
        <v>1714.2920818784341</v>
      </c>
      <c r="AA33" s="365">
        <v>2259.5136964290305</v>
      </c>
      <c r="AB33" s="152"/>
      <c r="AC33" s="152"/>
      <c r="AD33" s="152"/>
      <c r="AE33" s="152"/>
      <c r="AF33" s="152"/>
      <c r="AG33" s="152"/>
      <c r="AH33" s="152"/>
      <c r="AI33" s="152"/>
      <c r="AJ33" s="152"/>
      <c r="AK33" s="152"/>
      <c r="AL33" s="152"/>
      <c r="AM33" s="152"/>
      <c r="AN33" s="152"/>
      <c r="AO33" s="152"/>
      <c r="AP33" s="152"/>
      <c r="AQ33" s="152"/>
      <c r="AR33" s="152"/>
      <c r="AS33" s="152"/>
      <c r="AT33" s="152"/>
      <c r="AU33" s="152"/>
      <c r="AV33" s="152"/>
      <c r="AW33" s="152"/>
      <c r="AX33" s="152"/>
      <c r="AY33" s="152"/>
      <c r="AZ33" s="152"/>
      <c r="BA33" s="152"/>
      <c r="BB33" s="152"/>
      <c r="BC33" s="152"/>
      <c r="BD33" s="152"/>
      <c r="BE33" s="152"/>
      <c r="BF33" s="152"/>
      <c r="BG33" s="152"/>
      <c r="BH33" s="152"/>
      <c r="BI33" s="152"/>
    </row>
    <row r="34" spans="1:61" s="68" customFormat="1" ht="17.649999999999999" customHeight="1" collapsed="1" x14ac:dyDescent="0.25">
      <c r="A34" s="432"/>
      <c r="B34" s="913" t="s">
        <v>382</v>
      </c>
      <c r="C34" s="869"/>
      <c r="D34" s="1017"/>
      <c r="E34" s="890" t="str">
        <f>(IF(E$7="SIM",(E35*$H$2/1000*'R&amp;C-Painel de Controle'!$D$68+E36/1000*'R&amp;C-Painel de Controle'!$D$69*12)/$H$2,"-"))</f>
        <v>-</v>
      </c>
      <c r="F34" s="917">
        <v>0.25</v>
      </c>
      <c r="G34" s="993"/>
      <c r="H34" s="1077"/>
      <c r="I34" s="890" t="str">
        <f>(IF(I$7="SIM",(I35*$H$2/1000*'R&amp;C-Painel de Controle'!$D$68+I36/1000*'R&amp;C-Painel de Controle'!$D$69*12)/$H$2,"-"))</f>
        <v>-</v>
      </c>
      <c r="J34" s="1134">
        <v>0.25</v>
      </c>
      <c r="K34" s="993"/>
      <c r="L34" s="1077"/>
      <c r="M34" s="890" t="str">
        <f>(IF(M$7="SIM",(M35*$H$2/1000*'R&amp;C-Painel de Controle'!$D$68+M36/1000*'R&amp;C-Painel de Controle'!$D$69*12)/$H$2,"-"))</f>
        <v>-</v>
      </c>
      <c r="N34" s="1134">
        <v>0.25</v>
      </c>
      <c r="O34" s="993"/>
      <c r="P34" s="1077"/>
      <c r="Q34" s="890" t="str">
        <f>(IF(Q$7="SIM",(Q35*$H$2/1000*'R&amp;C-Painel de Controle'!$D$68+Q36/1000*'R&amp;C-Painel de Controle'!$D$69*12)/$H$2,"-"))</f>
        <v>-</v>
      </c>
      <c r="R34" s="1134">
        <v>0.25</v>
      </c>
      <c r="S34" s="993"/>
      <c r="T34" s="1077"/>
      <c r="U34" s="890" t="str">
        <f>(IF(U$7="SIM",(U35*$H$2/1000*'R&amp;C-Painel de Controle'!$D$68+U36/1000*'R&amp;C-Painel de Controle'!$D$69*12)/$H$2,"-"))</f>
        <v>-</v>
      </c>
      <c r="V34" s="1135">
        <v>0.25</v>
      </c>
      <c r="W34" s="366">
        <v>433.73031273704458</v>
      </c>
      <c r="X34" s="366">
        <v>890.59788888719049</v>
      </c>
      <c r="Y34" s="366">
        <v>1483.0371598688807</v>
      </c>
      <c r="Z34" s="366">
        <v>2158.7431077495012</v>
      </c>
      <c r="AA34" s="367">
        <v>2916.3147118611009</v>
      </c>
      <c r="AB34" s="153"/>
      <c r="AC34" s="153"/>
      <c r="AD34" s="153"/>
      <c r="AE34" s="153"/>
      <c r="AF34" s="153"/>
      <c r="AG34" s="153"/>
      <c r="AH34" s="153"/>
      <c r="AI34" s="153"/>
      <c r="AJ34" s="153"/>
      <c r="AK34" s="153"/>
      <c r="AL34" s="153"/>
      <c r="AM34" s="153"/>
      <c r="AN34" s="153"/>
      <c r="AO34" s="153"/>
      <c r="AP34" s="153"/>
      <c r="AQ34" s="153"/>
      <c r="AR34" s="153"/>
      <c r="AS34" s="153"/>
      <c r="AT34" s="153"/>
      <c r="AU34" s="153"/>
      <c r="AV34" s="153"/>
      <c r="AW34" s="153"/>
      <c r="AX34" s="153"/>
      <c r="AY34" s="153"/>
      <c r="AZ34" s="153"/>
      <c r="BA34" s="153"/>
      <c r="BB34" s="153"/>
      <c r="BC34" s="153"/>
      <c r="BD34" s="153"/>
      <c r="BE34" s="153"/>
      <c r="BF34" s="153"/>
      <c r="BG34" s="153"/>
      <c r="BH34" s="153"/>
      <c r="BI34" s="153"/>
    </row>
    <row r="35" spans="1:61" s="68" customFormat="1" ht="16.899999999999999" hidden="1" customHeight="1" outlineLevel="1" x14ac:dyDescent="0.25">
      <c r="A35" s="433"/>
      <c r="B35" s="760" t="s">
        <v>657</v>
      </c>
      <c r="C35" s="756"/>
      <c r="D35" s="1482">
        <v>3.2500000000000001E-2</v>
      </c>
      <c r="E35" s="304">
        <f>(1-'R&amp;C-Painel de Controle'!$D$58)*F35*'R-Definição'!$E$114+('R&amp;C-Painel de Controle'!$D$58)*D35*'R-Definição'!$E$114</f>
        <v>0</v>
      </c>
      <c r="F35" s="697">
        <f>D35*(1+F34)</f>
        <v>4.0625000000000001E-2</v>
      </c>
      <c r="G35" s="758"/>
      <c r="H35" s="1482">
        <f>D35*95%</f>
        <v>3.0875E-2</v>
      </c>
      <c r="I35" s="304">
        <f>(1-'R&amp;C-Painel de Controle'!$D$58)*J35*'R-Definição'!$E$114+('R&amp;C-Painel de Controle'!$D$58)*H35*'R-Definição'!$E$114</f>
        <v>0</v>
      </c>
      <c r="J35" s="697">
        <f>H35*(1+J34)</f>
        <v>3.8593749999999996E-2</v>
      </c>
      <c r="K35" s="758"/>
      <c r="L35" s="1482">
        <f>H35*95%</f>
        <v>2.933125E-2</v>
      </c>
      <c r="M35" s="304">
        <f>(1-'R&amp;C-Painel de Controle'!$D$58)*N35*'R-Definição'!$E$114+('R&amp;C-Painel de Controle'!$D$58)*L35*'R-Definição'!$E$114</f>
        <v>0</v>
      </c>
      <c r="N35" s="697">
        <f>L35*(1+N34)</f>
        <v>3.6664062499999997E-2</v>
      </c>
      <c r="O35" s="758"/>
      <c r="P35" s="1482">
        <f>L35*95%</f>
        <v>2.7864687499999999E-2</v>
      </c>
      <c r="Q35" s="304">
        <f>(1-'R&amp;C-Painel de Controle'!$D$58)*R35*'R-Definição'!$E$114+('R&amp;C-Painel de Controle'!$D$58)*P35*'R-Definição'!$E$114</f>
        <v>0</v>
      </c>
      <c r="R35" s="697">
        <f>P35*(1+R34)</f>
        <v>3.4830859374999995E-2</v>
      </c>
      <c r="S35" s="758"/>
      <c r="T35" s="1482">
        <f>P35*95%</f>
        <v>2.6471453124999999E-2</v>
      </c>
      <c r="U35" s="304">
        <f>(1-'R&amp;C-Painel de Controle'!$D$58)*V35*'R-Definição'!$E$114+('R&amp;C-Painel de Controle'!$D$58)*T35*'R-Definição'!$E$114</f>
        <v>0</v>
      </c>
      <c r="V35" s="697">
        <f>T35*(1+V34)</f>
        <v>3.3089316406249999E-2</v>
      </c>
      <c r="W35" s="368">
        <v>9.6</v>
      </c>
      <c r="X35" s="368">
        <v>9.36</v>
      </c>
      <c r="Y35" s="368">
        <v>10.8</v>
      </c>
      <c r="Z35" s="368">
        <v>15.6</v>
      </c>
      <c r="AA35" s="369">
        <v>20.16</v>
      </c>
      <c r="AB35" s="152"/>
      <c r="AC35" s="152"/>
      <c r="AD35" s="152"/>
      <c r="AE35" s="152"/>
      <c r="AF35" s="152"/>
      <c r="AG35" s="152"/>
      <c r="AH35" s="152"/>
      <c r="AI35" s="152"/>
      <c r="AJ35" s="152"/>
      <c r="AK35" s="152"/>
      <c r="AL35" s="152"/>
      <c r="AM35" s="152"/>
      <c r="AN35" s="152"/>
      <c r="AO35" s="152"/>
      <c r="AP35" s="152"/>
      <c r="AQ35" s="152"/>
      <c r="AR35" s="152"/>
      <c r="AS35" s="152"/>
      <c r="AT35" s="152"/>
      <c r="AU35" s="152"/>
      <c r="AV35" s="152"/>
      <c r="AW35" s="152"/>
      <c r="AX35" s="152"/>
      <c r="AY35" s="152"/>
      <c r="AZ35" s="152"/>
      <c r="BA35" s="152"/>
      <c r="BB35" s="152"/>
      <c r="BC35" s="152"/>
      <c r="BD35" s="152"/>
      <c r="BE35" s="152"/>
      <c r="BF35" s="152"/>
      <c r="BG35" s="152"/>
      <c r="BH35" s="152"/>
      <c r="BI35" s="152"/>
    </row>
    <row r="36" spans="1:61" s="68" customFormat="1" ht="16.899999999999999" hidden="1" customHeight="1" outlineLevel="1" x14ac:dyDescent="0.25">
      <c r="A36" s="433"/>
      <c r="B36" s="760" t="s">
        <v>634</v>
      </c>
      <c r="C36" s="756"/>
      <c r="D36" s="455"/>
      <c r="E36" s="304">
        <f>E35*F11*(0.9)*0.92/24</f>
        <v>0</v>
      </c>
      <c r="F36" s="455"/>
      <c r="G36" s="757"/>
      <c r="H36" s="455"/>
      <c r="I36" s="304">
        <f>I35*J11*(0.9)*0.92/24</f>
        <v>0</v>
      </c>
      <c r="J36" s="455"/>
      <c r="K36" s="757"/>
      <c r="L36" s="455"/>
      <c r="M36" s="304">
        <f>M35*N11*(0.9)*0.92/24</f>
        <v>0</v>
      </c>
      <c r="N36" s="455"/>
      <c r="O36" s="757"/>
      <c r="P36" s="455"/>
      <c r="Q36" s="304">
        <f>Q35*R11*(0.9)*0.92/24</f>
        <v>0</v>
      </c>
      <c r="R36" s="455"/>
      <c r="S36" s="757"/>
      <c r="T36" s="455"/>
      <c r="U36" s="304">
        <f>U35*V11*(0.9)*0.92/24</f>
        <v>0</v>
      </c>
      <c r="V36" s="455"/>
      <c r="W36" s="368">
        <v>9.8408899590486545</v>
      </c>
      <c r="X36" s="368">
        <v>20.459230868459709</v>
      </c>
      <c r="Y36" s="368">
        <v>34.185764456884577</v>
      </c>
      <c r="Z36" s="368">
        <v>30.152893845876164</v>
      </c>
      <c r="AA36" s="369">
        <v>40.74801846391415</v>
      </c>
      <c r="AB36" s="152"/>
      <c r="AC36" s="152"/>
      <c r="AD36" s="152"/>
      <c r="AE36" s="152"/>
      <c r="AF36" s="152"/>
      <c r="AG36" s="152"/>
      <c r="AH36" s="152"/>
      <c r="AI36" s="152"/>
      <c r="AJ36" s="152"/>
      <c r="AK36" s="152"/>
      <c r="AL36" s="152"/>
      <c r="AM36" s="152"/>
      <c r="AN36" s="152"/>
      <c r="AO36" s="152"/>
      <c r="AP36" s="152"/>
      <c r="AQ36" s="152"/>
      <c r="AR36" s="152"/>
      <c r="AS36" s="152"/>
      <c r="AT36" s="152"/>
      <c r="AU36" s="152"/>
      <c r="AV36" s="152"/>
      <c r="AW36" s="152"/>
      <c r="AX36" s="152"/>
      <c r="AY36" s="152"/>
      <c r="AZ36" s="152"/>
      <c r="BA36" s="152"/>
      <c r="BB36" s="152"/>
      <c r="BC36" s="152"/>
      <c r="BD36" s="152"/>
      <c r="BE36" s="152"/>
      <c r="BF36" s="152"/>
      <c r="BG36" s="152"/>
      <c r="BH36" s="152"/>
      <c r="BI36" s="152"/>
    </row>
    <row r="37" spans="1:61" s="68" customFormat="1" ht="17.649999999999999" customHeight="1" collapsed="1" x14ac:dyDescent="0.25">
      <c r="A37" s="1136"/>
      <c r="B37" s="913" t="s">
        <v>383</v>
      </c>
      <c r="C37" s="1136"/>
      <c r="D37" s="1152"/>
      <c r="E37" s="303" t="str">
        <f>(IF(E$7="SIM",(E15*1000000*E38+E39*12)/$H$2,"-"))</f>
        <v>-</v>
      </c>
      <c r="F37" s="1153">
        <v>0.25</v>
      </c>
      <c r="G37" s="1139"/>
      <c r="H37" s="1172"/>
      <c r="I37" s="303" t="str">
        <f>(IF(I$7="SIM",(I15*1000000*I38+I39*12)/$H$2,"-"))</f>
        <v>-</v>
      </c>
      <c r="J37" s="1153">
        <v>0.3</v>
      </c>
      <c r="K37" s="1139"/>
      <c r="L37" s="1172"/>
      <c r="M37" s="303" t="str">
        <f>(IF(M$7="SIM",(M15*1000000*M38+M39*12)/$H$2,"-"))</f>
        <v>-</v>
      </c>
      <c r="N37" s="1153">
        <v>0.3</v>
      </c>
      <c r="O37" s="1139"/>
      <c r="P37" s="1172"/>
      <c r="Q37" s="303" t="str">
        <f>(IF(Q$7="SIM",(Q15*1000000*Q38+Q39*12)/$H$2,"-"))</f>
        <v>-</v>
      </c>
      <c r="R37" s="1153">
        <v>0.3</v>
      </c>
      <c r="S37" s="1139"/>
      <c r="T37" s="1172"/>
      <c r="U37" s="303" t="str">
        <f>(IF(U$7="SIM",(U15*1000000*U38+U39*12)/$H$2,"-"))</f>
        <v>-</v>
      </c>
      <c r="V37" s="1153">
        <v>0.3</v>
      </c>
      <c r="W37" s="1143"/>
      <c r="X37" s="372"/>
      <c r="Y37" s="373"/>
      <c r="Z37" s="372"/>
      <c r="AA37" s="374"/>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row>
    <row r="38" spans="1:61" s="68" customFormat="1" ht="16.899999999999999" hidden="1" customHeight="1" outlineLevel="1" x14ac:dyDescent="0.25">
      <c r="A38" s="652"/>
      <c r="B38" s="1147" t="s">
        <v>650</v>
      </c>
      <c r="C38" s="652"/>
      <c r="D38" s="1154">
        <v>2.5000000000000001E-2</v>
      </c>
      <c r="E38" s="347">
        <f>(1-'R&amp;C-Painel de Controle'!$D$58)*F38+('R&amp;C-Painel de Controle'!$D$58)*D38</f>
        <v>3.5937499999999997E-2</v>
      </c>
      <c r="F38" s="1155">
        <f>D38*(2+F37)</f>
        <v>5.6250000000000001E-2</v>
      </c>
      <c r="G38" s="1140"/>
      <c r="H38" s="1154">
        <v>2.5000000000000001E-2</v>
      </c>
      <c r="I38" s="347">
        <f>(1-'R&amp;C-Painel de Controle'!$D$58)*J38+('R&amp;C-Painel de Controle'!$D$58)*H38</f>
        <v>3.6374999999999998E-2</v>
      </c>
      <c r="J38" s="1155">
        <f>H38*(2+J37)</f>
        <v>5.7499999999999996E-2</v>
      </c>
      <c r="K38" s="1140"/>
      <c r="L38" s="1154">
        <v>2.5000000000000001E-2</v>
      </c>
      <c r="M38" s="347">
        <f>(1-'R&amp;C-Painel de Controle'!$D$58)*N38+('R&amp;C-Painel de Controle'!$D$58)*L38</f>
        <v>3.6374999999999998E-2</v>
      </c>
      <c r="N38" s="1155">
        <f>L38*(2+N37)</f>
        <v>5.7499999999999996E-2</v>
      </c>
      <c r="O38" s="1140"/>
      <c r="P38" s="1154">
        <v>2.5000000000000001E-2</v>
      </c>
      <c r="Q38" s="347">
        <f>(1-'R&amp;C-Painel de Controle'!$D$58)*R38+('R&amp;C-Painel de Controle'!$D$58)*P38</f>
        <v>3.6374999999999998E-2</v>
      </c>
      <c r="R38" s="1155">
        <f>P38*(2+R37)</f>
        <v>5.7499999999999996E-2</v>
      </c>
      <c r="S38" s="1140"/>
      <c r="T38" s="1154">
        <v>2.5000000000000001E-2</v>
      </c>
      <c r="U38" s="347">
        <f>(1-'R&amp;C-Painel de Controle'!$D$58)*V38+('R&amp;C-Painel de Controle'!$D$58)*T38</f>
        <v>3.6374999999999998E-2</v>
      </c>
      <c r="V38" s="1155">
        <f>T38*(2+V37)</f>
        <v>5.7499999999999996E-2</v>
      </c>
      <c r="W38" s="1115">
        <v>1848.459504416847</v>
      </c>
      <c r="X38" s="368">
        <v>1897.334644320664</v>
      </c>
      <c r="Y38" s="368">
        <v>1895.5114295272281</v>
      </c>
      <c r="Z38" s="368">
        <v>1970.7454137743553</v>
      </c>
      <c r="AA38" s="369">
        <v>2070.6665075992942</v>
      </c>
      <c r="AB38" s="152"/>
      <c r="AC38" s="152"/>
      <c r="AD38" s="152"/>
      <c r="AE38" s="152"/>
      <c r="AF38" s="152"/>
      <c r="AG38" s="152"/>
      <c r="AH38" s="152"/>
      <c r="AI38" s="152"/>
      <c r="AJ38" s="152"/>
      <c r="AK38" s="152"/>
      <c r="AL38" s="152"/>
      <c r="AM38" s="152"/>
      <c r="AN38" s="152"/>
      <c r="AO38" s="152"/>
      <c r="AP38" s="152"/>
      <c r="AQ38" s="152"/>
      <c r="AR38" s="152"/>
      <c r="AS38" s="152"/>
      <c r="AT38" s="152"/>
      <c r="AU38" s="152"/>
      <c r="AV38" s="152"/>
      <c r="AW38" s="152"/>
      <c r="AX38" s="152"/>
      <c r="AY38" s="152"/>
      <c r="AZ38" s="152"/>
      <c r="BA38" s="152"/>
      <c r="BB38" s="152"/>
      <c r="BC38" s="152"/>
      <c r="BD38" s="152"/>
      <c r="BE38" s="152"/>
      <c r="BF38" s="152"/>
      <c r="BG38" s="152"/>
      <c r="BH38" s="152"/>
      <c r="BI38" s="152"/>
    </row>
    <row r="39" spans="1:61" s="68" customFormat="1" ht="16.899999999999999" hidden="1" customHeight="1" outlineLevel="1" x14ac:dyDescent="0.25">
      <c r="A39" s="1136"/>
      <c r="B39" s="1147" t="s">
        <v>441</v>
      </c>
      <c r="C39" s="1136"/>
      <c r="D39" s="1156">
        <v>75000</v>
      </c>
      <c r="E39" s="304">
        <f>(1-'R&amp;C-Painel de Controle'!$D$58)*F39+('R&amp;C-Painel de Controle'!$D$58)*D39</f>
        <v>81562.5</v>
      </c>
      <c r="F39" s="1157">
        <f>D39*(1+F37)</f>
        <v>93750</v>
      </c>
      <c r="G39" s="766"/>
      <c r="H39" s="1156">
        <v>100000</v>
      </c>
      <c r="I39" s="304">
        <f>(1-'R&amp;C-Painel de Controle'!$D$58)*J39+('R&amp;C-Painel de Controle'!$D$58)*H39</f>
        <v>110500</v>
      </c>
      <c r="J39" s="1157">
        <f>H39*(1+J37)</f>
        <v>130000</v>
      </c>
      <c r="K39" s="766"/>
      <c r="L39" s="1156">
        <v>100000</v>
      </c>
      <c r="M39" s="304">
        <f>(1-'R&amp;C-Painel de Controle'!$D$58)*N39+('R&amp;C-Painel de Controle'!$D$58)*L39</f>
        <v>110500</v>
      </c>
      <c r="N39" s="1157">
        <f>L39*(1+N37)</f>
        <v>130000</v>
      </c>
      <c r="O39" s="766"/>
      <c r="P39" s="1156">
        <v>125000</v>
      </c>
      <c r="Q39" s="304">
        <f>(1-'R&amp;C-Painel de Controle'!$D$58)*R39+('R&amp;C-Painel de Controle'!$D$58)*P39</f>
        <v>138125</v>
      </c>
      <c r="R39" s="1157">
        <f>P39*(1+R37)</f>
        <v>162500</v>
      </c>
      <c r="S39" s="766"/>
      <c r="T39" s="1156">
        <v>125000</v>
      </c>
      <c r="U39" s="304">
        <f>(1-'R&amp;C-Painel de Controle'!$D$58)*V39+('R&amp;C-Painel de Controle'!$D$58)*T39</f>
        <v>138125</v>
      </c>
      <c r="V39" s="1157">
        <f>T39*(1+V37)</f>
        <v>162500</v>
      </c>
      <c r="W39" s="1114"/>
      <c r="X39" s="370">
        <f>(X38-W38)/W38</f>
        <v>2.6441011981615522E-2</v>
      </c>
      <c r="Y39" s="371">
        <f>(Y38-X38)/X38</f>
        <v>-9.6093475070061071E-4</v>
      </c>
      <c r="Z39" s="370">
        <f>(Z38-Y38)/Y38</f>
        <v>3.969059910437564E-2</v>
      </c>
      <c r="AA39" s="370">
        <f>(AA38-Z38)/Z38</f>
        <v>5.0702182598801972E-2</v>
      </c>
      <c r="AB39" s="153"/>
      <c r="AC39" s="153"/>
      <c r="AD39" s="153"/>
      <c r="AE39" s="153"/>
      <c r="AF39" s="153"/>
      <c r="AG39" s="153"/>
      <c r="AH39" s="153"/>
      <c r="AI39" s="153"/>
      <c r="AJ39" s="153"/>
      <c r="AK39" s="153"/>
      <c r="AL39" s="153"/>
      <c r="AM39" s="153"/>
      <c r="AN39" s="153"/>
      <c r="AO39" s="153"/>
      <c r="AP39" s="153"/>
      <c r="AQ39" s="153"/>
      <c r="AR39" s="153"/>
      <c r="AS39" s="153"/>
      <c r="AT39" s="153"/>
      <c r="AU39" s="153"/>
      <c r="AV39" s="153"/>
      <c r="AW39" s="153"/>
      <c r="AX39" s="153"/>
      <c r="AY39" s="153"/>
      <c r="AZ39" s="153"/>
      <c r="BA39" s="153"/>
      <c r="BB39" s="153"/>
      <c r="BC39" s="153"/>
      <c r="BD39" s="153"/>
      <c r="BE39" s="153"/>
      <c r="BF39" s="153"/>
      <c r="BG39" s="153"/>
      <c r="BH39" s="153"/>
      <c r="BI39" s="153"/>
    </row>
    <row r="40" spans="1:61" s="68" customFormat="1" ht="17.649999999999999" customHeight="1" collapsed="1" x14ac:dyDescent="0.25">
      <c r="A40" s="1136"/>
      <c r="B40" s="913" t="s">
        <v>385</v>
      </c>
      <c r="C40" s="1136"/>
      <c r="D40" s="1152"/>
      <c r="E40" s="303" t="str">
        <f>(IF(E$7="SIM",(E43+E41*E42*D41)*12/$H$2,"-"))</f>
        <v>-</v>
      </c>
      <c r="F40" s="1158"/>
      <c r="G40" s="1139"/>
      <c r="H40" s="1172"/>
      <c r="I40" s="303" t="str">
        <f>(IF(I$7="SIM",(I43+I41*I42*H41)*12/$H$2,"-"))</f>
        <v>-</v>
      </c>
      <c r="J40" s="1162"/>
      <c r="K40" s="1139"/>
      <c r="L40" s="1172"/>
      <c r="M40" s="303" t="str">
        <f>(IF(M$7="SIM",(M43+M41*M42*L41)*12/$H$2,"-"))</f>
        <v>-</v>
      </c>
      <c r="N40" s="1162"/>
      <c r="O40" s="1139"/>
      <c r="P40" s="1172"/>
      <c r="Q40" s="303" t="str">
        <f>(IF(Q$7="SIM",(Q43+Q41*Q42*P41)*12/$H$2,"-"))</f>
        <v>-</v>
      </c>
      <c r="R40" s="1162"/>
      <c r="S40" s="1139"/>
      <c r="T40" s="1172"/>
      <c r="U40" s="303" t="str">
        <f>(IF(U$7="SIM",(U43+U41*U42*T41)*12/$H$2,"-"))</f>
        <v>-</v>
      </c>
      <c r="V40" s="1160"/>
      <c r="W40" s="1144"/>
      <c r="X40" s="308"/>
      <c r="Y40" s="308"/>
      <c r="Z40" s="308"/>
      <c r="AA40" s="308"/>
      <c r="AB40" s="153"/>
      <c r="AC40" s="153"/>
      <c r="AD40" s="153"/>
      <c r="AE40" s="153"/>
      <c r="AF40" s="153"/>
      <c r="AG40" s="153"/>
      <c r="AH40" s="153"/>
      <c r="AI40" s="153"/>
      <c r="AJ40" s="153"/>
      <c r="AK40" s="153"/>
      <c r="AL40" s="153"/>
      <c r="AM40" s="153"/>
      <c r="AN40" s="153"/>
      <c r="AO40" s="153"/>
      <c r="AP40" s="153"/>
      <c r="AQ40" s="153"/>
      <c r="AR40" s="153"/>
      <c r="AS40" s="153"/>
      <c r="AT40" s="153"/>
      <c r="AU40" s="153"/>
      <c r="AV40" s="153"/>
      <c r="AW40" s="153"/>
      <c r="AX40" s="153"/>
      <c r="AY40" s="153"/>
      <c r="AZ40" s="153"/>
      <c r="BA40" s="153"/>
      <c r="BB40" s="153"/>
      <c r="BC40" s="153"/>
      <c r="BD40" s="153"/>
      <c r="BE40" s="153"/>
      <c r="BF40" s="153"/>
      <c r="BG40" s="153"/>
      <c r="BH40" s="153"/>
      <c r="BI40" s="153"/>
    </row>
    <row r="41" spans="1:61" s="68" customFormat="1" ht="16.899999999999999" hidden="1" customHeight="1" outlineLevel="1" x14ac:dyDescent="0.25">
      <c r="A41" s="1136"/>
      <c r="B41" s="1147" t="s">
        <v>636</v>
      </c>
      <c r="C41" s="1136"/>
      <c r="D41" s="1159">
        <v>0.5</v>
      </c>
      <c r="E41" s="304">
        <f>'R&amp;C-Painel de Controle'!$D$70</f>
        <v>100000</v>
      </c>
      <c r="F41" s="1160"/>
      <c r="G41" s="1141"/>
      <c r="H41" s="1159">
        <v>0.5</v>
      </c>
      <c r="I41" s="304">
        <f>'R&amp;C-Painel de Controle'!$D$70</f>
        <v>100000</v>
      </c>
      <c r="J41" s="1160"/>
      <c r="K41" s="1141"/>
      <c r="L41" s="1159">
        <v>0.5</v>
      </c>
      <c r="M41" s="304">
        <f>'R&amp;C-Painel de Controle'!$D$70</f>
        <v>100000</v>
      </c>
      <c r="N41" s="1160"/>
      <c r="O41" s="1141"/>
      <c r="P41" s="1159">
        <v>0.5</v>
      </c>
      <c r="Q41" s="304">
        <f>'R&amp;C-Painel de Controle'!$D$70</f>
        <v>100000</v>
      </c>
      <c r="R41" s="1160"/>
      <c r="S41" s="1141"/>
      <c r="T41" s="1159">
        <v>0.5</v>
      </c>
      <c r="U41" s="304">
        <f>'R&amp;C-Painel de Controle'!$D$70</f>
        <v>100000</v>
      </c>
      <c r="V41" s="1160"/>
      <c r="W41" s="1144"/>
      <c r="X41" s="308"/>
      <c r="Y41" s="308"/>
      <c r="Z41" s="308"/>
      <c r="AA41" s="308"/>
      <c r="AB41" s="153"/>
      <c r="AC41" s="153"/>
      <c r="AD41" s="153"/>
      <c r="AE41" s="153"/>
      <c r="AF41" s="153"/>
      <c r="AG41" s="153"/>
      <c r="AH41" s="153"/>
      <c r="AI41" s="153"/>
      <c r="AJ41" s="153"/>
      <c r="AK41" s="153"/>
      <c r="AL41" s="153"/>
      <c r="AM41" s="153"/>
      <c r="AN41" s="153"/>
      <c r="AO41" s="153"/>
      <c r="AP41" s="153"/>
      <c r="AQ41" s="153"/>
      <c r="AR41" s="153"/>
      <c r="AS41" s="153"/>
      <c r="AT41" s="153"/>
      <c r="AU41" s="153"/>
      <c r="AV41" s="153"/>
      <c r="AW41" s="153"/>
      <c r="AX41" s="153"/>
      <c r="AY41" s="153"/>
      <c r="AZ41" s="153"/>
      <c r="BA41" s="153"/>
      <c r="BB41" s="153"/>
      <c r="BC41" s="153"/>
      <c r="BD41" s="153"/>
      <c r="BE41" s="153"/>
      <c r="BF41" s="153"/>
      <c r="BG41" s="153"/>
      <c r="BH41" s="153"/>
      <c r="BI41" s="153"/>
    </row>
    <row r="42" spans="1:61" s="68" customFormat="1" ht="16.899999999999999" hidden="1" customHeight="1" outlineLevel="1" x14ac:dyDescent="0.25">
      <c r="A42" s="652"/>
      <c r="B42" s="1147" t="s">
        <v>637</v>
      </c>
      <c r="C42" s="652"/>
      <c r="D42" s="1152"/>
      <c r="E42" s="346">
        <v>5</v>
      </c>
      <c r="F42" s="1160"/>
      <c r="G42" s="766"/>
      <c r="H42" s="1152"/>
      <c r="I42" s="346">
        <v>5</v>
      </c>
      <c r="J42" s="1160"/>
      <c r="K42" s="766"/>
      <c r="L42" s="1152"/>
      <c r="M42" s="346">
        <v>5</v>
      </c>
      <c r="N42" s="1160"/>
      <c r="O42" s="766"/>
      <c r="P42" s="1152"/>
      <c r="Q42" s="346">
        <v>5</v>
      </c>
      <c r="R42" s="1160"/>
      <c r="S42" s="766"/>
      <c r="T42" s="1152"/>
      <c r="U42" s="346">
        <v>5</v>
      </c>
      <c r="V42" s="1160"/>
      <c r="W42" s="162"/>
      <c r="X42" s="170"/>
      <c r="Y42" s="170"/>
      <c r="Z42" s="170"/>
      <c r="AA42" s="170"/>
      <c r="AB42" s="152"/>
      <c r="AC42" s="152"/>
      <c r="AD42" s="152"/>
      <c r="AE42" s="152"/>
      <c r="AF42" s="152"/>
      <c r="AG42" s="152"/>
      <c r="AH42" s="152"/>
      <c r="AI42" s="152"/>
      <c r="AJ42" s="152"/>
      <c r="AK42" s="152"/>
      <c r="AL42" s="152"/>
      <c r="AM42" s="152"/>
      <c r="AN42" s="152"/>
      <c r="AO42" s="152"/>
      <c r="AP42" s="152"/>
      <c r="AQ42" s="152"/>
      <c r="AR42" s="152"/>
      <c r="AS42" s="152"/>
      <c r="AT42" s="152"/>
      <c r="AU42" s="152"/>
      <c r="AV42" s="152"/>
      <c r="AW42" s="152"/>
      <c r="AX42" s="152"/>
      <c r="AY42" s="152"/>
      <c r="AZ42" s="152"/>
      <c r="BA42" s="152"/>
      <c r="BB42" s="152"/>
      <c r="BC42" s="152"/>
      <c r="BD42" s="152"/>
      <c r="BE42" s="152"/>
      <c r="BF42" s="152"/>
      <c r="BG42" s="152"/>
      <c r="BH42" s="152"/>
      <c r="BI42" s="152"/>
    </row>
    <row r="43" spans="1:61" s="68" customFormat="1" ht="16.899999999999999" hidden="1" customHeight="1" outlineLevel="1" x14ac:dyDescent="0.25">
      <c r="A43" s="652"/>
      <c r="B43" s="1147" t="s">
        <v>658</v>
      </c>
      <c r="C43" s="652"/>
      <c r="D43" s="1156">
        <v>200000</v>
      </c>
      <c r="E43" s="304">
        <f>(1-'R&amp;C-Painel de Controle'!$D$58)*F43+('R&amp;C-Painel de Controle'!$D$58)*D43</f>
        <v>270000</v>
      </c>
      <c r="F43" s="1157">
        <v>400000</v>
      </c>
      <c r="G43" s="652"/>
      <c r="H43" s="1156">
        <v>200000</v>
      </c>
      <c r="I43" s="304">
        <f>(1-'R&amp;C-Painel de Controle'!$D$58)*J43+('R&amp;C-Painel de Controle'!$D$58)*H43</f>
        <v>270000</v>
      </c>
      <c r="J43" s="1157">
        <v>400000</v>
      </c>
      <c r="K43" s="652"/>
      <c r="L43" s="1156">
        <v>300000</v>
      </c>
      <c r="M43" s="304">
        <f>(1-'R&amp;C-Painel de Controle'!$D$58)*N43+('R&amp;C-Painel de Controle'!$D$58)*L43</f>
        <v>405000</v>
      </c>
      <c r="N43" s="1157">
        <v>600000</v>
      </c>
      <c r="O43" s="652"/>
      <c r="P43" s="1156">
        <v>300000</v>
      </c>
      <c r="Q43" s="304">
        <f>(1-'R&amp;C-Painel de Controle'!$D$58)*R43+('R&amp;C-Painel de Controle'!$D$58)*P43</f>
        <v>405000</v>
      </c>
      <c r="R43" s="1157">
        <v>600000</v>
      </c>
      <c r="S43" s="652"/>
      <c r="T43" s="1156">
        <v>300000</v>
      </c>
      <c r="U43" s="304">
        <f>(1-'R&amp;C-Painel de Controle'!$D$58)*V43+('R&amp;C-Painel de Controle'!$D$58)*T43</f>
        <v>405000</v>
      </c>
      <c r="V43" s="1157">
        <v>600000</v>
      </c>
      <c r="W43" s="162"/>
      <c r="X43" s="170"/>
      <c r="Y43" s="170"/>
      <c r="Z43" s="170"/>
      <c r="AA43" s="170"/>
      <c r="AB43" s="152"/>
      <c r="AC43" s="152"/>
      <c r="AD43" s="152"/>
      <c r="AE43" s="152"/>
      <c r="AF43" s="152"/>
      <c r="AG43" s="152"/>
      <c r="AH43" s="152"/>
      <c r="AI43" s="152"/>
      <c r="AJ43" s="152"/>
      <c r="AK43" s="152"/>
      <c r="AL43" s="152"/>
      <c r="AM43" s="152"/>
      <c r="AN43" s="152"/>
      <c r="AO43" s="152"/>
      <c r="AP43" s="152"/>
      <c r="AQ43" s="152"/>
      <c r="AR43" s="152"/>
      <c r="AS43" s="152"/>
      <c r="AT43" s="152"/>
      <c r="AU43" s="152"/>
      <c r="AV43" s="152"/>
      <c r="AW43" s="152"/>
      <c r="AX43" s="152"/>
      <c r="AY43" s="152"/>
      <c r="AZ43" s="152"/>
      <c r="BA43" s="152"/>
      <c r="BB43" s="152"/>
      <c r="BC43" s="152"/>
      <c r="BD43" s="152"/>
      <c r="BE43" s="152"/>
      <c r="BF43" s="152"/>
      <c r="BG43" s="152"/>
      <c r="BH43" s="152"/>
      <c r="BI43" s="152"/>
    </row>
    <row r="44" spans="1:61" s="68" customFormat="1" ht="17.649999999999999" customHeight="1" collapsed="1" x14ac:dyDescent="0.25">
      <c r="A44" s="1136"/>
      <c r="B44" s="913" t="s">
        <v>390</v>
      </c>
      <c r="C44" s="1136"/>
      <c r="D44" s="1152"/>
      <c r="E44" s="303" t="str">
        <f>(IF(E$7="SIM",($H$2*E45*'R&amp;C-Painel de Controle'!$D75+$H$2*E46*'R&amp;C-Painel de Controle'!$D$76+$H$2*E47*'R&amp;C-Painel de Controle'!$D$77+$H$2*E48*'R&amp;C-Painel de Controle'!$D$79+$H$2*E49*'R&amp;C-Painel de Controle'!$D$78+'R-Resumo Bal. Massa'!$G$39*313*E50*'R&amp;C-Painel de Controle'!$D$90)/$H$2+2.5,"-"))</f>
        <v>-</v>
      </c>
      <c r="F44" s="1153">
        <v>0.25</v>
      </c>
      <c r="G44" s="1139"/>
      <c r="H44" s="1172"/>
      <c r="I44" s="303" t="str">
        <f>(IF(I$7="SIM",($H$2*I45*'R&amp;C-Painel de Controle'!$D75+$H$2*I46*'R&amp;C-Painel de Controle'!$D$76+$H$2*I47*'R&amp;C-Painel de Controle'!$D$77+$H$2*I48*'R&amp;C-Painel de Controle'!$D$79+$H$2*I49*'R&amp;C-Painel de Controle'!$D$78+'R-Resumo Bal. Massa'!$G$39*313*I50*'R&amp;C-Painel de Controle'!$D$90)/$H$2+2.5,"-"))</f>
        <v>-</v>
      </c>
      <c r="J44" s="1153">
        <f>F44</f>
        <v>0.25</v>
      </c>
      <c r="K44" s="1139"/>
      <c r="L44" s="1172"/>
      <c r="M44" s="303" t="str">
        <f>(IF(M$7="SIM",($H$2*M45*'R&amp;C-Painel de Controle'!$D75+$H$2*M46*'R&amp;C-Painel de Controle'!$D$76+$H$2*M47*'R&amp;C-Painel de Controle'!$D$77+$H$2*M48*'R&amp;C-Painel de Controle'!$D$79+$H$2*M49*'R&amp;C-Painel de Controle'!$D$78+'R-Resumo Bal. Massa'!$G$39*313*M50*'R&amp;C-Painel de Controle'!$D$90)/$H$2+2.5,"-"))</f>
        <v>-</v>
      </c>
      <c r="N44" s="1153">
        <f>J44</f>
        <v>0.25</v>
      </c>
      <c r="O44" s="1139"/>
      <c r="P44" s="1172"/>
      <c r="Q44" s="303" t="str">
        <f>(IF(Q$7="SIM",($H$2*Q45*'R&amp;C-Painel de Controle'!$D75+$H$2*Q46*'R&amp;C-Painel de Controle'!$D$76+$H$2*Q47*'R&amp;C-Painel de Controle'!$D$77+$H$2*Q48*'R&amp;C-Painel de Controle'!$D$79+$H$2*Q49*'R&amp;C-Painel de Controle'!$D$78+'R-Resumo Bal. Massa'!$G$39*313*Q50*'R&amp;C-Painel de Controle'!$D$90)/$H$2+2.5,"-"))</f>
        <v>-</v>
      </c>
      <c r="R44" s="1153">
        <f>N44</f>
        <v>0.25</v>
      </c>
      <c r="S44" s="1139"/>
      <c r="T44" s="1172"/>
      <c r="U44" s="303" t="str">
        <f>(IF(U$7="SIM",($H$2*U45*'R&amp;C-Painel de Controle'!$D75+$H$2*U46*'R&amp;C-Painel de Controle'!$D$76+$H$2*U47*'R&amp;C-Painel de Controle'!$D$77+$H$2*U48*'R&amp;C-Painel de Controle'!$D$79+$H$2*U49*'R&amp;C-Painel de Controle'!$D$78+'R-Resumo Bal. Massa'!$G$39*313*U50*'R&amp;C-Painel de Controle'!$D$90)/$H$2+2.5,"-"))</f>
        <v>-</v>
      </c>
      <c r="V44" s="1153">
        <f>R44</f>
        <v>0.25</v>
      </c>
      <c r="W44" s="1144"/>
      <c r="X44" s="308"/>
      <c r="Y44" s="308"/>
      <c r="Z44" s="308"/>
      <c r="AA44" s="308"/>
      <c r="AB44" s="153"/>
      <c r="AC44" s="153"/>
      <c r="AD44" s="153"/>
      <c r="AE44" s="153"/>
      <c r="AF44" s="153"/>
      <c r="AG44" s="153"/>
      <c r="AH44" s="153"/>
      <c r="AI44" s="153"/>
      <c r="AJ44" s="153"/>
      <c r="AK44" s="153"/>
      <c r="AL44" s="153"/>
      <c r="AM44" s="153"/>
      <c r="AN44" s="153"/>
      <c r="AO44" s="153"/>
      <c r="AP44" s="153"/>
      <c r="AQ44" s="153"/>
      <c r="AR44" s="153"/>
      <c r="AS44" s="153"/>
      <c r="AT44" s="153"/>
      <c r="AU44" s="153"/>
      <c r="AV44" s="153"/>
      <c r="AW44" s="153"/>
      <c r="AX44" s="153"/>
      <c r="AY44" s="153"/>
      <c r="AZ44" s="153"/>
      <c r="BA44" s="153"/>
      <c r="BB44" s="153"/>
      <c r="BC44" s="153"/>
      <c r="BD44" s="153"/>
      <c r="BE44" s="153"/>
      <c r="BF44" s="153"/>
      <c r="BG44" s="153"/>
      <c r="BH44" s="153"/>
      <c r="BI44" s="153"/>
    </row>
    <row r="45" spans="1:61" s="68" customFormat="1" ht="16.899999999999999" hidden="1" customHeight="1" outlineLevel="1" x14ac:dyDescent="0.25">
      <c r="A45" s="652"/>
      <c r="B45" s="1148" t="s">
        <v>891</v>
      </c>
      <c r="C45" s="652"/>
      <c r="D45" s="1470">
        <v>0.2</v>
      </c>
      <c r="E45" s="349">
        <f>(1-'R&amp;C-Painel de Controle'!$D$58)*F45+('R&amp;C-Painel de Controle'!$D$58)*D45</f>
        <v>0.2175</v>
      </c>
      <c r="F45" s="1471">
        <f>D45*(1+F$44)</f>
        <v>0.25</v>
      </c>
      <c r="G45" s="1140"/>
      <c r="H45" s="1161">
        <f t="shared" ref="H45:H50" si="0">D45</f>
        <v>0.2</v>
      </c>
      <c r="I45" s="349">
        <f>(1-'R&amp;C-Painel de Controle'!$D$58)*J45+('R&amp;C-Painel de Controle'!$D$58)*H45</f>
        <v>0.2175</v>
      </c>
      <c r="J45" s="1162">
        <f>H45*(1+J$44)</f>
        <v>0.25</v>
      </c>
      <c r="K45" s="1140"/>
      <c r="L45" s="1161">
        <f t="shared" ref="L45:L50" si="1">H45</f>
        <v>0.2</v>
      </c>
      <c r="M45" s="349">
        <f>(1-'R&amp;C-Painel de Controle'!$D$58)*N45+('R&amp;C-Painel de Controle'!$D$58)*L45</f>
        <v>0.2175</v>
      </c>
      <c r="N45" s="1162">
        <f>L45*(1+N$44)</f>
        <v>0.25</v>
      </c>
      <c r="O45" s="1140"/>
      <c r="P45" s="1161">
        <f t="shared" ref="P45:P50" si="2">L45</f>
        <v>0.2</v>
      </c>
      <c r="Q45" s="349">
        <f>(1-'R&amp;C-Painel de Controle'!$D$58)*R45+('R&amp;C-Painel de Controle'!$D$58)*P45</f>
        <v>0.2175</v>
      </c>
      <c r="R45" s="1162">
        <f>P45*(1+R$44)</f>
        <v>0.25</v>
      </c>
      <c r="S45" s="1140"/>
      <c r="T45" s="1161">
        <f t="shared" ref="T45:T50" si="3">P45</f>
        <v>0.2</v>
      </c>
      <c r="U45" s="349">
        <f>(1-'R&amp;C-Painel de Controle'!$D$58)*V45+('R&amp;C-Painel de Controle'!$D$58)*T45</f>
        <v>0.2175</v>
      </c>
      <c r="V45" s="1162">
        <f>T45*(1+V$44)</f>
        <v>0.25</v>
      </c>
      <c r="W45" s="162"/>
      <c r="X45" s="170"/>
      <c r="Y45" s="170"/>
      <c r="Z45" s="170"/>
      <c r="AA45" s="170"/>
      <c r="AB45" s="152"/>
      <c r="AC45" s="152"/>
      <c r="AD45" s="152"/>
      <c r="AE45" s="152"/>
      <c r="AF45" s="152"/>
      <c r="AG45" s="152"/>
      <c r="AH45" s="152"/>
      <c r="AI45" s="152"/>
      <c r="AJ45" s="152"/>
      <c r="AK45" s="152"/>
      <c r="AL45" s="152"/>
      <c r="AM45" s="152"/>
      <c r="AN45" s="152"/>
      <c r="AO45" s="152"/>
      <c r="AP45" s="152"/>
      <c r="AQ45" s="152"/>
      <c r="AR45" s="152"/>
      <c r="AS45" s="152"/>
      <c r="AT45" s="152"/>
      <c r="AU45" s="152"/>
      <c r="AV45" s="152"/>
      <c r="AW45" s="152"/>
      <c r="AX45" s="152"/>
      <c r="AY45" s="152"/>
      <c r="AZ45" s="152"/>
      <c r="BA45" s="152"/>
      <c r="BB45" s="152"/>
      <c r="BC45" s="152"/>
      <c r="BD45" s="152"/>
      <c r="BE45" s="152"/>
      <c r="BF45" s="152"/>
      <c r="BG45" s="152"/>
      <c r="BH45" s="152"/>
      <c r="BI45" s="152"/>
    </row>
    <row r="46" spans="1:61" s="68" customFormat="1" ht="16.899999999999999" hidden="1" customHeight="1" outlineLevel="1" x14ac:dyDescent="0.25">
      <c r="A46" s="652"/>
      <c r="B46" s="1148" t="s">
        <v>892</v>
      </c>
      <c r="C46" s="652"/>
      <c r="D46" s="1819">
        <v>16.524999999999999</v>
      </c>
      <c r="E46" s="349">
        <f>(1-'R&amp;C-Painel de Controle'!$D$58)*F46+('R&amp;C-Painel de Controle'!$D$58)*D46</f>
        <v>17.970937499999998</v>
      </c>
      <c r="F46" s="1158">
        <f>D46*(1+F$44)</f>
        <v>20.65625</v>
      </c>
      <c r="G46" s="1140"/>
      <c r="H46" s="1819">
        <f t="shared" si="0"/>
        <v>16.524999999999999</v>
      </c>
      <c r="I46" s="349">
        <f>(1-'R&amp;C-Painel de Controle'!$D$58)*J46+('R&amp;C-Painel de Controle'!$D$58)*H46</f>
        <v>17.970937499999998</v>
      </c>
      <c r="J46" s="1158">
        <f>H46*(1+J$44)</f>
        <v>20.65625</v>
      </c>
      <c r="K46" s="1140"/>
      <c r="L46" s="1819">
        <f t="shared" si="1"/>
        <v>16.524999999999999</v>
      </c>
      <c r="M46" s="349">
        <f>(1-'R&amp;C-Painel de Controle'!$D$58)*N46+('R&amp;C-Painel de Controle'!$D$58)*L46</f>
        <v>17.970937499999998</v>
      </c>
      <c r="N46" s="1158">
        <f>L46*(1+N$44)</f>
        <v>20.65625</v>
      </c>
      <c r="O46" s="1140"/>
      <c r="P46" s="1819">
        <f t="shared" si="2"/>
        <v>16.524999999999999</v>
      </c>
      <c r="Q46" s="349">
        <f>(1-'R&amp;C-Painel de Controle'!$D$58)*R46+('R&amp;C-Painel de Controle'!$D$58)*P46</f>
        <v>17.970937499999998</v>
      </c>
      <c r="R46" s="1158">
        <f>P46*(1+R$44)</f>
        <v>20.65625</v>
      </c>
      <c r="S46" s="1140"/>
      <c r="T46" s="1819">
        <f t="shared" si="3"/>
        <v>16.524999999999999</v>
      </c>
      <c r="U46" s="349">
        <f>(1-'R&amp;C-Painel de Controle'!$D$58)*V46+('R&amp;C-Painel de Controle'!$D$58)*T46</f>
        <v>17.970937499999998</v>
      </c>
      <c r="V46" s="1158">
        <f>T46*(1+V$44)</f>
        <v>20.65625</v>
      </c>
      <c r="W46" s="162"/>
      <c r="X46" s="170"/>
      <c r="Y46" s="170"/>
      <c r="Z46" s="170"/>
      <c r="AA46" s="170"/>
      <c r="AB46" s="152"/>
      <c r="AC46" s="152"/>
      <c r="AD46" s="152"/>
      <c r="AE46" s="152"/>
      <c r="AF46" s="152"/>
      <c r="AG46" s="152"/>
      <c r="AH46" s="152"/>
      <c r="AI46" s="152"/>
      <c r="AJ46" s="152"/>
      <c r="AK46" s="152"/>
      <c r="AL46" s="152"/>
      <c r="AM46" s="152"/>
      <c r="AN46" s="152"/>
      <c r="AO46" s="152"/>
      <c r="AP46" s="152"/>
      <c r="AQ46" s="152"/>
      <c r="AR46" s="152"/>
      <c r="AS46" s="152"/>
      <c r="AT46" s="152"/>
      <c r="AU46" s="152"/>
      <c r="AV46" s="152"/>
      <c r="AW46" s="152"/>
      <c r="AX46" s="152"/>
      <c r="AY46" s="152"/>
      <c r="AZ46" s="152"/>
      <c r="BA46" s="152"/>
      <c r="BB46" s="152"/>
      <c r="BC46" s="152"/>
      <c r="BD46" s="152"/>
      <c r="BE46" s="152"/>
      <c r="BF46" s="152"/>
      <c r="BG46" s="152"/>
      <c r="BH46" s="152"/>
      <c r="BI46" s="152"/>
    </row>
    <row r="47" spans="1:61" s="68" customFormat="1" ht="16.899999999999999" hidden="1" customHeight="1" outlineLevel="1" x14ac:dyDescent="0.25">
      <c r="A47" s="652"/>
      <c r="B47" s="1148" t="s">
        <v>893</v>
      </c>
      <c r="C47" s="652"/>
      <c r="D47" s="1822">
        <v>0.214</v>
      </c>
      <c r="E47" s="1472">
        <f>(1-'R&amp;C-Painel de Controle'!$D$58)*F47+('R&amp;C-Painel de Controle'!$D$58)*D47</f>
        <v>0.23272500000000002</v>
      </c>
      <c r="F47" s="1823">
        <f>D47*(1+F$44)</f>
        <v>0.26750000000000002</v>
      </c>
      <c r="G47" s="1140"/>
      <c r="H47" s="1819">
        <f t="shared" si="0"/>
        <v>0.214</v>
      </c>
      <c r="I47" s="1472">
        <f>(1-'R&amp;C-Painel de Controle'!$D$58)*J47+('R&amp;C-Painel de Controle'!$D$58)*H47</f>
        <v>0.23272500000000002</v>
      </c>
      <c r="J47" s="1158">
        <f>H47*(1+J$44)</f>
        <v>0.26750000000000002</v>
      </c>
      <c r="K47" s="1140"/>
      <c r="L47" s="1819">
        <f t="shared" si="1"/>
        <v>0.214</v>
      </c>
      <c r="M47" s="1472">
        <f>(1-'R&amp;C-Painel de Controle'!$D$58)*N47+('R&amp;C-Painel de Controle'!$D$58)*L47</f>
        <v>0.23272500000000002</v>
      </c>
      <c r="N47" s="1158">
        <f>L47*(1+N$44)</f>
        <v>0.26750000000000002</v>
      </c>
      <c r="O47" s="1140"/>
      <c r="P47" s="1819">
        <f t="shared" si="2"/>
        <v>0.214</v>
      </c>
      <c r="Q47" s="1472">
        <f>(1-'R&amp;C-Painel de Controle'!$D$58)*R47+('R&amp;C-Painel de Controle'!$D$58)*P47</f>
        <v>0.23272500000000002</v>
      </c>
      <c r="R47" s="1158">
        <f>P47*(1+R$44)</f>
        <v>0.26750000000000002</v>
      </c>
      <c r="S47" s="1140"/>
      <c r="T47" s="1819">
        <f t="shared" si="3"/>
        <v>0.214</v>
      </c>
      <c r="U47" s="1472">
        <f>(1-'R&amp;C-Painel de Controle'!$D$58)*V47+('R&amp;C-Painel de Controle'!$D$58)*T47</f>
        <v>0.23272500000000002</v>
      </c>
      <c r="V47" s="1158">
        <f>T47*(1+V$44)</f>
        <v>0.26750000000000002</v>
      </c>
      <c r="W47" s="162"/>
      <c r="X47" s="170"/>
      <c r="Y47" s="170"/>
      <c r="Z47" s="170"/>
      <c r="AA47" s="170"/>
      <c r="AB47" s="152"/>
      <c r="AC47" s="152"/>
      <c r="AD47" s="152"/>
      <c r="AE47" s="152"/>
      <c r="AF47" s="152"/>
      <c r="AG47" s="152"/>
      <c r="AH47" s="152"/>
      <c r="AI47" s="152"/>
      <c r="AJ47" s="152"/>
      <c r="AK47" s="152"/>
      <c r="AL47" s="152"/>
      <c r="AM47" s="152"/>
      <c r="AN47" s="152"/>
      <c r="AO47" s="152"/>
      <c r="AP47" s="152"/>
      <c r="AQ47" s="152"/>
      <c r="AR47" s="152"/>
      <c r="AS47" s="152"/>
      <c r="AT47" s="152"/>
      <c r="AU47" s="152"/>
      <c r="AV47" s="152"/>
      <c r="AW47" s="152"/>
      <c r="AX47" s="152"/>
      <c r="AY47" s="152"/>
      <c r="AZ47" s="152"/>
      <c r="BA47" s="152"/>
      <c r="BB47" s="152"/>
      <c r="BC47" s="152"/>
      <c r="BD47" s="152"/>
      <c r="BE47" s="152"/>
      <c r="BF47" s="152"/>
      <c r="BG47" s="152"/>
      <c r="BH47" s="152"/>
      <c r="BI47" s="152"/>
    </row>
    <row r="48" spans="1:61" s="68" customFormat="1" ht="16.899999999999999" hidden="1" customHeight="1" outlineLevel="1" x14ac:dyDescent="0.25">
      <c r="A48" s="652"/>
      <c r="B48" s="1148" t="s">
        <v>890</v>
      </c>
      <c r="C48" s="652"/>
      <c r="D48" s="1161">
        <v>0.2</v>
      </c>
      <c r="E48" s="349">
        <f>(1-'R&amp;C-Painel de Controle'!$D$58)*F48+('R&amp;C-Painel de Controle'!$D$58)*D48</f>
        <v>0.22275</v>
      </c>
      <c r="F48" s="1162">
        <f>D48*(1+F$44+0.075)</f>
        <v>0.26500000000000001</v>
      </c>
      <c r="G48" s="1140"/>
      <c r="H48" s="1161">
        <f t="shared" si="0"/>
        <v>0.2</v>
      </c>
      <c r="I48" s="349">
        <f>(1-'R&amp;C-Painel de Controle'!$D$58)*J48+('R&amp;C-Painel de Controle'!$D$58)*H48</f>
        <v>0.22275</v>
      </c>
      <c r="J48" s="1162">
        <f>H48*(1+J$44+0.075)</f>
        <v>0.26500000000000001</v>
      </c>
      <c r="K48" s="1140"/>
      <c r="L48" s="1161">
        <f t="shared" si="1"/>
        <v>0.2</v>
      </c>
      <c r="M48" s="349">
        <f>(1-'R&amp;C-Painel de Controle'!$D$58)*N48+('R&amp;C-Painel de Controle'!$D$58)*L48</f>
        <v>0.22275</v>
      </c>
      <c r="N48" s="1162">
        <f>L48*(1+N$44+0.075)</f>
        <v>0.26500000000000001</v>
      </c>
      <c r="O48" s="1140"/>
      <c r="P48" s="1161">
        <f t="shared" si="2"/>
        <v>0.2</v>
      </c>
      <c r="Q48" s="349">
        <f>(1-'R&amp;C-Painel de Controle'!$D$58)*R48+('R&amp;C-Painel de Controle'!$D$58)*P48</f>
        <v>0.22275</v>
      </c>
      <c r="R48" s="1162">
        <f>P48*(1+R$44+0.075)</f>
        <v>0.26500000000000001</v>
      </c>
      <c r="S48" s="1140"/>
      <c r="T48" s="1161">
        <f t="shared" si="3"/>
        <v>0.2</v>
      </c>
      <c r="U48" s="349">
        <f>(1-'R&amp;C-Painel de Controle'!$D$58)*V48+('R&amp;C-Painel de Controle'!$D$58)*T48</f>
        <v>0.22275</v>
      </c>
      <c r="V48" s="1162">
        <f>T48*(1+V$44+0.075)</f>
        <v>0.26500000000000001</v>
      </c>
      <c r="W48" s="162"/>
      <c r="X48" s="170"/>
      <c r="Y48" s="170"/>
      <c r="Z48" s="170"/>
      <c r="AA48" s="170"/>
      <c r="AB48" s="152"/>
      <c r="AC48" s="152"/>
      <c r="AD48" s="152"/>
      <c r="AE48" s="152"/>
      <c r="AF48" s="152"/>
      <c r="AG48" s="152"/>
      <c r="AH48" s="152"/>
      <c r="AI48" s="152"/>
      <c r="AJ48" s="152"/>
      <c r="AK48" s="152"/>
      <c r="AL48" s="152"/>
      <c r="AM48" s="152"/>
      <c r="AN48" s="152"/>
      <c r="AO48" s="152"/>
      <c r="AP48" s="152"/>
      <c r="AQ48" s="152"/>
      <c r="AR48" s="152"/>
      <c r="AS48" s="152"/>
      <c r="AT48" s="152"/>
      <c r="AU48" s="152"/>
      <c r="AV48" s="152"/>
      <c r="AW48" s="152"/>
      <c r="AX48" s="152"/>
      <c r="AY48" s="152"/>
      <c r="AZ48" s="152"/>
      <c r="BA48" s="152"/>
      <c r="BB48" s="152"/>
      <c r="BC48" s="152"/>
      <c r="BD48" s="152"/>
      <c r="BE48" s="152"/>
      <c r="BF48" s="152"/>
      <c r="BG48" s="152"/>
      <c r="BH48" s="152"/>
      <c r="BI48" s="152"/>
    </row>
    <row r="49" spans="1:61" s="68" customFormat="1" ht="16.899999999999999" hidden="1" customHeight="1" outlineLevel="1" x14ac:dyDescent="0.25">
      <c r="A49" s="652"/>
      <c r="B49" s="1148" t="s">
        <v>1022</v>
      </c>
      <c r="C49" s="652"/>
      <c r="D49" s="1819">
        <v>0.61199999999999999</v>
      </c>
      <c r="E49" s="349">
        <f>(1-'R&amp;C-Painel de Controle'!$D$58)*F49+('R&amp;C-Painel de Controle'!$D$58)*D49</f>
        <v>0.68161499999999997</v>
      </c>
      <c r="F49" s="1158">
        <f>D49*(1+F$44+0.075)</f>
        <v>0.81089999999999995</v>
      </c>
      <c r="G49" s="1140"/>
      <c r="H49" s="1819">
        <f t="shared" si="0"/>
        <v>0.61199999999999999</v>
      </c>
      <c r="I49" s="349">
        <f>(1-'R&amp;C-Painel de Controle'!$D$58)*J49+('R&amp;C-Painel de Controle'!$D$58)*H49</f>
        <v>0.68161499999999997</v>
      </c>
      <c r="J49" s="1158">
        <f>H49*(1+J$44+0.075)</f>
        <v>0.81089999999999995</v>
      </c>
      <c r="K49" s="1140"/>
      <c r="L49" s="1819">
        <f t="shared" si="1"/>
        <v>0.61199999999999999</v>
      </c>
      <c r="M49" s="349">
        <f>(1-'R&amp;C-Painel de Controle'!$D$58)*N49+('R&amp;C-Painel de Controle'!$D$58)*L49</f>
        <v>0.68161499999999997</v>
      </c>
      <c r="N49" s="1158">
        <f>L49*(1+N$44+0.075)</f>
        <v>0.81089999999999995</v>
      </c>
      <c r="O49" s="1140"/>
      <c r="P49" s="1819">
        <f t="shared" si="2"/>
        <v>0.61199999999999999</v>
      </c>
      <c r="Q49" s="349">
        <f>(1-'R&amp;C-Painel de Controle'!$D$58)*R49+('R&amp;C-Painel de Controle'!$D$58)*P49</f>
        <v>0.68161499999999997</v>
      </c>
      <c r="R49" s="1158">
        <f>P49*(1+R$44+0.075)</f>
        <v>0.81089999999999995</v>
      </c>
      <c r="S49" s="1140"/>
      <c r="T49" s="1819">
        <f t="shared" si="3"/>
        <v>0.61199999999999999</v>
      </c>
      <c r="U49" s="349">
        <f>(1-'R&amp;C-Painel de Controle'!$D$58)*V49+('R&amp;C-Painel de Controle'!$D$58)*T49</f>
        <v>0.68161499999999997</v>
      </c>
      <c r="V49" s="1158">
        <f>T49*(1+V$44+0.075)</f>
        <v>0.81089999999999995</v>
      </c>
      <c r="W49" s="162"/>
      <c r="X49" s="170"/>
      <c r="Y49" s="170"/>
      <c r="Z49" s="170"/>
      <c r="AA49" s="170"/>
      <c r="AB49" s="152"/>
      <c r="AC49" s="152"/>
      <c r="AD49" s="152"/>
      <c r="AE49" s="152"/>
      <c r="AF49" s="152"/>
      <c r="AG49" s="152"/>
      <c r="AH49" s="152"/>
      <c r="AI49" s="152"/>
      <c r="AJ49" s="152"/>
      <c r="AK49" s="152"/>
      <c r="AL49" s="152"/>
      <c r="AM49" s="152"/>
      <c r="AN49" s="152"/>
      <c r="AO49" s="152"/>
      <c r="AP49" s="152"/>
      <c r="AQ49" s="152"/>
      <c r="AR49" s="152"/>
      <c r="AS49" s="152"/>
      <c r="AT49" s="152"/>
      <c r="AU49" s="152"/>
      <c r="AV49" s="152"/>
      <c r="AW49" s="152"/>
      <c r="AX49" s="152"/>
      <c r="AY49" s="152"/>
      <c r="AZ49" s="152"/>
      <c r="BA49" s="152"/>
      <c r="BB49" s="152"/>
      <c r="BC49" s="152"/>
      <c r="BD49" s="152"/>
      <c r="BE49" s="152"/>
      <c r="BF49" s="152"/>
      <c r="BG49" s="152"/>
      <c r="BH49" s="152"/>
      <c r="BI49" s="152"/>
    </row>
    <row r="50" spans="1:61" s="68" customFormat="1" ht="16.899999999999999" hidden="1" customHeight="1" outlineLevel="1" x14ac:dyDescent="0.25">
      <c r="A50" s="1136"/>
      <c r="B50" s="1148" t="s">
        <v>401</v>
      </c>
      <c r="C50" s="652"/>
      <c r="D50" s="1159">
        <v>0.2</v>
      </c>
      <c r="E50" s="346">
        <f>(1-'R&amp;C-Painel de Controle'!$D$58)*F50+('R&amp;C-Painel de Controle'!$D$58)*D50</f>
        <v>0.2175</v>
      </c>
      <c r="F50" s="1163">
        <f>D50*(1+F$44)</f>
        <v>0.25</v>
      </c>
      <c r="G50" s="766"/>
      <c r="H50" s="1173">
        <f t="shared" si="0"/>
        <v>0.2</v>
      </c>
      <c r="I50" s="346">
        <f>(1-'R&amp;C-Painel de Controle'!$D$58)*J50+('R&amp;C-Painel de Controle'!$D$58)*H50</f>
        <v>0.2175</v>
      </c>
      <c r="J50" s="1163">
        <f>H50*(1+J$44)</f>
        <v>0.25</v>
      </c>
      <c r="K50" s="766"/>
      <c r="L50" s="1173">
        <f t="shared" si="1"/>
        <v>0.2</v>
      </c>
      <c r="M50" s="346">
        <f>(1-'R&amp;C-Painel de Controle'!$D$58)*N50+('R&amp;C-Painel de Controle'!$D$58)*L50</f>
        <v>0.2175</v>
      </c>
      <c r="N50" s="1163">
        <f>L50*(1+N$44)</f>
        <v>0.25</v>
      </c>
      <c r="O50" s="766"/>
      <c r="P50" s="1173">
        <f t="shared" si="2"/>
        <v>0.2</v>
      </c>
      <c r="Q50" s="346">
        <f>(1-'R&amp;C-Painel de Controle'!$D$58)*R50+('R&amp;C-Painel de Controle'!$D$58)*P50</f>
        <v>0.2175</v>
      </c>
      <c r="R50" s="1153">
        <v>0.25</v>
      </c>
      <c r="S50" s="766"/>
      <c r="T50" s="1173">
        <f t="shared" si="3"/>
        <v>0.2</v>
      </c>
      <c r="U50" s="346">
        <f>(1-'R&amp;C-Painel de Controle'!$D$58)*V50+('R&amp;C-Painel de Controle'!$D$58)*T50</f>
        <v>0.2175</v>
      </c>
      <c r="V50" s="1153">
        <v>0.25</v>
      </c>
      <c r="W50" s="1144"/>
      <c r="X50" s="308"/>
      <c r="Y50" s="308"/>
      <c r="Z50" s="308"/>
      <c r="AA50" s="308"/>
      <c r="AB50" s="153"/>
      <c r="AC50" s="153"/>
      <c r="AD50" s="153"/>
      <c r="AE50" s="153"/>
      <c r="AF50" s="153"/>
      <c r="AG50" s="153"/>
      <c r="AH50" s="153"/>
      <c r="AI50" s="153"/>
      <c r="AJ50" s="153"/>
      <c r="AK50" s="153"/>
      <c r="AL50" s="153"/>
      <c r="AM50" s="153"/>
      <c r="AN50" s="153"/>
      <c r="AO50" s="153"/>
      <c r="AP50" s="153"/>
      <c r="AQ50" s="153"/>
      <c r="AR50" s="153"/>
      <c r="AS50" s="153"/>
      <c r="AT50" s="153"/>
      <c r="AU50" s="153"/>
      <c r="AV50" s="153"/>
      <c r="AW50" s="153"/>
      <c r="AX50" s="153"/>
      <c r="AY50" s="153"/>
      <c r="AZ50" s="153"/>
      <c r="BA50" s="153"/>
      <c r="BB50" s="153"/>
      <c r="BC50" s="153"/>
      <c r="BD50" s="153"/>
      <c r="BE50" s="153"/>
      <c r="BF50" s="153"/>
      <c r="BG50" s="153"/>
      <c r="BH50" s="153"/>
      <c r="BI50" s="153"/>
    </row>
    <row r="51" spans="1:61" s="1121" customFormat="1" ht="19.899999999999999" customHeight="1" x14ac:dyDescent="0.3">
      <c r="A51" s="1137"/>
      <c r="B51" s="1149" t="s">
        <v>386</v>
      </c>
      <c r="C51" s="1137"/>
      <c r="D51" s="1481">
        <v>2.5000000000000001E-2</v>
      </c>
      <c r="E51" s="1118" t="str">
        <f>(IF(E$7="SIM",(1-'R&amp;C-Painel de Controle'!$D$58)*(E29+E34+E37+E40+E44)*(1+F51)+('R&amp;C-Painel de Controle'!$D$58)*(E29+E34+E37+E40+E44)*(1+D51),"-"))</f>
        <v>-</v>
      </c>
      <c r="F51" s="1164">
        <v>0.05</v>
      </c>
      <c r="G51" s="1142"/>
      <c r="H51" s="1481">
        <v>2.5000000000000001E-2</v>
      </c>
      <c r="I51" s="1118" t="str">
        <f>(IF(I$7="SIM",(1-'R&amp;C-Painel de Controle'!$D$58)*(I29+I34+I37+I40+I44)*(1+J51)+('R&amp;C-Painel de Controle'!$D$58)*(I29+I34+I37+I40+I44)*(1+H51),"-"))</f>
        <v>-</v>
      </c>
      <c r="J51" s="1164">
        <v>0.1</v>
      </c>
      <c r="K51" s="1142"/>
      <c r="L51" s="1481">
        <v>2.5000000000000001E-2</v>
      </c>
      <c r="M51" s="1118" t="str">
        <f>(IF(M$7="SIM",(1-'R&amp;C-Painel de Controle'!$D$58)*(M29+M34+M37+M40+M44)*(1+N51)+('R&amp;C-Painel de Controle'!$D$58)*(M29+M34+M37+M40+M44)*(1+L51),"-"))</f>
        <v>-</v>
      </c>
      <c r="N51" s="1164">
        <v>0.1</v>
      </c>
      <c r="O51" s="1142"/>
      <c r="P51" s="1481">
        <v>2.5000000000000001E-2</v>
      </c>
      <c r="Q51" s="1118" t="str">
        <f>(IF(Q$7="SIM",(1-'R&amp;C-Painel de Controle'!$D$58)*(Q29+Q34+Q37+Q40+Q44)*(1+R51)+('R&amp;C-Painel de Controle'!$D$58)*(Q29+Q34+Q37+Q40+Q44)*(1+P51),"-"))</f>
        <v>-</v>
      </c>
      <c r="R51" s="1164">
        <v>0.1</v>
      </c>
      <c r="S51" s="1142"/>
      <c r="T51" s="1481">
        <v>2.5000000000000001E-2</v>
      </c>
      <c r="U51" s="1118" t="str">
        <f>(IF(U$7="SIM",(1-'R&amp;C-Painel de Controle'!$D$58)*(U29+U34+U37+U40+U44)*(1+V51)+('R&amp;C-Painel de Controle'!$D$58)*(U29+U34+U37+U40+U44)*(1+T51),"-"))</f>
        <v>-</v>
      </c>
      <c r="V51" s="1164">
        <v>0.1</v>
      </c>
      <c r="W51" s="1145"/>
      <c r="X51" s="1119"/>
      <c r="Y51" s="1119"/>
      <c r="Z51" s="1119"/>
      <c r="AA51" s="1119"/>
      <c r="AB51" s="1120"/>
      <c r="AC51" s="1120"/>
      <c r="AD51" s="1120"/>
      <c r="AE51" s="1120"/>
      <c r="AF51" s="1120"/>
      <c r="AG51" s="1120"/>
      <c r="AH51" s="1120"/>
      <c r="AI51" s="1120"/>
      <c r="AJ51" s="1120"/>
      <c r="AK51" s="1120"/>
      <c r="AL51" s="1120"/>
      <c r="AM51" s="1120"/>
      <c r="AN51" s="1120"/>
      <c r="AO51" s="1120"/>
      <c r="AP51" s="1120"/>
      <c r="AQ51" s="1120"/>
      <c r="AR51" s="1120"/>
      <c r="AS51" s="1120"/>
      <c r="AT51" s="1120"/>
      <c r="AU51" s="1120"/>
      <c r="AV51" s="1120"/>
      <c r="AW51" s="1120"/>
      <c r="AX51" s="1120"/>
      <c r="AY51" s="1120"/>
      <c r="AZ51" s="1120"/>
      <c r="BA51" s="1120"/>
      <c r="BB51" s="1120"/>
      <c r="BC51" s="1120"/>
      <c r="BD51" s="1120"/>
      <c r="BE51" s="1120"/>
      <c r="BF51" s="1120"/>
      <c r="BG51" s="1120"/>
      <c r="BH51" s="1120"/>
      <c r="BI51" s="1120"/>
    </row>
    <row r="52" spans="1:61" s="1121" customFormat="1" ht="19.899999999999999" customHeight="1" x14ac:dyDescent="0.3">
      <c r="A52" s="1137"/>
      <c r="B52" s="1149" t="s">
        <v>387</v>
      </c>
      <c r="C52" s="1137"/>
      <c r="D52" s="1165"/>
      <c r="E52" s="1122" t="str">
        <f>(IF(E$7="SIM",E51*$H$2/1000000,"-"))</f>
        <v>-</v>
      </c>
      <c r="F52" s="1166"/>
      <c r="G52" s="1137"/>
      <c r="H52" s="1165"/>
      <c r="I52" s="1122" t="str">
        <f>(IF(I$7="SIM",I51*$H$2/1000000,"-"))</f>
        <v>-</v>
      </c>
      <c r="J52" s="1166"/>
      <c r="K52" s="1137"/>
      <c r="L52" s="1165"/>
      <c r="M52" s="1122" t="str">
        <f>(IF(M$7="SIM",M51*$H$2/1000000,"-"))</f>
        <v>-</v>
      </c>
      <c r="N52" s="1166"/>
      <c r="O52" s="1137"/>
      <c r="P52" s="1165"/>
      <c r="Q52" s="1122" t="str">
        <f>(IF(Q$7="SIM",Q51*$H$2/1000000,"-"))</f>
        <v>-</v>
      </c>
      <c r="R52" s="1166"/>
      <c r="S52" s="1137"/>
      <c r="T52" s="1165"/>
      <c r="U52" s="1122" t="str">
        <f>(IF(U$7="SIM",U51*$H$2/1000000,"-"))</f>
        <v>-</v>
      </c>
      <c r="V52" s="1166"/>
      <c r="W52" s="1145"/>
      <c r="X52" s="1119"/>
      <c r="Y52" s="1119"/>
      <c r="Z52" s="1119"/>
      <c r="AA52" s="1119"/>
      <c r="AB52" s="1120"/>
      <c r="AC52" s="1120"/>
      <c r="AD52" s="1120"/>
      <c r="AE52" s="1120"/>
      <c r="AF52" s="1120"/>
      <c r="AG52" s="1120"/>
      <c r="AH52" s="1120"/>
      <c r="AI52" s="1120"/>
      <c r="AJ52" s="1120"/>
      <c r="AK52" s="1120"/>
      <c r="AL52" s="1120"/>
      <c r="AM52" s="1120"/>
      <c r="AN52" s="1120"/>
      <c r="AO52" s="1120"/>
      <c r="AP52" s="1120"/>
      <c r="AQ52" s="1120"/>
      <c r="AR52" s="1120"/>
      <c r="AS52" s="1120"/>
      <c r="AT52" s="1120"/>
      <c r="AU52" s="1120"/>
      <c r="AV52" s="1120"/>
      <c r="AW52" s="1120"/>
      <c r="AX52" s="1120"/>
      <c r="AY52" s="1120"/>
      <c r="AZ52" s="1120"/>
      <c r="BA52" s="1120"/>
      <c r="BB52" s="1120"/>
      <c r="BC52" s="1120"/>
      <c r="BD52" s="1120"/>
      <c r="BE52" s="1120"/>
      <c r="BF52" s="1120"/>
      <c r="BG52" s="1120"/>
      <c r="BH52" s="1120"/>
      <c r="BI52" s="1120"/>
    </row>
    <row r="53" spans="1:61" s="1116" customFormat="1" ht="16.899999999999999" customHeight="1" x14ac:dyDescent="0.25">
      <c r="A53" s="1138"/>
      <c r="B53" s="1150" t="s">
        <v>388</v>
      </c>
      <c r="C53" s="1138"/>
      <c r="D53" s="1167"/>
      <c r="E53" s="1132" t="str">
        <f>(IF(E$7="SIM",(((E29*$H$2/12)+(E36/1000*'R&amp;C-Painel de Controle'!$D$69*12)+(E39*12)+((E41*E42)+E43)*12))/1000000,"-"))</f>
        <v>-</v>
      </c>
      <c r="F53" s="1168"/>
      <c r="G53" s="1138"/>
      <c r="H53" s="1167"/>
      <c r="I53" s="1132" t="str">
        <f>(IF(I$7="SIM",(((I29*$H$2/12)+(I36/1000*'R&amp;C-Painel de Controle'!$D$69*12)+(I39*12)+((I41*I42)+I43)*12))/1000000,"-"))</f>
        <v>-</v>
      </c>
      <c r="J53" s="1168"/>
      <c r="K53" s="1138"/>
      <c r="L53" s="1167"/>
      <c r="M53" s="1132" t="str">
        <f>(IF(M$7="SIM",(((M29*$H$2/12)+(M36/1000*'R&amp;C-Painel de Controle'!$D$69*12)+(M39*12)+((M41*M42)+M43)*12))/1000000,"-"))</f>
        <v>-</v>
      </c>
      <c r="N53" s="1168"/>
      <c r="O53" s="1138"/>
      <c r="P53" s="1167"/>
      <c r="Q53" s="1132" t="str">
        <f>(IF(Q$7="SIM",(((Q29*$H$2/12)+(Q36/1000*'R&amp;C-Painel de Controle'!$D$69*12)+(Q39*12)+((Q41*Q42)+Q43)*12))/1000000,"-"))</f>
        <v>-</v>
      </c>
      <c r="R53" s="1168"/>
      <c r="S53" s="1138"/>
      <c r="T53" s="1167"/>
      <c r="U53" s="1132" t="str">
        <f>(IF(U$7="SIM",(((U29*$H$2/12)+(U36/1000*'R&amp;C-Painel de Controle'!$D$69*12)+(U39*12)+((U41*U42)+U43)*12))/1000000,"-"))</f>
        <v>-</v>
      </c>
      <c r="V53" s="1168"/>
      <c r="W53" s="1146"/>
      <c r="X53" s="1128"/>
      <c r="Y53" s="1128"/>
      <c r="Z53" s="1128"/>
      <c r="AA53" s="1128"/>
      <c r="AB53" s="1117"/>
      <c r="AC53" s="1117"/>
      <c r="AD53" s="1117"/>
      <c r="AE53" s="1117"/>
      <c r="AF53" s="1117"/>
      <c r="AG53" s="1117"/>
      <c r="AH53" s="1117"/>
      <c r="AI53" s="1117"/>
      <c r="AJ53" s="1117"/>
      <c r="AK53" s="1117"/>
      <c r="AL53" s="1117"/>
      <c r="AM53" s="1117"/>
      <c r="AN53" s="1117"/>
      <c r="AO53" s="1117"/>
      <c r="AP53" s="1117"/>
      <c r="AQ53" s="1117"/>
      <c r="AR53" s="1117"/>
      <c r="AS53" s="1117"/>
      <c r="AT53" s="1117"/>
      <c r="AU53" s="1117"/>
      <c r="AV53" s="1117"/>
      <c r="AW53" s="1117"/>
      <c r="AX53" s="1117"/>
      <c r="AY53" s="1117"/>
      <c r="AZ53" s="1117"/>
      <c r="BA53" s="1117"/>
      <c r="BB53" s="1117"/>
      <c r="BC53" s="1117"/>
      <c r="BD53" s="1117"/>
      <c r="BE53" s="1117"/>
      <c r="BF53" s="1117"/>
      <c r="BG53" s="1117"/>
      <c r="BH53" s="1117"/>
      <c r="BI53" s="1117"/>
    </row>
    <row r="54" spans="1:61" s="1116" customFormat="1" ht="16.899999999999999" customHeight="1" thickBot="1" x14ac:dyDescent="0.3">
      <c r="A54" s="1138"/>
      <c r="B54" s="1151" t="s">
        <v>389</v>
      </c>
      <c r="C54" s="1138"/>
      <c r="D54" s="1169"/>
      <c r="E54" s="1170" t="str">
        <f>(IF(E$7="SIM",((E52-E53)*1000000)/$H$2,"-"))</f>
        <v>-</v>
      </c>
      <c r="F54" s="1171"/>
      <c r="G54" s="1138"/>
      <c r="H54" s="1169"/>
      <c r="I54" s="1170" t="str">
        <f>(IF(I$7="SIM",((I52-I53)*1000000)/$H$2,"-"))</f>
        <v>-</v>
      </c>
      <c r="J54" s="1171"/>
      <c r="K54" s="1138"/>
      <c r="L54" s="1169"/>
      <c r="M54" s="1170" t="str">
        <f>(IF(M$7="SIM",((M52-M53)*1000000)/$H$2,"-"))</f>
        <v>-</v>
      </c>
      <c r="N54" s="1171"/>
      <c r="O54" s="1138"/>
      <c r="P54" s="1169"/>
      <c r="Q54" s="1170" t="str">
        <f>(IF(Q$7="SIM",((Q52-Q53)*1000000)/$H$2,"-"))</f>
        <v>-</v>
      </c>
      <c r="R54" s="1171"/>
      <c r="S54" s="1138"/>
      <c r="T54" s="1169"/>
      <c r="U54" s="1170" t="str">
        <f>(IF(U$7="SIM",((U52-U53)*1000000)/$H$2,"-"))</f>
        <v>-</v>
      </c>
      <c r="V54" s="1171"/>
      <c r="W54" s="1146"/>
      <c r="X54" s="1128"/>
      <c r="Y54" s="1128"/>
      <c r="Z54" s="1128"/>
      <c r="AA54" s="1128"/>
      <c r="AB54" s="1117"/>
      <c r="AC54" s="1117"/>
      <c r="AD54" s="1117"/>
      <c r="AE54" s="1117"/>
      <c r="AF54" s="1117"/>
      <c r="AG54" s="1117"/>
      <c r="AH54" s="1117"/>
      <c r="AI54" s="1117"/>
      <c r="AJ54" s="1117"/>
      <c r="AK54" s="1117"/>
      <c r="AL54" s="1117"/>
      <c r="AM54" s="1117"/>
      <c r="AN54" s="1117"/>
      <c r="AO54" s="1117"/>
      <c r="AP54" s="1117"/>
      <c r="AQ54" s="1117"/>
      <c r="AR54" s="1117"/>
      <c r="AS54" s="1117"/>
      <c r="AT54" s="1117"/>
      <c r="AU54" s="1117"/>
      <c r="AV54" s="1117"/>
      <c r="AW54" s="1117"/>
      <c r="AX54" s="1117"/>
      <c r="AY54" s="1117"/>
      <c r="AZ54" s="1117"/>
      <c r="BA54" s="1117"/>
      <c r="BB54" s="1117"/>
      <c r="BC54" s="1117"/>
      <c r="BD54" s="1117"/>
      <c r="BE54" s="1117"/>
      <c r="BF54" s="1117"/>
      <c r="BG54" s="1117"/>
      <c r="BH54" s="1117"/>
      <c r="BI54" s="1117"/>
    </row>
    <row r="55" spans="1:61" ht="14.25" customHeight="1" thickTop="1" x14ac:dyDescent="0.25">
      <c r="A55" s="33"/>
      <c r="B55" s="42"/>
      <c r="C55" s="33"/>
      <c r="D55" s="33"/>
      <c r="E55" s="33"/>
      <c r="F55" s="33"/>
      <c r="G55" s="33"/>
      <c r="H55" s="33"/>
      <c r="I55" s="33"/>
      <c r="J55" s="33"/>
      <c r="K55" s="33"/>
      <c r="L55" s="33"/>
      <c r="M55" s="33"/>
      <c r="N55" s="33"/>
      <c r="O55" s="33"/>
      <c r="P55" s="33"/>
      <c r="Q55" s="33"/>
      <c r="R55" s="33"/>
      <c r="S55" s="33"/>
      <c r="T55" s="33"/>
      <c r="U55" s="33"/>
      <c r="V55" s="33"/>
      <c r="W55" s="29"/>
      <c r="X55" s="29"/>
      <c r="Y55" s="29"/>
      <c r="Z55" s="29"/>
      <c r="AA55" s="29"/>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F56" s="33"/>
      <c r="G56" s="33"/>
      <c r="H56" s="33"/>
      <c r="I56" s="33"/>
      <c r="J56" s="33"/>
      <c r="K56" s="33"/>
      <c r="L56" s="33"/>
      <c r="M56" s="33"/>
      <c r="N56" s="33"/>
      <c r="O56" s="33"/>
      <c r="P56" s="33"/>
      <c r="Q56" s="33"/>
      <c r="R56" s="33"/>
      <c r="S56" s="33"/>
      <c r="T56" s="33"/>
      <c r="U56" s="33"/>
      <c r="V56" s="33"/>
      <c r="W56" s="29"/>
      <c r="X56" s="29"/>
      <c r="Y56" s="29"/>
      <c r="Z56" s="29"/>
      <c r="AA56" s="29"/>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29"/>
      <c r="X57" s="29"/>
      <c r="Y57" s="29"/>
      <c r="Z57" s="29"/>
      <c r="AA57" s="29"/>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29"/>
      <c r="X58" s="29"/>
      <c r="Y58" s="29"/>
      <c r="Z58" s="29"/>
      <c r="AA58" s="29"/>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29"/>
      <c r="X59" s="29"/>
      <c r="Y59" s="29"/>
      <c r="Z59" s="29"/>
      <c r="AA59" s="29"/>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29"/>
      <c r="X60" s="29"/>
      <c r="Y60" s="29"/>
      <c r="Z60" s="29"/>
      <c r="AA60" s="29"/>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29"/>
      <c r="X61" s="29"/>
      <c r="Y61" s="29"/>
      <c r="Z61" s="29"/>
      <c r="AA61" s="29"/>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29"/>
      <c r="X62" s="29"/>
      <c r="Y62" s="29"/>
      <c r="Z62" s="29"/>
      <c r="AA62" s="29"/>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29"/>
      <c r="X63" s="29"/>
      <c r="Y63" s="29"/>
      <c r="Z63" s="29"/>
      <c r="AA63" s="29"/>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29"/>
      <c r="X64" s="29"/>
      <c r="Y64" s="29"/>
      <c r="Z64" s="29"/>
      <c r="AA64" s="29"/>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29"/>
      <c r="X65" s="29"/>
      <c r="Y65" s="29"/>
      <c r="Z65" s="29"/>
      <c r="AA65" s="29"/>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29"/>
      <c r="X66" s="29"/>
      <c r="Y66" s="29"/>
      <c r="Z66" s="29"/>
      <c r="AA66" s="29"/>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29"/>
      <c r="X67" s="29"/>
      <c r="Y67" s="29"/>
      <c r="Z67" s="29"/>
      <c r="AA67" s="29"/>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29"/>
      <c r="X68" s="29"/>
      <c r="Y68" s="29"/>
      <c r="Z68" s="29"/>
      <c r="AA68" s="29"/>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29"/>
      <c r="X69" s="29"/>
      <c r="Y69" s="29"/>
      <c r="Z69" s="29"/>
      <c r="AA69" s="29"/>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29"/>
      <c r="X70" s="29"/>
      <c r="Y70" s="29"/>
      <c r="Z70" s="29"/>
      <c r="AA70" s="29"/>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29"/>
      <c r="X71" s="29"/>
      <c r="Y71" s="29"/>
      <c r="Z71" s="29"/>
      <c r="AA71" s="29"/>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29"/>
      <c r="X72" s="29"/>
      <c r="Y72" s="29"/>
      <c r="Z72" s="29"/>
      <c r="AA72" s="29"/>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29"/>
      <c r="X73" s="29"/>
      <c r="Y73" s="29"/>
      <c r="Z73" s="29"/>
      <c r="AA73" s="29"/>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29"/>
      <c r="X74" s="29"/>
      <c r="Y74" s="29"/>
      <c r="Z74" s="29"/>
      <c r="AA74" s="29"/>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29"/>
      <c r="X75" s="29"/>
      <c r="Y75" s="29"/>
      <c r="Z75" s="29"/>
      <c r="AA75" s="29"/>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29"/>
      <c r="X76" s="29"/>
      <c r="Y76" s="29"/>
      <c r="Z76" s="29"/>
      <c r="AA76" s="29"/>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29"/>
      <c r="X77" s="29"/>
      <c r="Y77" s="29"/>
      <c r="Z77" s="29"/>
      <c r="AA77" s="29"/>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29"/>
      <c r="X78" s="29"/>
      <c r="Y78" s="29"/>
      <c r="Z78" s="29"/>
      <c r="AA78" s="29"/>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29"/>
      <c r="X79" s="29"/>
      <c r="Y79" s="29"/>
      <c r="Z79" s="29"/>
      <c r="AA79" s="29"/>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29"/>
      <c r="X80" s="29"/>
      <c r="Y80" s="29"/>
      <c r="Z80" s="29"/>
      <c r="AA80" s="29"/>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29"/>
      <c r="X81" s="29"/>
      <c r="Y81" s="29"/>
      <c r="Z81" s="29"/>
      <c r="AA81" s="29"/>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29"/>
      <c r="X82" s="29"/>
      <c r="Y82" s="29"/>
      <c r="Z82" s="29"/>
      <c r="AA82" s="29"/>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29"/>
      <c r="X83" s="29"/>
      <c r="Y83" s="29"/>
      <c r="Z83" s="29"/>
      <c r="AA83" s="29"/>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29"/>
      <c r="X84" s="29"/>
      <c r="Y84" s="29"/>
      <c r="Z84" s="29"/>
      <c r="AA84" s="29"/>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29"/>
      <c r="X85" s="29"/>
      <c r="Y85" s="29"/>
      <c r="Z85" s="29"/>
      <c r="AA85" s="29"/>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29"/>
      <c r="X86" s="29"/>
      <c r="Y86" s="29"/>
      <c r="Z86" s="29"/>
      <c r="AA86" s="29"/>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29"/>
      <c r="X87" s="29"/>
      <c r="Y87" s="29"/>
      <c r="Z87" s="29"/>
      <c r="AA87" s="29"/>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29"/>
      <c r="X88" s="29"/>
      <c r="Y88" s="29"/>
      <c r="Z88" s="29"/>
      <c r="AA88" s="29"/>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29"/>
      <c r="X89" s="29"/>
      <c r="Y89" s="29"/>
      <c r="Z89" s="29"/>
      <c r="AA89" s="29"/>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29"/>
      <c r="X90" s="29"/>
      <c r="Y90" s="29"/>
      <c r="Z90" s="29"/>
      <c r="AA90" s="29"/>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29"/>
      <c r="X91" s="29"/>
      <c r="Y91" s="29"/>
      <c r="Z91" s="29"/>
      <c r="AA91" s="29"/>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29"/>
      <c r="X92" s="29"/>
      <c r="Y92" s="29"/>
      <c r="Z92" s="29"/>
      <c r="AA92" s="29"/>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29"/>
      <c r="X93" s="29"/>
      <c r="Y93" s="29"/>
      <c r="Z93" s="29"/>
      <c r="AA93" s="29"/>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29"/>
      <c r="X94" s="29"/>
      <c r="Y94" s="29"/>
      <c r="Z94" s="29"/>
      <c r="AA94" s="29"/>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29"/>
      <c r="X95" s="29"/>
      <c r="Y95" s="29"/>
      <c r="Z95" s="29"/>
      <c r="AA95" s="29"/>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29"/>
      <c r="X96" s="29"/>
      <c r="Y96" s="29"/>
      <c r="Z96" s="29"/>
      <c r="AA96" s="29"/>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29"/>
      <c r="X97" s="29"/>
      <c r="Y97" s="29"/>
      <c r="Z97" s="29"/>
      <c r="AA97" s="29"/>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29"/>
      <c r="X98" s="29"/>
      <c r="Y98" s="29"/>
      <c r="Z98" s="29"/>
      <c r="AA98" s="29"/>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29"/>
      <c r="X99" s="29"/>
      <c r="Y99" s="29"/>
      <c r="Z99" s="29"/>
      <c r="AA99" s="29"/>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29"/>
      <c r="X100" s="29"/>
      <c r="Y100" s="29"/>
      <c r="Z100" s="29"/>
      <c r="AA100" s="29"/>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29"/>
      <c r="X101" s="29"/>
      <c r="Y101" s="29"/>
      <c r="Z101" s="29"/>
      <c r="AA101" s="29"/>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29"/>
      <c r="X102" s="29"/>
      <c r="Y102" s="29"/>
      <c r="Z102" s="29"/>
      <c r="AA102" s="29"/>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29"/>
      <c r="X103" s="29"/>
      <c r="Y103" s="29"/>
      <c r="Z103" s="29"/>
      <c r="AA103" s="29"/>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29"/>
      <c r="X104" s="29"/>
      <c r="Y104" s="29"/>
      <c r="Z104" s="29"/>
      <c r="AA104" s="29"/>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row r="105" spans="1:61"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29"/>
      <c r="X105" s="29"/>
      <c r="Y105" s="29"/>
      <c r="Z105" s="29"/>
      <c r="AA105" s="29"/>
      <c r="AB105" s="33"/>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c r="AY105" s="33"/>
      <c r="AZ105" s="33"/>
      <c r="BA105" s="33"/>
      <c r="BB105" s="33"/>
      <c r="BC105" s="33"/>
      <c r="BD105" s="33"/>
      <c r="BE105" s="33"/>
      <c r="BF105" s="33"/>
      <c r="BG105" s="33"/>
      <c r="BH105" s="33"/>
      <c r="BI105" s="33"/>
    </row>
    <row r="106" spans="1:61"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29"/>
      <c r="X106" s="29"/>
      <c r="Y106" s="29"/>
      <c r="Z106" s="29"/>
      <c r="AA106" s="29"/>
      <c r="AB106" s="33"/>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c r="AY106" s="33"/>
      <c r="AZ106" s="33"/>
      <c r="BA106" s="33"/>
      <c r="BB106" s="33"/>
      <c r="BC106" s="33"/>
      <c r="BD106" s="33"/>
      <c r="BE106" s="33"/>
      <c r="BF106" s="33"/>
      <c r="BG106" s="33"/>
      <c r="BH106" s="33"/>
      <c r="BI106" s="33"/>
    </row>
  </sheetData>
  <sheetProtection algorithmName="SHA-512" hashValue="W8GDhKZ/R1L/DI1j2OFBku9vmscjJkEIA8zBK4qxDixYMOc7Fbi9RO5g1C2X4arVhKvOpHdDfKjIeFsj6LAgyw==" saltValue="EBEWde/AXxCCtBKAiVKd+w=="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V33" sqref="V3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05"/>
      <c r="B1" s="2939" t="s">
        <v>775</v>
      </c>
      <c r="C1" s="433"/>
      <c r="D1" s="433"/>
      <c r="E1" s="433"/>
      <c r="F1" s="433"/>
      <c r="G1" s="433"/>
      <c r="H1" s="433"/>
      <c r="I1" s="433"/>
      <c r="J1" s="1133"/>
      <c r="K1" s="1133"/>
      <c r="L1" s="1133"/>
      <c r="M1" s="1133"/>
      <c r="N1" s="433"/>
      <c r="O1" s="433"/>
      <c r="P1" s="433"/>
      <c r="Q1" s="433"/>
      <c r="R1" s="433"/>
      <c r="S1" s="433"/>
      <c r="T1" s="433"/>
      <c r="U1" s="433"/>
      <c r="V1" s="433"/>
    </row>
    <row r="2" spans="1:61" ht="19.899999999999999" customHeight="1" x14ac:dyDescent="0.3">
      <c r="A2" s="770"/>
      <c r="B2" s="2939"/>
      <c r="C2" s="436"/>
      <c r="D2" s="899">
        <f>IF('R-Definição'!E121="Novo",('R-Resumo Bal. Massa'!B47+'R&amp;C-Painel de Controle'!D31)*(1+'R&amp;C-Painel de Controle'!H74),0)</f>
        <v>223.69782051282056</v>
      </c>
      <c r="E2" s="900" t="s">
        <v>21</v>
      </c>
      <c r="H2" s="1105">
        <f>D2*313</f>
        <v>70017.417820512841</v>
      </c>
      <c r="I2" s="1104" t="s">
        <v>249</v>
      </c>
      <c r="L2" s="1086" t="str">
        <f>IF(D2&gt;0,"Sim","Não")</f>
        <v>Sim</v>
      </c>
      <c r="M2" s="431"/>
      <c r="N2" s="431"/>
      <c r="O2" s="431"/>
      <c r="P2" s="1106" t="s">
        <v>436</v>
      </c>
      <c r="Q2" s="2930" t="str">
        <f>'R-Definição'!D2</f>
        <v>CIRSOP - Consórcio RSU Oeste Paulista</v>
      </c>
      <c r="R2" s="2931"/>
      <c r="S2" s="429"/>
      <c r="T2" s="1106" t="s">
        <v>437</v>
      </c>
      <c r="U2" s="2930" t="str">
        <f>'R-Definição'!D3</f>
        <v>Biodigestão c/ Prod. E. Elétrica</v>
      </c>
      <c r="V2" s="2931"/>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row>
    <row r="3" spans="1:61" ht="19.899999999999999" customHeight="1" x14ac:dyDescent="0.25">
      <c r="A3" s="405"/>
      <c r="B3" s="2939"/>
      <c r="C3" s="427"/>
      <c r="D3" s="426"/>
      <c r="E3" s="426"/>
      <c r="F3" s="426"/>
      <c r="G3" s="426"/>
      <c r="H3" s="426"/>
      <c r="I3" s="426"/>
      <c r="J3" s="426"/>
      <c r="K3" s="426"/>
      <c r="L3" s="426"/>
      <c r="M3" s="426"/>
      <c r="N3" s="426"/>
      <c r="O3" s="431"/>
      <c r="P3" s="426"/>
      <c r="Q3" s="426"/>
      <c r="R3" s="426"/>
      <c r="S3" s="426"/>
      <c r="T3" s="426"/>
      <c r="U3" s="426"/>
      <c r="V3" s="426"/>
    </row>
    <row r="4" spans="1:61" ht="7.9" customHeight="1" x14ac:dyDescent="0.25">
      <c r="A4" s="405"/>
      <c r="B4" s="683"/>
      <c r="C4" s="403"/>
      <c r="D4" s="1061"/>
      <c r="E4" s="1061"/>
      <c r="F4" s="1061"/>
      <c r="G4" s="403"/>
      <c r="H4" s="1061"/>
      <c r="I4" s="1061"/>
      <c r="J4" s="1061"/>
      <c r="K4" s="403"/>
      <c r="L4" s="1061"/>
      <c r="M4" s="1061"/>
      <c r="N4" s="1061"/>
      <c r="O4" s="403"/>
      <c r="P4" s="1061"/>
      <c r="Q4" s="1061"/>
      <c r="R4" s="1061"/>
      <c r="S4" s="905"/>
      <c r="T4" s="1061"/>
      <c r="U4" s="1061"/>
      <c r="V4" s="906"/>
    </row>
    <row r="5" spans="1:61" ht="17.649999999999999" customHeight="1" x14ac:dyDescent="0.25">
      <c r="A5" s="405"/>
      <c r="B5" s="865" t="s">
        <v>755</v>
      </c>
      <c r="C5" s="437"/>
      <c r="D5" s="1110">
        <v>4.25</v>
      </c>
      <c r="E5" s="870" t="s">
        <v>766</v>
      </c>
      <c r="F5" s="868"/>
      <c r="G5" s="868"/>
      <c r="H5" s="868"/>
      <c r="I5" s="868"/>
      <c r="J5" s="868"/>
      <c r="K5" s="868"/>
      <c r="L5" s="868"/>
      <c r="M5" s="868"/>
      <c r="N5" s="868"/>
      <c r="O5" s="868"/>
      <c r="P5" s="868"/>
      <c r="Q5" s="868"/>
      <c r="R5" s="868"/>
      <c r="S5" s="868"/>
      <c r="T5" s="868"/>
      <c r="U5" s="868"/>
      <c r="V5" s="317"/>
    </row>
    <row r="6" spans="1:61" ht="7.9" customHeight="1" x14ac:dyDescent="0.25">
      <c r="A6" s="405"/>
      <c r="B6" s="683"/>
      <c r="C6" s="403"/>
      <c r="D6" s="1061"/>
      <c r="E6" s="1061"/>
      <c r="F6" s="1061"/>
      <c r="G6" s="403"/>
      <c r="H6" s="1061"/>
      <c r="I6" s="1061"/>
      <c r="J6" s="1061"/>
      <c r="K6" s="403"/>
      <c r="L6" s="1061"/>
      <c r="M6" s="1061"/>
      <c r="N6" s="1061"/>
      <c r="O6" s="403"/>
      <c r="P6" s="1061"/>
      <c r="Q6" s="1061"/>
      <c r="R6" s="1061"/>
      <c r="S6" s="905"/>
      <c r="T6" s="1061"/>
      <c r="U6" s="1061"/>
      <c r="V6" s="906"/>
    </row>
    <row r="7" spans="1:61" ht="16.899999999999999" customHeight="1" x14ac:dyDescent="0.25">
      <c r="A7" s="405"/>
      <c r="B7" s="849"/>
      <c r="C7" s="849"/>
      <c r="D7" s="849"/>
      <c r="E7" s="1054" t="str">
        <f>IF(AND(L2="Sim",$D$2&gt;D11,$D$2&lt;=F11),"SIM","NÃO")</f>
        <v>NÃO</v>
      </c>
      <c r="F7" s="853"/>
      <c r="G7" s="849"/>
      <c r="H7" s="853"/>
      <c r="I7" s="1090" t="str">
        <f>IF(AND(L2="Sim",$D$2&gt;H11,$D$2&lt;=J11),"SIM","NÃO")</f>
        <v>NÃO</v>
      </c>
      <c r="J7" s="853"/>
      <c r="K7" s="849"/>
      <c r="L7" s="853"/>
      <c r="M7" s="1054" t="str">
        <f>IF(AND(L2="Sim",$D$2&gt;L11,$D$2&lt;=N11),"SIM","NÃO")</f>
        <v>SIM</v>
      </c>
      <c r="N7" s="853"/>
      <c r="O7" s="1088"/>
      <c r="P7" s="853"/>
      <c r="Q7" s="1054" t="str">
        <f>IF(AND(L2="Sim",$D$2&gt;P11,$D$2&lt;=R11),"SIM","NÃO")</f>
        <v>NÃO</v>
      </c>
      <c r="R7" s="853"/>
      <c r="S7" s="849"/>
      <c r="T7" s="853"/>
      <c r="U7" s="1091" t="str">
        <f>IF(AND(L2="Sim",$D$2&gt;T11,$D$2&lt;=V11*1.5),"SIM","NÃO")</f>
        <v>NÃO</v>
      </c>
      <c r="V7" s="849"/>
    </row>
    <row r="8" spans="1:61" ht="7.9" customHeight="1" thickBot="1" x14ac:dyDescent="0.3">
      <c r="A8" s="405"/>
      <c r="B8" s="683"/>
      <c r="C8" s="403"/>
      <c r="D8" s="1061"/>
      <c r="E8" s="1061"/>
      <c r="F8" s="1061"/>
      <c r="G8" s="403"/>
      <c r="H8" s="1061"/>
      <c r="I8" s="1061"/>
      <c r="J8" s="1061"/>
      <c r="K8" s="403"/>
      <c r="L8" s="1061"/>
      <c r="M8" s="1061"/>
      <c r="N8" s="1061"/>
      <c r="O8" s="403"/>
      <c r="P8" s="1061"/>
      <c r="Q8" s="1061"/>
      <c r="R8" s="1061"/>
      <c r="S8" s="905"/>
      <c r="T8" s="1061"/>
      <c r="U8" s="1061"/>
      <c r="V8" s="906"/>
    </row>
    <row r="9" spans="1:61" ht="17.649999999999999" customHeight="1" thickTop="1" thickBot="1" x14ac:dyDescent="0.35">
      <c r="A9" s="405"/>
      <c r="B9" s="2933" t="s">
        <v>640</v>
      </c>
      <c r="C9" s="901"/>
      <c r="D9" s="2936" t="s">
        <v>402</v>
      </c>
      <c r="E9" s="2937"/>
      <c r="F9" s="2937"/>
      <c r="G9" s="2937"/>
      <c r="H9" s="2937"/>
      <c r="I9" s="2937"/>
      <c r="J9" s="2937"/>
      <c r="K9" s="2937"/>
      <c r="L9" s="2937"/>
      <c r="M9" s="2937"/>
      <c r="N9" s="2937"/>
      <c r="O9" s="2937"/>
      <c r="P9" s="2937"/>
      <c r="Q9" s="2937"/>
      <c r="R9" s="2937"/>
      <c r="S9" s="2937"/>
      <c r="T9" s="2937"/>
      <c r="U9" s="2937"/>
      <c r="V9" s="2938"/>
    </row>
    <row r="10" spans="1:61" ht="7.5" customHeight="1" x14ac:dyDescent="0.25">
      <c r="A10" s="405"/>
      <c r="B10" s="2934"/>
      <c r="C10" s="901"/>
      <c r="D10" s="1072"/>
      <c r="E10" s="898"/>
      <c r="F10" s="898"/>
      <c r="G10" s="850"/>
      <c r="H10" s="898"/>
      <c r="I10" s="898"/>
      <c r="J10" s="898"/>
      <c r="K10" s="850"/>
      <c r="L10" s="898"/>
      <c r="M10" s="898"/>
      <c r="N10" s="898"/>
      <c r="O10" s="850"/>
      <c r="P10" s="898"/>
      <c r="Q10" s="898"/>
      <c r="R10" s="898"/>
      <c r="S10" s="850"/>
      <c r="T10" s="898"/>
      <c r="U10" s="898"/>
      <c r="V10" s="1073"/>
    </row>
    <row r="11" spans="1:61" ht="17.649999999999999" customHeight="1" thickBot="1" x14ac:dyDescent="0.3">
      <c r="A11" s="405"/>
      <c r="B11" s="2935"/>
      <c r="C11" s="901"/>
      <c r="D11" s="1064">
        <v>10</v>
      </c>
      <c r="E11" s="1066" t="s">
        <v>21</v>
      </c>
      <c r="F11" s="1066">
        <v>25</v>
      </c>
      <c r="G11" s="1067"/>
      <c r="H11" s="1066">
        <f>F11</f>
        <v>25</v>
      </c>
      <c r="I11" s="1066" t="s">
        <v>21</v>
      </c>
      <c r="J11" s="1066">
        <v>100</v>
      </c>
      <c r="K11" s="1067"/>
      <c r="L11" s="1066">
        <f>J11</f>
        <v>100</v>
      </c>
      <c r="M11" s="1066" t="s">
        <v>21</v>
      </c>
      <c r="N11" s="1066">
        <v>300</v>
      </c>
      <c r="O11" s="1067"/>
      <c r="P11" s="1066">
        <f>N11</f>
        <v>300</v>
      </c>
      <c r="Q11" s="1066" t="s">
        <v>21</v>
      </c>
      <c r="R11" s="1066">
        <v>800</v>
      </c>
      <c r="S11" s="1067"/>
      <c r="T11" s="1066">
        <f>R11</f>
        <v>800</v>
      </c>
      <c r="U11" s="1066" t="s">
        <v>21</v>
      </c>
      <c r="V11" s="1068">
        <v>2000</v>
      </c>
    </row>
    <row r="12" spans="1:61" ht="7.9" customHeight="1" thickTop="1" thickBot="1" x14ac:dyDescent="0.3">
      <c r="A12" s="405"/>
      <c r="B12" s="1070"/>
      <c r="C12" s="751"/>
      <c r="D12" s="1071"/>
      <c r="E12" s="1071"/>
      <c r="F12" s="1071"/>
      <c r="G12" s="751"/>
      <c r="H12" s="1071"/>
      <c r="I12" s="1071"/>
      <c r="J12" s="1071"/>
      <c r="K12" s="751"/>
      <c r="L12" s="1071"/>
      <c r="M12" s="1071"/>
      <c r="N12" s="1071"/>
      <c r="O12" s="751"/>
      <c r="P12" s="1071"/>
      <c r="Q12" s="1071"/>
      <c r="R12" s="1071"/>
      <c r="S12" s="751"/>
      <c r="T12" s="1071"/>
      <c r="U12" s="1071"/>
      <c r="V12" s="1071"/>
    </row>
    <row r="13" spans="1:61" s="882" customFormat="1" ht="16.899999999999999" customHeight="1" thickTop="1" thickBot="1" x14ac:dyDescent="0.35">
      <c r="A13" s="1177"/>
      <c r="B13" s="1227" t="s">
        <v>443</v>
      </c>
      <c r="C13" s="990"/>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88"/>
    </row>
    <row r="14" spans="1:61" ht="7.9" customHeight="1" x14ac:dyDescent="0.25">
      <c r="A14" s="681"/>
      <c r="B14" s="1228"/>
      <c r="C14" s="652"/>
      <c r="D14" s="1232"/>
      <c r="E14" s="344"/>
      <c r="F14" s="1233"/>
      <c r="G14" s="652"/>
      <c r="H14" s="1232"/>
      <c r="I14" s="344"/>
      <c r="J14" s="1233"/>
      <c r="K14" s="652"/>
      <c r="L14" s="1232"/>
      <c r="M14" s="344"/>
      <c r="N14" s="1233"/>
      <c r="O14" s="652"/>
      <c r="P14" s="1232"/>
      <c r="Q14" s="344"/>
      <c r="R14" s="1233"/>
      <c r="S14" s="652"/>
      <c r="T14" s="1232"/>
      <c r="U14" s="344"/>
      <c r="V14" s="1244"/>
      <c r="W14" s="1189"/>
    </row>
    <row r="15" spans="1:61" ht="16.899999999999999" customHeight="1" x14ac:dyDescent="0.25">
      <c r="A15" s="681"/>
      <c r="B15" s="1010" t="s">
        <v>403</v>
      </c>
      <c r="C15" s="652"/>
      <c r="D15" s="1234">
        <f>1.012922*(1+'R&amp;C-Painel de Controle'!$D$61)</f>
        <v>1.0129220000000001</v>
      </c>
      <c r="E15" s="345" t="str">
        <f>(IF(E$7="SIM",D15*(1-(($D$2-D$11)/(F$11-D$11)))+F15*(1-((F$11-$D$2)/(F$11-D$11))),"-"))</f>
        <v>-</v>
      </c>
      <c r="F15" s="1235">
        <f>1.02232*(1+'R&amp;C-Painel de Controle'!$D$61)</f>
        <v>1.0223199999999999</v>
      </c>
      <c r="G15" s="652"/>
      <c r="H15" s="1234">
        <f>F15</f>
        <v>1.0223199999999999</v>
      </c>
      <c r="I15" s="345" t="str">
        <f>(IF(I$7="SIM",H15*(1-(($D$2-H$11)/(J$11-H$11)))+J15*(1-((J$11-$D$2)/(J$11-H$11))),"-"))</f>
        <v>-</v>
      </c>
      <c r="J15" s="1235">
        <f>1.096437*(1+'R&amp;C-Painel de Controle'!$D$61)</f>
        <v>1.0964370000000001</v>
      </c>
      <c r="K15" s="652"/>
      <c r="L15" s="1234">
        <f>J15</f>
        <v>1.0964370000000001</v>
      </c>
      <c r="M15" s="345">
        <f>(IF(M$7="SIM",L15*(1-(($D$2-L$11)/(N$11-L$11)))+N15*(1-((N$11-$D$2)/(N$11-L$11))),"-"))</f>
        <v>1.1948318128378206</v>
      </c>
      <c r="N15" s="1235">
        <f>1.255526*(1+'R&amp;C-Painel de Controle'!$D$61)</f>
        <v>1.2555259999999999</v>
      </c>
      <c r="O15" s="652"/>
      <c r="P15" s="1234">
        <f>N15</f>
        <v>1.2555259999999999</v>
      </c>
      <c r="Q15" s="345" t="str">
        <f>(IF(Q$7="SIM",P15*(1-(($D$2-P$11)/(R$11-P$11)))+R15*(1-((R$11-$D$2)/(R$11-P$11))),"-"))</f>
        <v>-</v>
      </c>
      <c r="R15" s="1235">
        <f>1.537231*(1+'R&amp;C-Painel de Controle'!$D$61)</f>
        <v>1.537231</v>
      </c>
      <c r="S15" s="652"/>
      <c r="T15" s="1234">
        <f>R15</f>
        <v>1.537231</v>
      </c>
      <c r="U15" s="345" t="str">
        <f>(IF(U$7="SIM",T15*(1-(($D$2-T$11)/(V$11-T$11)))+V15*(1-((V$11-$D$2)/(V$11-T$11))),"-"))</f>
        <v>-</v>
      </c>
      <c r="V15" s="1245">
        <f>2.052554*(1+'R&amp;C-Painel de Controle'!$D$61)</f>
        <v>2.0525540000000002</v>
      </c>
      <c r="W15" s="1220">
        <v>1.0175927734202665</v>
      </c>
      <c r="X15" s="48">
        <v>1.0346283117455466</v>
      </c>
      <c r="Y15" s="48">
        <v>1.1759456636118601</v>
      </c>
      <c r="Z15" s="48">
        <v>1.39635311725268</v>
      </c>
      <c r="AA15" s="48">
        <v>1.7948731530568369</v>
      </c>
    </row>
    <row r="16" spans="1:61" ht="16.899999999999999" customHeight="1" x14ac:dyDescent="0.25">
      <c r="A16" s="681"/>
      <c r="B16" s="1010" t="s">
        <v>404</v>
      </c>
      <c r="C16" s="652"/>
      <c r="D16" s="1234">
        <f>3.053937*(1+'R&amp;C-Painel de Controle'!$D$61)</f>
        <v>3.0539369999999999</v>
      </c>
      <c r="E16" s="345" t="str">
        <f>(IF(E$7="SIM",D16*(1-(($D$2-D$11)/(F$11-D$11)))+F16*(1-((F$11-$D$2)/(F$11-D$11))),"-"))</f>
        <v>-</v>
      </c>
      <c r="F16" s="1235">
        <f>4.549606*(1+'R&amp;C-Painel de Controle'!$D$61)</f>
        <v>4.5496059999999998</v>
      </c>
      <c r="G16" s="652"/>
      <c r="H16" s="1234">
        <f>F16</f>
        <v>4.5496059999999998</v>
      </c>
      <c r="I16" s="345" t="str">
        <f>(IF(I$7="SIM",H16*(1-(($D$2-H$11)/(J$11-H$11)))+J16*(1-((J$11-$D$2)/(J$11-H$11))),"-"))</f>
        <v>-</v>
      </c>
      <c r="J16" s="1235">
        <f>8.610432*(1+'R&amp;C-Painel de Controle'!$D$61)</f>
        <v>8.6104319999999994</v>
      </c>
      <c r="K16" s="652"/>
      <c r="L16" s="1234">
        <f>J16</f>
        <v>8.6104319999999994</v>
      </c>
      <c r="M16" s="345">
        <f>(IF(M$7="SIM",L16*(1-(($D$2-L$11)/(N$11-L$11)))+N16*(1-((N$11-$D$2)/(N$11-L$11))),"-"))</f>
        <v>13.315513010575003</v>
      </c>
      <c r="N16" s="1235">
        <f>16.217811*(1+'R&amp;C-Painel de Controle'!$D$61)</f>
        <v>16.217811000000001</v>
      </c>
      <c r="O16" s="652"/>
      <c r="P16" s="1234">
        <f>N16</f>
        <v>16.217811000000001</v>
      </c>
      <c r="Q16" s="345" t="str">
        <f>(IF(Q$7="SIM",P16*(1-(($D$2-P$11)/(R$11-P$11)))+R16*(1-((R$11-$D$2)/(R$11-P$11))),"-"))</f>
        <v>-</v>
      </c>
      <c r="R16" s="1235">
        <f>31.995049*(1+'R&amp;C-Painel de Controle'!$D$61)</f>
        <v>31.995049000000002</v>
      </c>
      <c r="S16" s="652"/>
      <c r="T16" s="1234">
        <f>R16</f>
        <v>31.995049000000002</v>
      </c>
      <c r="U16" s="345" t="str">
        <f>(IF(U$7="SIM",T16*(1-(($D$2-T$11)/(V$11-T$11)))+V16*(1-((V$11-$D$2)/(V$11-T$11))),"-"))</f>
        <v>-</v>
      </c>
      <c r="V16" s="1245">
        <f>59.563195*(1+'R&amp;C-Painel de Controle'!$D$61)</f>
        <v>59.563195</v>
      </c>
      <c r="W16" s="1220">
        <v>3.7972793080141334</v>
      </c>
      <c r="X16" s="48">
        <v>5.2239710222273068</v>
      </c>
      <c r="Y16" s="48">
        <v>12.412407861806459</v>
      </c>
      <c r="Z16" s="48">
        <v>24.105008407747249</v>
      </c>
      <c r="AA16" s="48">
        <v>45.778086999905341</v>
      </c>
    </row>
    <row r="17" spans="1:61" ht="16.899999999999999" customHeight="1" x14ac:dyDescent="0.25">
      <c r="A17" s="681"/>
      <c r="B17" s="1010" t="s">
        <v>659</v>
      </c>
      <c r="C17" s="652"/>
      <c r="D17" s="1236">
        <f>14151/10000</f>
        <v>1.4151</v>
      </c>
      <c r="E17" s="345" t="str">
        <f>(IF(E$7="SIM",(D17*(1-(($D$2-D$11)/(F$11-D$11)))+F17*(1-((F$11-$D$2)/(F$11-D$11))))*10000*('R&amp;C-Painel de Controle'!$D$56+0.18)/1000000,"-"))</f>
        <v>-</v>
      </c>
      <c r="F17" s="1237">
        <f>H17</f>
        <v>3.5377000000000001</v>
      </c>
      <c r="G17" s="652"/>
      <c r="H17" s="1236">
        <f>35377/10000</f>
        <v>3.5377000000000001</v>
      </c>
      <c r="I17" s="345" t="str">
        <f>(IF(I$7="SIM",(H17*(1-(($D$2-H$11)/(J$11-H$11)))+J17*(1-((J$11-$D$2)/(J$11-H$11))))*10000*('R&amp;C-Painel de Controle'!$D$56+0.18)/1000000,"-"))</f>
        <v>-</v>
      </c>
      <c r="J17" s="1237">
        <f>L17</f>
        <v>9.0093999999999994</v>
      </c>
      <c r="K17" s="652"/>
      <c r="L17" s="1236">
        <f>90094/10000</f>
        <v>9.0093999999999994</v>
      </c>
      <c r="M17" s="345">
        <f>(IF(M$7="SIM",(L17*(1-(($D$2-L$11)/(N$11-L$11)))+N17*(1-((N$11-$D$2)/(N$11-L$11))))*10000*('R&amp;C-Painel de Controle'!$D$56+0.18)/1000000,"-"))</f>
        <v>3.8220290913557697</v>
      </c>
      <c r="N17" s="1237">
        <f>P17</f>
        <v>18.984400000000001</v>
      </c>
      <c r="O17" s="652"/>
      <c r="P17" s="1236">
        <f>189844/10000</f>
        <v>18.984400000000001</v>
      </c>
      <c r="Q17" s="345" t="str">
        <f>(IF(Q$7="SIM",(P17*(1-(($D$2-P$11)/(R$11-P$11)))+R17*(1-((R$11-$D$2)/(R$11-P$11))))*10000*('R&amp;C-Painel de Controle'!$D$56+0.18)/1000000,"-"))</f>
        <v>-</v>
      </c>
      <c r="R17" s="1237">
        <f>T17</f>
        <v>36.037500000000001</v>
      </c>
      <c r="S17" s="652"/>
      <c r="T17" s="1236">
        <f>360375/10000</f>
        <v>36.037500000000001</v>
      </c>
      <c r="U17" s="345" t="str">
        <f>(IF(U$7="SIM",(T17*(1-(($D$2-T$11)/(V$11-T$11)))+V17*(1-((V$11-$D$2)/(V$11-T$11))))*10000*('R&amp;C-Painel de Controle'!$D$56+0.18)/1000000,"-"))</f>
        <v>-</v>
      </c>
      <c r="V17" s="1246">
        <f>648960/10000</f>
        <v>64.896000000000001</v>
      </c>
      <c r="W17" s="1220">
        <v>4.446044714976E-3</v>
      </c>
      <c r="X17" s="48">
        <v>8.0034537353183988E-3</v>
      </c>
      <c r="Y17" s="48">
        <v>2.5190375456699998E-2</v>
      </c>
      <c r="Z17" s="48">
        <v>4.9516944205459684E-2</v>
      </c>
      <c r="AA17" s="48">
        <v>9.0838199800286998E-2</v>
      </c>
    </row>
    <row r="18" spans="1:61" s="1259" customFormat="1" ht="19.899999999999999" customHeight="1" x14ac:dyDescent="0.3">
      <c r="A18" s="1248"/>
      <c r="B18" s="1230" t="s">
        <v>377</v>
      </c>
      <c r="C18" s="1249"/>
      <c r="D18" s="1250" t="s">
        <v>289</v>
      </c>
      <c r="E18" s="1251" t="str">
        <f>IF(E7="SIM",SUM(E15:E17),"-")</f>
        <v>-</v>
      </c>
      <c r="F18" s="1252"/>
      <c r="G18" s="1249"/>
      <c r="H18" s="1253"/>
      <c r="I18" s="1251" t="str">
        <f>IF(I7="SIM",SUM(I15:I17),"-")</f>
        <v>-</v>
      </c>
      <c r="J18" s="1254"/>
      <c r="K18" s="1249"/>
      <c r="L18" s="1253"/>
      <c r="M18" s="1251">
        <f>IF(M7="SIM",SUM(M15:M17),"-")</f>
        <v>18.332373914768596</v>
      </c>
      <c r="N18" s="1254"/>
      <c r="O18" s="1249"/>
      <c r="P18" s="1253"/>
      <c r="Q18" s="1251" t="str">
        <f>IF(Q7="SIM",SUM(Q15:Q17),"-")</f>
        <v>-</v>
      </c>
      <c r="R18" s="1254"/>
      <c r="S18" s="1249"/>
      <c r="T18" s="1253"/>
      <c r="U18" s="1251" t="str">
        <f>IF(U7="SIM",SUM(U15:U17),"-")</f>
        <v>-</v>
      </c>
      <c r="V18" s="1255"/>
      <c r="W18" s="1256">
        <v>4.8193181261493763</v>
      </c>
      <c r="X18" s="1257">
        <v>6.2666027877081714</v>
      </c>
      <c r="Y18" s="1257">
        <v>13.613543900875021</v>
      </c>
      <c r="Z18" s="1257">
        <v>25.55087846920539</v>
      </c>
      <c r="AA18" s="1257">
        <v>47.663798352762463</v>
      </c>
      <c r="AB18" s="1258"/>
      <c r="AC18" s="1258"/>
      <c r="AD18" s="1258"/>
      <c r="AE18" s="1258"/>
      <c r="AF18" s="1258"/>
      <c r="AG18" s="1258"/>
      <c r="AH18" s="1258"/>
      <c r="AI18" s="1258"/>
      <c r="AJ18" s="1258"/>
      <c r="AK18" s="1258"/>
      <c r="AL18" s="1258"/>
      <c r="AM18" s="1258"/>
      <c r="AN18" s="1258"/>
      <c r="AO18" s="1258"/>
      <c r="AP18" s="1258"/>
      <c r="AQ18" s="1258"/>
      <c r="AR18" s="1258"/>
      <c r="AS18" s="1258"/>
      <c r="AT18" s="1258"/>
      <c r="AU18" s="1258"/>
      <c r="AV18" s="1258"/>
      <c r="AW18" s="1258"/>
      <c r="AX18" s="1258"/>
      <c r="AY18" s="1258"/>
      <c r="AZ18" s="1258"/>
      <c r="BA18" s="1258"/>
      <c r="BB18" s="1258"/>
      <c r="BC18" s="1258"/>
      <c r="BD18" s="1258"/>
      <c r="BE18" s="1258"/>
      <c r="BF18" s="1258"/>
      <c r="BG18" s="1258"/>
      <c r="BH18" s="1258"/>
      <c r="BI18" s="1258"/>
    </row>
    <row r="19" spans="1:61" ht="16.899999999999999" customHeight="1" outlineLevel="1" x14ac:dyDescent="0.25">
      <c r="A19" s="681"/>
      <c r="B19" s="1147" t="s">
        <v>378</v>
      </c>
      <c r="C19" s="652"/>
      <c r="D19" s="1239" t="s">
        <v>289</v>
      </c>
      <c r="E19" s="304" t="str">
        <f>IF(E7="SIM",E18*1000000/$H$2,"-")</f>
        <v>-</v>
      </c>
      <c r="F19" s="1240"/>
      <c r="G19" s="652"/>
      <c r="H19" s="1232"/>
      <c r="I19" s="304" t="str">
        <f>IF(I7="SIM",I18*1000000/$H$2,"-")</f>
        <v>-</v>
      </c>
      <c r="J19" s="1233"/>
      <c r="K19" s="652"/>
      <c r="L19" s="1232"/>
      <c r="M19" s="304">
        <f>IF(M7="SIM",M18*1000000/$H$2,"-")</f>
        <v>261.8259068302545</v>
      </c>
      <c r="N19" s="1233"/>
      <c r="O19" s="652"/>
      <c r="P19" s="1232"/>
      <c r="Q19" s="304" t="str">
        <f>IF(Q7="SIM",Q18*1000000/$H$2,"-")</f>
        <v>-</v>
      </c>
      <c r="R19" s="1233"/>
      <c r="S19" s="652"/>
      <c r="T19" s="1232"/>
      <c r="U19" s="304" t="str">
        <f>IF(U7="SIM",U18*1000000/$H$2,"-")</f>
        <v>-</v>
      </c>
      <c r="V19" s="1244"/>
      <c r="W19" s="1221">
        <v>882.10990440414639</v>
      </c>
      <c r="X19" s="37">
        <v>534.53805805301647</v>
      </c>
      <c r="Y19" s="37">
        <v>217.51775045861243</v>
      </c>
      <c r="Z19" s="37">
        <v>148.43433971999801</v>
      </c>
      <c r="AA19" s="37">
        <v>108.7752903312492</v>
      </c>
    </row>
    <row r="20" spans="1:61" ht="16.899999999999999" customHeight="1" outlineLevel="1" x14ac:dyDescent="0.25">
      <c r="A20" s="681"/>
      <c r="B20" s="1229"/>
      <c r="C20" s="652"/>
      <c r="D20" s="1232"/>
      <c r="E20" s="375"/>
      <c r="F20" s="1238"/>
      <c r="G20" s="766"/>
      <c r="H20" s="1239"/>
      <c r="I20" s="375"/>
      <c r="J20" s="1240"/>
      <c r="K20" s="766"/>
      <c r="L20" s="1239"/>
      <c r="M20" s="375"/>
      <c r="N20" s="1240"/>
      <c r="O20" s="766"/>
      <c r="P20" s="1239"/>
      <c r="Q20" s="375"/>
      <c r="R20" s="1240"/>
      <c r="S20" s="766"/>
      <c r="T20" s="1239"/>
      <c r="U20" s="375"/>
      <c r="V20" s="1244"/>
      <c r="W20" s="1189"/>
      <c r="X20" s="54">
        <f>(X19-W19)/X19</f>
        <v>-0.65022843764785243</v>
      </c>
      <c r="Y20" s="54">
        <f>(Y19-X19)/Y19</f>
        <v>-1.4574456885748466</v>
      </c>
      <c r="Z20" s="54">
        <f>(Z19-Y19)/Z19</f>
        <v>-0.46541393904490869</v>
      </c>
      <c r="AA20" s="54">
        <f>(AA19-Z19)/AA19</f>
        <v>-0.36459612535141611</v>
      </c>
    </row>
    <row r="21" spans="1:61" ht="16.899999999999999" customHeight="1" collapsed="1" x14ac:dyDescent="0.25">
      <c r="A21" s="681"/>
      <c r="B21" s="1010" t="s">
        <v>661</v>
      </c>
      <c r="C21" s="652"/>
      <c r="D21" s="1234">
        <f>(0.095595+5.95269)*(1+'R&amp;C-Painel de Controle'!$D$61)/4</f>
        <v>1.51207125</v>
      </c>
      <c r="E21" s="345" t="str">
        <f>(IF(E$7="SIM",D21*(1-(($D$2-D11)/(F11-D11)))+F21*(1-((F11-$D$2)/(F11-D11))),"-"))</f>
        <v>-</v>
      </c>
      <c r="F21" s="1235">
        <f>(0.238988+10.386701)*(1+'R&amp;C-Painel de Controle'!$D$61)/4</f>
        <v>2.6564222500000003</v>
      </c>
      <c r="G21" s="652"/>
      <c r="H21" s="1234">
        <f>F21</f>
        <v>2.6564222500000003</v>
      </c>
      <c r="I21" s="345" t="str">
        <f>(IF(I$7="SIM",H21*(1-(($D$2-H11)/(J11-H11)))+J21*(1-((J11-$D$2)/(J11-H11))),"-"))</f>
        <v>-</v>
      </c>
      <c r="J21" s="1235">
        <f>(0.612445+18.127224)*(1+'R&amp;C-Painel de Controle'!$D$61)/4</f>
        <v>4.6849172499999998</v>
      </c>
      <c r="K21" s="652"/>
      <c r="L21" s="1234">
        <f>J21</f>
        <v>4.6849172499999998</v>
      </c>
      <c r="M21" s="345">
        <f>(IF(M$7="SIM",L21*(1-(($D$2-L11)/(N11-L11)))+N21*(1-((N11-$D$2)/(N11-L11))),"-"))</f>
        <v>6.8796187178240391</v>
      </c>
      <c r="N21" s="1235">
        <f>(1.290533+31.64309)*(1+'R&amp;C-Painel de Controle'!$D$61)/4</f>
        <v>8.2334057499999993</v>
      </c>
      <c r="O21" s="652"/>
      <c r="P21" s="1234">
        <f>N21</f>
        <v>8.2334057499999993</v>
      </c>
      <c r="Q21" s="345" t="str">
        <f>(IF(Q$7="SIM",P21*(1-(($D$2-P11)/(R11-P11)))+R21*(1-((R11-$D$2)/(R11-P11))),"-"))</f>
        <v>-</v>
      </c>
      <c r="R21" s="1235">
        <f>(2.449781+61.248048)*(1+'R&amp;C-Painel de Controle'!$D$61)/4</f>
        <v>15.92445725</v>
      </c>
      <c r="S21" s="652"/>
      <c r="T21" s="1234">
        <f>R21</f>
        <v>15.92445725</v>
      </c>
      <c r="U21" s="345" t="str">
        <f>(IF(U$7="SIM",T21*(1-(($D$2-T11)/(V11-T11)))+V21*(1-((V11-$D$2)/(V11-T11))),"-"))</f>
        <v>-</v>
      </c>
      <c r="V21" s="1245">
        <f>(4.411535+117.519148)*(1+'R&amp;C-Painel de Controle'!$D$61)/4</f>
        <v>30.48267075</v>
      </c>
      <c r="W21" s="1222"/>
      <c r="X21" s="55"/>
      <c r="Y21" s="56"/>
      <c r="Z21" s="56"/>
      <c r="AA21" s="56"/>
    </row>
    <row r="22" spans="1:61" ht="16.899999999999999" customHeight="1" thickBot="1" x14ac:dyDescent="0.3">
      <c r="A22" s="681"/>
      <c r="B22" s="1231" t="s">
        <v>660</v>
      </c>
      <c r="C22" s="766"/>
      <c r="D22" s="1241">
        <f>24.615167*(1+'R&amp;C-Painel de Controle'!$D$61)/4*('R&amp;C-Painel de Controle'!$D$73/60)</f>
        <v>5.4358493791666662</v>
      </c>
      <c r="E22" s="1242" t="str">
        <f>(IF(E$7="SIM",D22*(1-(($D$2-D11)/(F11-D11)))+F22*(1-((F11-$D$2)/(F11-D11))),"-"))</f>
        <v>-</v>
      </c>
      <c r="F22" s="1243">
        <f>39.645904*(1+'R&amp;C-Painel de Controle'!$D$61)/4*('R&amp;C-Painel de Controle'!$D$73/60)</f>
        <v>8.7551371333333332</v>
      </c>
      <c r="G22" s="766"/>
      <c r="H22" s="1241">
        <f>F22</f>
        <v>8.7551371333333332</v>
      </c>
      <c r="I22" s="1242" t="str">
        <f>(IF(I$7="SIM",H22*(1-(($D$2-H11)/(J11-H11)))+J22*(1-((J11-$D$2)/(J11-H11))),"-"))</f>
        <v>-</v>
      </c>
      <c r="J22" s="1243">
        <f>47.561357*(1+'R&amp;C-Painel de Controle'!$D$61)/4*('R&amp;C-Painel de Controle'!$D$73/60)</f>
        <v>10.503133004166667</v>
      </c>
      <c r="K22" s="766"/>
      <c r="L22" s="1241">
        <f>J22</f>
        <v>10.503133004166667</v>
      </c>
      <c r="M22" s="1242">
        <f>(IF(M$7="SIM",L22*(1-(($D$2-L11)/(N11-L11)))+N22*(1-((N11-$D$2)/(N11-L11))),"-"))</f>
        <v>15.489028590835822</v>
      </c>
      <c r="N22" s="1243">
        <f>84.065865*(1+'R&amp;C-Painel de Controle'!$D$61)/4*('R&amp;C-Painel de Controle'!$D$73/60)</f>
        <v>18.564545187499998</v>
      </c>
      <c r="O22" s="766"/>
      <c r="P22" s="1241">
        <f>N22</f>
        <v>18.564545187499998</v>
      </c>
      <c r="Q22" s="1242" t="str">
        <f>(IF(Q$7="SIM",P22*(1-(($D$2-P11)/(R11-P11)))+R22*(1-((R11-$D$2)/(R11-P11))),"-"))</f>
        <v>-</v>
      </c>
      <c r="R22" s="1243">
        <f>167.459142*(1+'R&amp;C-Painel de Controle'!$D$61)/4*('R&amp;C-Painel de Controle'!$D$73/60)</f>
        <v>36.980560525000001</v>
      </c>
      <c r="S22" s="766"/>
      <c r="T22" s="1241">
        <f>R22</f>
        <v>36.980560525000001</v>
      </c>
      <c r="U22" s="1242" t="str">
        <f>(IF(U$7="SIM",T22*(1-(($D$2-T11)/(V11-T11)))+V22*(1-((V11-$D$2)/(V11-T11))),"-"))</f>
        <v>-</v>
      </c>
      <c r="V22" s="1247">
        <f>337.434973*(1+'R&amp;C-Painel de Controle'!$D$61)/4*('R&amp;C-Painel de Controle'!$D$73/60)</f>
        <v>74.516889870833339</v>
      </c>
      <c r="W22" s="1223"/>
      <c r="X22" s="57"/>
      <c r="Y22" s="57"/>
      <c r="Z22" s="57"/>
      <c r="AA22" s="57"/>
    </row>
    <row r="23" spans="1:61" ht="15" customHeight="1" thickTop="1" thickBot="1" x14ac:dyDescent="0.3">
      <c r="A23" s="405"/>
      <c r="B23" s="1224"/>
      <c r="C23" s="771"/>
      <c r="D23" s="1225"/>
      <c r="E23" s="376"/>
      <c r="F23" s="1225"/>
      <c r="G23" s="771"/>
      <c r="H23" s="1225"/>
      <c r="I23" s="1225"/>
      <c r="J23" s="1225"/>
      <c r="K23" s="771"/>
      <c r="L23" s="1225"/>
      <c r="M23" s="1225"/>
      <c r="N23" s="1225"/>
      <c r="O23" s="771"/>
      <c r="P23" s="1225"/>
      <c r="Q23" s="1225"/>
      <c r="R23" s="1225"/>
      <c r="S23" s="771"/>
      <c r="T23" s="1225"/>
      <c r="U23" s="1225"/>
      <c r="V23" s="1226"/>
    </row>
    <row r="24" spans="1:61" s="882" customFormat="1" ht="19.899999999999999" customHeight="1" thickTop="1" thickBot="1" x14ac:dyDescent="0.35">
      <c r="A24" s="1177"/>
      <c r="B24" s="1219" t="s">
        <v>439</v>
      </c>
      <c r="C24" s="991"/>
      <c r="D24" s="982" t="s">
        <v>754</v>
      </c>
      <c r="E24" s="983" t="s">
        <v>774</v>
      </c>
      <c r="F24" s="984" t="s">
        <v>289</v>
      </c>
      <c r="G24" s="403"/>
      <c r="H24" s="985" t="s">
        <v>754</v>
      </c>
      <c r="I24" s="983" t="s">
        <v>774</v>
      </c>
      <c r="J24" s="987" t="s">
        <v>289</v>
      </c>
      <c r="K24" s="403"/>
      <c r="L24" s="985" t="s">
        <v>754</v>
      </c>
      <c r="M24" s="983" t="s">
        <v>774</v>
      </c>
      <c r="N24" s="987" t="s">
        <v>289</v>
      </c>
      <c r="O24" s="403"/>
      <c r="P24" s="985" t="s">
        <v>754</v>
      </c>
      <c r="Q24" s="983" t="s">
        <v>774</v>
      </c>
      <c r="R24" s="987" t="s">
        <v>289</v>
      </c>
      <c r="S24" s="403"/>
      <c r="T24" s="985" t="s">
        <v>754</v>
      </c>
      <c r="U24" s="983" t="s">
        <v>774</v>
      </c>
      <c r="V24" s="987" t="s">
        <v>289</v>
      </c>
      <c r="W24" s="1188"/>
    </row>
    <row r="25" spans="1:61" ht="7.9" customHeight="1" x14ac:dyDescent="0.25">
      <c r="A25" s="681"/>
      <c r="B25" s="1214"/>
      <c r="C25" s="1181"/>
      <c r="D25" s="1215"/>
      <c r="E25" s="377"/>
      <c r="F25" s="1217"/>
      <c r="G25" s="1181"/>
      <c r="H25" s="1215"/>
      <c r="I25" s="1216"/>
      <c r="J25" s="1217"/>
      <c r="K25" s="1181"/>
      <c r="L25" s="1215"/>
      <c r="M25" s="1216"/>
      <c r="N25" s="1217"/>
      <c r="O25" s="1181"/>
      <c r="P25" s="1215"/>
      <c r="Q25" s="1216"/>
      <c r="R25" s="1217"/>
      <c r="S25" s="1181"/>
      <c r="T25" s="1215"/>
      <c r="U25" s="1216"/>
      <c r="V25" s="1218"/>
      <c r="W25" s="1189"/>
    </row>
    <row r="26" spans="1:61" ht="16.899999999999999" customHeight="1" x14ac:dyDescent="0.25">
      <c r="A26" s="681"/>
      <c r="B26" s="1010" t="s">
        <v>759</v>
      </c>
      <c r="C26" s="1181"/>
      <c r="D26" s="1195"/>
      <c r="E26" s="377" t="str">
        <f>(IF(E$7="SIM",E27+E28,"-"))</f>
        <v>-</v>
      </c>
      <c r="F26" s="1196"/>
      <c r="G26" s="1181"/>
      <c r="H26" s="1195"/>
      <c r="I26" s="377" t="str">
        <f>(IF(I$7="SIM",I27+I28,"-"))</f>
        <v>-</v>
      </c>
      <c r="J26" s="1196"/>
      <c r="K26" s="1181"/>
      <c r="L26" s="1195"/>
      <c r="M26" s="377">
        <f>(IF(M$7="SIM",M27+M28,"-"))</f>
        <v>1.7125314065959603</v>
      </c>
      <c r="N26" s="1196"/>
      <c r="O26" s="1181"/>
      <c r="P26" s="1195"/>
      <c r="Q26" s="377" t="str">
        <f>(IF(Q$7="SIM",Q27+Q28,"-"))</f>
        <v>-</v>
      </c>
      <c r="R26" s="1196"/>
      <c r="S26" s="1181"/>
      <c r="T26" s="1195"/>
      <c r="U26" s="377" t="str">
        <f>(IF(U$7="SIM",U27+U28,"-"))</f>
        <v>-</v>
      </c>
      <c r="V26" s="1209"/>
      <c r="W26" s="1189"/>
    </row>
    <row r="27" spans="1:61" ht="16.899999999999999" customHeight="1" outlineLevel="1" x14ac:dyDescent="0.25">
      <c r="A27" s="681"/>
      <c r="B27" s="1193" t="s">
        <v>662</v>
      </c>
      <c r="C27" s="1181"/>
      <c r="D27" s="1197">
        <f>230044.995625*(1+'R&amp;C-Painel de Controle'!$D$61)</f>
        <v>230044.99562500001</v>
      </c>
      <c r="E27" s="377" t="str">
        <f>(IF(E$7="SIM",(D27*(1-(($D$2-D$11)/(F$11-D$11)))+F27*(1-((F$11-$D$2)/(F$11-D$11))))/1000000,"-"))</f>
        <v>-</v>
      </c>
      <c r="F27" s="1198">
        <f>306726.660833333*(1+'R&amp;C-Painel de Controle'!$D$61)</f>
        <v>306726.66083333298</v>
      </c>
      <c r="G27" s="1183"/>
      <c r="H27" s="1197">
        <f t="shared" ref="H27:H43" si="0">F27</f>
        <v>306726.66083333298</v>
      </c>
      <c r="I27" s="377" t="str">
        <f>(IF(I$7="SIM",(H27*(1-(($D$2-H$11)/(J$11-H$11)))+J27*(1-((J$11-$D$2)/(J$11-H$11))))/1000000,"-"))</f>
        <v>-</v>
      </c>
      <c r="J27" s="1198">
        <f>408968.881111111*(1+'R&amp;C-Painel de Controle'!$D$61)</f>
        <v>408968.88111111103</v>
      </c>
      <c r="K27" s="1183"/>
      <c r="L27" s="1197">
        <f t="shared" ref="L27:L43" si="1">J27</f>
        <v>408968.88111111103</v>
      </c>
      <c r="M27" s="377">
        <f>(IF(M$7="SIM",(L27*(1-(($D$2-L$11)/(N$11-L$11)))+N27*(1-((N$11-$D$2)/(N$11-L$11))))/1000000,"-"))</f>
        <v>0.95347680286547798</v>
      </c>
      <c r="N27" s="1198">
        <f>1289352.9*(1+'R&amp;C-Painel de Controle'!$D$61)</f>
        <v>1289352.8999999999</v>
      </c>
      <c r="O27" s="1183"/>
      <c r="P27" s="1197">
        <f t="shared" ref="P27:P43" si="2">N27</f>
        <v>1289352.8999999999</v>
      </c>
      <c r="Q27" s="377" t="str">
        <f>(IF(Q$7="SIM",(P27*(1-(($D$2-P$11)/(R$11-P$11)))+R27*(1-((R$11-$D$2)/(R$11-P$11))))/1000000,"-"))</f>
        <v>-</v>
      </c>
      <c r="R27" s="1198">
        <f>2124504.31222222*(1+'R&amp;C-Painel de Controle'!$D$61)</f>
        <v>2124504.31222222</v>
      </c>
      <c r="S27" s="1183"/>
      <c r="T27" s="1197">
        <f t="shared" ref="T27:T43" si="3">R27</f>
        <v>2124504.31222222</v>
      </c>
      <c r="U27" s="377" t="str">
        <f>(IF(U$7="SIM",(T27*(1-(($D$2-T$11)/(V$11-T$11)))+V27*(1-((V$11-$D$2)/(V$11-T$11))))/1000000,"-"))</f>
        <v>-</v>
      </c>
      <c r="V27" s="1210">
        <f>2665116.43777778*(1+'R&amp;C-Painel de Controle'!$D$61)</f>
        <v>2665116.43777778</v>
      </c>
      <c r="W27" s="1189"/>
    </row>
    <row r="28" spans="1:61" ht="16.899999999999999" customHeight="1" outlineLevel="1" x14ac:dyDescent="0.25">
      <c r="A28" s="681"/>
      <c r="B28" s="1193" t="s">
        <v>663</v>
      </c>
      <c r="C28" s="1181"/>
      <c r="D28" s="1197">
        <f>229960.6003125*(1+'R&amp;C-Painel de Controle'!$D$61)</f>
        <v>229960.6003125</v>
      </c>
      <c r="E28" s="377" t="str">
        <f>(IF(E$7="SIM",(D28*(1-(($D$2-D$11)/(F$11-D$11)))+F28*(1-((F$11-$D$2)/(F$11-D$11))))/1000000,"-"))</f>
        <v>-</v>
      </c>
      <c r="F28" s="1198">
        <f>306614.13375*(1+'R&amp;C-Painel de Controle'!$D$61)</f>
        <v>306614.13374999998</v>
      </c>
      <c r="G28" s="1183"/>
      <c r="H28" s="1197">
        <f t="shared" si="0"/>
        <v>306614.13374999998</v>
      </c>
      <c r="I28" s="377" t="str">
        <f>(IF(I$7="SIM",(H28*(1-(($D$2-H$11)/(J$11-H$11)))+J28*(1-((J$11-$D$2)/(J$11-H$11))))/1000000,"-"))</f>
        <v>-</v>
      </c>
      <c r="J28" s="1198">
        <f>408818.845*(1+'R&amp;C-Painel de Controle'!$D$61)</f>
        <v>408818.84499999997</v>
      </c>
      <c r="K28" s="1183"/>
      <c r="L28" s="1197">
        <f t="shared" si="1"/>
        <v>408818.84499999997</v>
      </c>
      <c r="M28" s="377">
        <f>(IF(M$7="SIM",(L28*(1-(($D$2-L$11)/(N$11-L$11)))+N28*(1-((N$11-$D$2)/(N$11-L$11))))/1000000,"-"))</f>
        <v>0.75905460373048228</v>
      </c>
      <c r="N28" s="1198">
        <f>975095.206666667*(1+'R&amp;C-Painel de Controle'!$D$61)</f>
        <v>975095.20666666701</v>
      </c>
      <c r="O28" s="1183"/>
      <c r="P28" s="1197">
        <f t="shared" si="2"/>
        <v>975095.20666666701</v>
      </c>
      <c r="Q28" s="377" t="str">
        <f>(IF(Q$7="SIM",(P28*(1-(($D$2-P$11)/(R$11-P$11)))+R28*(1-((R$11-$D$2)/(R$11-P$11))))/1000000,"-"))</f>
        <v>-</v>
      </c>
      <c r="R28" s="1198">
        <f>1922105.38444444*(1+'R&amp;C-Painel de Controle'!$D$61)</f>
        <v>1922105.38444444</v>
      </c>
      <c r="S28" s="1183"/>
      <c r="T28" s="1197">
        <f t="shared" si="3"/>
        <v>1922105.38444444</v>
      </c>
      <c r="U28" s="377" t="str">
        <f>(IF(U$7="SIM",(T28*(1-(($D$2-T$11)/(V$11-T$11)))+V28*(1-((V$11-$D$2)/(V$11-T$11))))/1000000,"-"))</f>
        <v>-</v>
      </c>
      <c r="V28" s="1210">
        <f>2427599.98277778*(1+'R&amp;C-Painel de Controle'!$D$61)</f>
        <v>2427599.9827777799</v>
      </c>
      <c r="W28" s="1189"/>
    </row>
    <row r="29" spans="1:61" ht="16.899999999999999" customHeight="1" x14ac:dyDescent="0.25">
      <c r="A29" s="681"/>
      <c r="B29" s="1010" t="s">
        <v>758</v>
      </c>
      <c r="C29" s="1181"/>
      <c r="D29" s="1197"/>
      <c r="E29" s="377" t="str">
        <f>(IF(E$7="SIM",E30,"-"))</f>
        <v>-</v>
      </c>
      <c r="F29" s="1198"/>
      <c r="G29" s="1183"/>
      <c r="H29" s="1197"/>
      <c r="I29" s="377" t="str">
        <f>(IF(I$7="SIM",I30,"-"))</f>
        <v>-</v>
      </c>
      <c r="J29" s="1198"/>
      <c r="K29" s="1183"/>
      <c r="L29" s="1197"/>
      <c r="M29" s="377">
        <f>(IF(M$7="SIM",M30,"-"))</f>
        <v>1.4273956725569805E-2</v>
      </c>
      <c r="N29" s="1198"/>
      <c r="O29" s="1183"/>
      <c r="P29" s="1197"/>
      <c r="Q29" s="377" t="str">
        <f>(IF(Q$7="SIM",Q30,"-"))</f>
        <v>-</v>
      </c>
      <c r="R29" s="1198"/>
      <c r="S29" s="1183"/>
      <c r="T29" s="1197"/>
      <c r="U29" s="377" t="str">
        <f>(IF(U$7="SIM",U30,"-"))</f>
        <v>-</v>
      </c>
      <c r="V29" s="1210"/>
      <c r="W29" s="1189"/>
    </row>
    <row r="30" spans="1:61" ht="16.899999999999999" customHeight="1" outlineLevel="1" x14ac:dyDescent="0.25">
      <c r="A30" s="681"/>
      <c r="B30" s="1193" t="s">
        <v>445</v>
      </c>
      <c r="C30" s="1181"/>
      <c r="D30" s="1197">
        <f>3648.21111111111*(1+'R&amp;C-Painel de Controle'!$D$61)</f>
        <v>3648.2111111111099</v>
      </c>
      <c r="E30" s="377" t="str">
        <f>(IF(E$7="SIM",(D30*(1-(($D$2-D$11)/(F$11-D$11)))+F30*(1-((F$11-$D$2)/(F$11-D$11))))/1000000,"-"))</f>
        <v>-</v>
      </c>
      <c r="F30" s="1198">
        <f>3720.52777777778*(1+'R&amp;C-Painel de Controle'!$D$61)</f>
        <v>3720.5277777777801</v>
      </c>
      <c r="G30" s="1184"/>
      <c r="H30" s="1197">
        <f>F30</f>
        <v>3720.5277777777801</v>
      </c>
      <c r="I30" s="377" t="str">
        <f>(IF(I$7="SIM",(H30*(1-(($D$2-H$11)/(J$11-H$11)))+J30*(1-((J$11-$D$2)/(J$11-H$11))))/1000000,"-"))</f>
        <v>-</v>
      </c>
      <c r="J30" s="1198">
        <f>8371.57777777778*(1+'R&amp;C-Painel de Controle'!$D$61)</f>
        <v>8371.5777777777803</v>
      </c>
      <c r="K30" s="1184"/>
      <c r="L30" s="1197">
        <f>J30</f>
        <v>8371.5777777777803</v>
      </c>
      <c r="M30" s="377">
        <f>(IF(M$7="SIM",(L30*(1-(($D$2-L$11)/(N$11-L$11)))+N30*(1-((N$11-$D$2)/(N$11-L$11))))/1000000,"-"))</f>
        <v>1.4273956725569805E-2</v>
      </c>
      <c r="N30" s="1198">
        <f>17914.8*(1+'R&amp;C-Painel de Controle'!$D$61)</f>
        <v>17914.8</v>
      </c>
      <c r="O30" s="1184"/>
      <c r="P30" s="1197">
        <f>N30</f>
        <v>17914.8</v>
      </c>
      <c r="Q30" s="377" t="str">
        <f>(IF(Q$7="SIM",(P30*(1-(($D$2-P$11)/(R$11-P$11)))+R30*(1-((R$11-$D$2)/(R$11-P$11))))/1000000,"-"))</f>
        <v>-</v>
      </c>
      <c r="R30" s="1198">
        <f>41772.7777777778*(1+'R&amp;C-Painel de Controle'!$D$61)</f>
        <v>41772.777777777803</v>
      </c>
      <c r="S30" s="1184"/>
      <c r="T30" s="1197">
        <f>R30</f>
        <v>41772.777777777803</v>
      </c>
      <c r="U30" s="377" t="str">
        <f>(IF(U$7="SIM",(T30*(1-(($D$2-T$11)/(V$11-T$11)))+V30*(1-((V$11-$D$2)/(V$11-T$11))))/1000000,"-"))</f>
        <v>-</v>
      </c>
      <c r="V30" s="1210">
        <f>99031.9111111111*(1+'R&amp;C-Painel de Controle'!$D$61)</f>
        <v>99031.911111111098</v>
      </c>
      <c r="W30" s="1189"/>
    </row>
    <row r="31" spans="1:61" ht="16.899999999999999" customHeight="1" x14ac:dyDescent="0.25">
      <c r="A31" s="681"/>
      <c r="B31" s="1010" t="s">
        <v>760</v>
      </c>
      <c r="C31" s="1181"/>
      <c r="D31" s="1197"/>
      <c r="E31" s="377" t="str">
        <f>(IF(E$7="SIM",E32+E33+E34+E35,"-"))</f>
        <v>-</v>
      </c>
      <c r="F31" s="1198"/>
      <c r="G31" s="1184"/>
      <c r="H31" s="1197"/>
      <c r="I31" s="377" t="str">
        <f>(IF(I$7="SIM",I32+I33+I34+I35,"-"))</f>
        <v>-</v>
      </c>
      <c r="J31" s="1198"/>
      <c r="K31" s="1184"/>
      <c r="L31" s="1197"/>
      <c r="M31" s="377">
        <f>(IF(M$7="SIM",M32+M33+M34+M35,"-"))</f>
        <v>0.21034539466246011</v>
      </c>
      <c r="N31" s="1198"/>
      <c r="O31" s="1184"/>
      <c r="P31" s="1197"/>
      <c r="Q31" s="377" t="str">
        <f>(IF(Q$7="SIM",Q32+Q33+Q34+Q35,"-"))</f>
        <v>-</v>
      </c>
      <c r="R31" s="1198"/>
      <c r="S31" s="1184"/>
      <c r="T31" s="1197"/>
      <c r="U31" s="377" t="str">
        <f>(IF(U$7="SIM",U32+U33+U34+U35,"-"))</f>
        <v>-</v>
      </c>
      <c r="V31" s="1210"/>
      <c r="W31" s="1189"/>
    </row>
    <row r="32" spans="1:61" ht="16.899999999999999" customHeight="1" outlineLevel="1" x14ac:dyDescent="0.25">
      <c r="A32" s="681"/>
      <c r="B32" s="1193" t="s">
        <v>406</v>
      </c>
      <c r="C32" s="1181"/>
      <c r="D32" s="1197">
        <f>3857.29166666667*(1+'R&amp;C-Painel de Controle'!$D$61)*('R&amp;C-Painel de Controle'!$D$91/8.05)</f>
        <v>7187.5000000000055</v>
      </c>
      <c r="E32" s="377" t="str">
        <f>(IF(E$7="SIM",(D32*(1-(($D$2-D$11)/(F$11-D$11)))+F32*(1-((F$11-$D$2)/(F$11-D$11))))/1000000,"-"))</f>
        <v>-</v>
      </c>
      <c r="F32" s="1198">
        <f>9643.22916666667*(1+'R&amp;C-Painel de Controle'!$D$61)*('R&amp;C-Painel de Controle'!$D$91/8.05)</f>
        <v>17968.750000000004</v>
      </c>
      <c r="G32" s="1185"/>
      <c r="H32" s="1197">
        <f t="shared" si="0"/>
        <v>17968.750000000004</v>
      </c>
      <c r="I32" s="377" t="str">
        <f>(IF(I$7="SIM",(H32*(1-(($D$2-H$11)/(J$11-H$11)))+J32*(1-((J$11-$D$2)/(J$11-H$11))))/1000000,"-"))</f>
        <v>-</v>
      </c>
      <c r="J32" s="1198">
        <f>24750.6194444444*(1+'R&amp;C-Painel de Controle'!$D$61)*('R&amp;C-Painel de Controle'!$D$91/8.05)</f>
        <v>46119.166666666577</v>
      </c>
      <c r="K32" s="1185"/>
      <c r="L32" s="1197">
        <f t="shared" si="1"/>
        <v>46119.166666666577</v>
      </c>
      <c r="M32" s="377">
        <f>(IF(M$7="SIM",(L32*(1-(($D$2-L$11)/(N$11-L$11)))+N32*(1-((N$11-$D$2)/(N$11-L$11))))/1000000,"-"))</f>
        <v>7.768685046153842E-2</v>
      </c>
      <c r="N32" s="1198">
        <f>52142.0861111111*(1+'R&amp;C-Painel de Controle'!$D$61)*('R&amp;C-Painel de Controle'!$D$91/8.05)</f>
        <v>97159.166666666628</v>
      </c>
      <c r="O32" s="1185"/>
      <c r="P32" s="1197">
        <f t="shared" si="2"/>
        <v>97159.166666666628</v>
      </c>
      <c r="Q32" s="377" t="str">
        <f>(IF(Q$7="SIM",(P32*(1-(($D$2-P$11)/(R$11-P$11)))+R32*(1-((R$11-$D$2)/(R$11-P$11))))/1000000,"-"))</f>
        <v>-</v>
      </c>
      <c r="R32" s="1198">
        <f>98949.2583333333*(1+'R&amp;C-Painel de Controle'!$D$61)*('R&amp;C-Painel de Controle'!$D$91/8.05)</f>
        <v>184377.49999999991</v>
      </c>
      <c r="S32" s="1185"/>
      <c r="T32" s="1197">
        <f t="shared" si="3"/>
        <v>184377.49999999991</v>
      </c>
      <c r="U32" s="377" t="str">
        <f>(IF(U$7="SIM",(T32*(1-(($D$2-T$11)/(V$11-T$11)))+V32*(1-((V$11-$D$2)/(V$11-T$11))))/1000000,"-"))</f>
        <v>-</v>
      </c>
      <c r="V32" s="1210">
        <f>178111.616666667*(1+'R&amp;C-Painel de Controle'!$D$61)*('R&amp;C-Painel de Controle'!$D$91/8.05)</f>
        <v>331885.00000000058</v>
      </c>
      <c r="W32" s="1189"/>
    </row>
    <row r="33" spans="1:61" ht="16.899999999999999" customHeight="1" outlineLevel="1" x14ac:dyDescent="0.25">
      <c r="A33" s="681"/>
      <c r="B33" s="1193" t="s">
        <v>407</v>
      </c>
      <c r="C33" s="1181"/>
      <c r="D33" s="1197">
        <f>5590.05686868687*(1+'R&amp;C-Painel de Controle'!$D$61)</f>
        <v>5590.0568686868701</v>
      </c>
      <c r="E33" s="377" t="str">
        <f>(IF(E$7="SIM",(D33*(1-(($D$2-D$11)/(F$11-D$11)))+F33*(1-((F$11-$D$2)/(F$11-D$11))))/1000000,"-"))</f>
        <v>-</v>
      </c>
      <c r="F33" s="1198">
        <f>13506.4161616162*(1+'R&amp;C-Painel de Controle'!$D$61)</f>
        <v>13506.4161616162</v>
      </c>
      <c r="G33" s="1183"/>
      <c r="H33" s="1197">
        <f t="shared" si="0"/>
        <v>13506.4161616162</v>
      </c>
      <c r="I33" s="377" t="str">
        <f>(IF(I$7="SIM",(H33*(1-(($D$2-H$11)/(J$11-H$11)))+J33*(1-((J$11-$D$2)/(J$11-H$11))))/1000000,"-"))</f>
        <v>-</v>
      </c>
      <c r="J33" s="1198">
        <f>33307.5755555556*(1+'R&amp;C-Painel de Controle'!$D$61)</f>
        <v>33307.575555555602</v>
      </c>
      <c r="K33" s="1183"/>
      <c r="L33" s="1197">
        <f t="shared" si="1"/>
        <v>33307.575555555602</v>
      </c>
      <c r="M33" s="377">
        <f>(IF(M$7="SIM",(L33*(1-(($D$2-L$11)/(N$11-L$11)))+N33*(1-((N$11-$D$2)/(N$11-L$11))))/1000000,"-"))</f>
        <v>5.7356549844819117E-2</v>
      </c>
      <c r="N33" s="1198">
        <f>72191*(1+'R&amp;C-Painel de Controle'!$D$61)</f>
        <v>72191</v>
      </c>
      <c r="O33" s="1183"/>
      <c r="P33" s="1197">
        <f t="shared" si="2"/>
        <v>72191</v>
      </c>
      <c r="Q33" s="377" t="str">
        <f>(IF(Q$7="SIM",(P33*(1-(($D$2-P$11)/(R$11-P$11)))+R33*(1-((R$11-$D$2)/(R$11-P$11))))/1000000,"-"))</f>
        <v>-</v>
      </c>
      <c r="R33" s="1198">
        <f>134378.801666667*(1+'R&amp;C-Painel de Controle'!$D$61)</f>
        <v>134378.80166666699</v>
      </c>
      <c r="S33" s="1183"/>
      <c r="T33" s="1197">
        <f t="shared" si="3"/>
        <v>134378.80166666699</v>
      </c>
      <c r="U33" s="377" t="str">
        <f>(IF(U$7="SIM",(T33*(1-(($D$2-T$11)/(V$11-T$11)))+V33*(1-((V$11-$D$2)/(V$11-T$11))))/1000000,"-"))</f>
        <v>-</v>
      </c>
      <c r="V33" s="1210">
        <f>235377.144444444*(1+'R&amp;C-Painel de Controle'!$D$61)</f>
        <v>235377.14444444401</v>
      </c>
      <c r="W33" s="1189"/>
    </row>
    <row r="34" spans="1:61" ht="16.899999999999999" customHeight="1" outlineLevel="1" x14ac:dyDescent="0.25">
      <c r="A34" s="681"/>
      <c r="B34" s="1193" t="s">
        <v>409</v>
      </c>
      <c r="C34" s="1181"/>
      <c r="D34" s="1197">
        <f>187.5*(1+'R&amp;C-Painel de Controle'!$D$61)</f>
        <v>187.5</v>
      </c>
      <c r="E34" s="377" t="str">
        <f>(IF(E$7="SIM",(D34*(1-(($D$2-D$11)/(F$11-D$11)))+F34*(1-((F$11-$D$2)/(F$11-D$11))))/1000000,"-"))</f>
        <v>-</v>
      </c>
      <c r="F34" s="1198">
        <f>468.75*(1+'R&amp;C-Painel de Controle'!$D$61)</f>
        <v>468.75</v>
      </c>
      <c r="G34" s="1184"/>
      <c r="H34" s="1197">
        <f t="shared" si="0"/>
        <v>468.75</v>
      </c>
      <c r="I34" s="377" t="str">
        <f>(IF(I$7="SIM",(H34*(1-(($D$2-H$11)/(J$11-H$11)))+J34*(1-((J$11-$D$2)/(J$11-H$11))))/1000000,"-"))</f>
        <v>-</v>
      </c>
      <c r="J34" s="1198">
        <f>1200*(1+'R&amp;C-Painel de Controle'!$D$61)</f>
        <v>1200</v>
      </c>
      <c r="K34" s="1184"/>
      <c r="L34" s="1197">
        <f t="shared" si="1"/>
        <v>1200</v>
      </c>
      <c r="M34" s="377">
        <f>(IF(M$7="SIM",(L34*(1-(($D$2-L$11)/(N$11-L$11)))+N34*(1-((N$11-$D$2)/(N$11-L$11))))/1000000,"-"))</f>
        <v>2.0194980608974362E-3</v>
      </c>
      <c r="N34" s="1198">
        <f>2525*(1+'R&amp;C-Painel de Controle'!$D$61)</f>
        <v>2525</v>
      </c>
      <c r="O34" s="1184"/>
      <c r="P34" s="1197">
        <f t="shared" si="2"/>
        <v>2525</v>
      </c>
      <c r="Q34" s="377" t="str">
        <f>(IF(Q$7="SIM",(P34*(1-(($D$2-P$11)/(R$11-P$11)))+R34*(1-((R$11-$D$2)/(R$11-P$11))))/1000000,"-"))</f>
        <v>-</v>
      </c>
      <c r="R34" s="1198">
        <f>4800*(1+'R&amp;C-Painel de Controle'!$D$61)</f>
        <v>4800</v>
      </c>
      <c r="S34" s="1184"/>
      <c r="T34" s="1197">
        <f t="shared" si="3"/>
        <v>4800</v>
      </c>
      <c r="U34" s="377" t="str">
        <f>(IF(U$7="SIM",(T34*(1-(($D$2-T$11)/(V$11-T$11)))+V34*(1-((V$11-$D$2)/(V$11-T$11))))/1000000,"-"))</f>
        <v>-</v>
      </c>
      <c r="V34" s="1210">
        <f>8650*(1+'R&amp;C-Painel de Controle'!$D$61)</f>
        <v>8650</v>
      </c>
      <c r="W34" s="1189"/>
    </row>
    <row r="35" spans="1:61" ht="16.899999999999999" customHeight="1" outlineLevel="1" x14ac:dyDescent="0.25">
      <c r="A35" s="1178"/>
      <c r="B35" s="1193" t="s">
        <v>444</v>
      </c>
      <c r="C35" s="1182"/>
      <c r="D35" s="1197">
        <f>37176.0604245283*(1+'R&amp;C-Painel de Controle'!$D$61)</f>
        <v>37176.060424528303</v>
      </c>
      <c r="E35" s="377" t="str">
        <f>(IF(E$7="SIM",(D35*(1-(($D$2-D$11)/(F$11-D$11)))+F35*(1-((F$11-$D$2)/(F$11-D$11))))/1000000,"-"))</f>
        <v>-</v>
      </c>
      <c r="F35" s="1198">
        <f>65324.2475196541*(1+'R&amp;C-Painel de Controle'!$D$61)</f>
        <v>65324.247519654098</v>
      </c>
      <c r="G35" s="1183"/>
      <c r="H35" s="1197">
        <f t="shared" si="0"/>
        <v>65324.247519654098</v>
      </c>
      <c r="I35" s="377" t="str">
        <f>(IF(I$7="SIM",(H35*(1-(($D$2-H$11)/(J$11-H$11)))+J35*(1-((J$11-$D$2)/(J$11-H$11))))/1000000,"-"))</f>
        <v>-</v>
      </c>
      <c r="J35" s="1198">
        <f>68985.4566666667*(1+'R&amp;C-Painel de Controle'!$D$61)</f>
        <v>68985.456666666694</v>
      </c>
      <c r="K35" s="1183"/>
      <c r="L35" s="1197">
        <f t="shared" si="1"/>
        <v>68985.456666666694</v>
      </c>
      <c r="M35" s="377">
        <f>(IF(M$7="SIM",(L35*(1-(($D$2-L$11)/(N$11-L$11)))+N35*(1-((N$11-$D$2)/(N$11-L$11))))/1000000,"-"))</f>
        <v>7.3282496295205155E-2</v>
      </c>
      <c r="N35" s="1198">
        <f>75933.0966666667*(1+'R&amp;C-Painel de Controle'!$D$61)</f>
        <v>75933.096666666694</v>
      </c>
      <c r="O35" s="1183"/>
      <c r="P35" s="1197">
        <f t="shared" si="2"/>
        <v>75933.096666666694</v>
      </c>
      <c r="Q35" s="377" t="str">
        <f>(IF(Q$7="SIM",(P35*(1-(($D$2-P$11)/(R$11-P$11)))+R35*(1-((R$11-$D$2)/(R$11-P$11))))/1000000,"-"))</f>
        <v>-</v>
      </c>
      <c r="R35" s="1198">
        <f>86805.8733333333*(1+'R&amp;C-Painel de Controle'!$D$61)</f>
        <v>86805.873333333293</v>
      </c>
      <c r="S35" s="1183"/>
      <c r="T35" s="1197">
        <f t="shared" si="3"/>
        <v>86805.873333333293</v>
      </c>
      <c r="U35" s="377" t="str">
        <f>(IF(U$7="SIM",(T35*(1-(($D$2-T$11)/(V$11-T$11)))+V35*(1-((V$11-$D$2)/(V$11-T$11))))/1000000,"-"))</f>
        <v>-</v>
      </c>
      <c r="V35" s="1210">
        <f>104399.310555556*(1+'R&amp;C-Painel de Controle'!$D$61)</f>
        <v>104399.310555556</v>
      </c>
      <c r="W35" s="1190"/>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178"/>
      <c r="B36" s="1010" t="s">
        <v>761</v>
      </c>
      <c r="C36" s="1182"/>
      <c r="D36" s="1197"/>
      <c r="E36" s="377" t="str">
        <f>(IF(E$7="SIM",E37+E38+E39+E40,"-"))</f>
        <v>-</v>
      </c>
      <c r="F36" s="1198"/>
      <c r="G36" s="1183"/>
      <c r="H36" s="1197"/>
      <c r="I36" s="377" t="str">
        <f>(IF(I$7="SIM",I37+I38+I39+I40,"-"))</f>
        <v>-</v>
      </c>
      <c r="J36" s="1198"/>
      <c r="K36" s="1183"/>
      <c r="L36" s="1197"/>
      <c r="M36" s="377">
        <f>(IF(M$7="SIM",M37+M38+M39+M40,"-"))</f>
        <v>1.7336403796702915</v>
      </c>
      <c r="N36" s="1198"/>
      <c r="O36" s="1183"/>
      <c r="P36" s="1197"/>
      <c r="Q36" s="377" t="str">
        <f>(IF(Q$7="SIM",Q37+Q38+Q39+Q40,"-"))</f>
        <v>-</v>
      </c>
      <c r="R36" s="1198"/>
      <c r="S36" s="1183"/>
      <c r="T36" s="1197"/>
      <c r="U36" s="377" t="str">
        <f>(IF(U$7="SIM",U37+U38+U39+U40,"-"))</f>
        <v>-</v>
      </c>
      <c r="V36" s="1210"/>
      <c r="W36" s="1190"/>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681"/>
      <c r="B37" s="1193" t="s">
        <v>757</v>
      </c>
      <c r="C37" s="1181"/>
      <c r="D37" s="1197">
        <f>139761.136722222*'R&amp;C-Painel de Controle'!$D$72/125*(0.7+0.3*'R&amp;C-Painel de Controle'!$D$74/3.5)</f>
        <v>107017.09897587284</v>
      </c>
      <c r="E37" s="377" t="str">
        <f>(IF(E$7="SIM",(D37*(1-(($D$2-D$11)/(F$11-D$11)))+F37*(1-((F$11-$D$2)/(F$11-D$11))))/1000000,"-"))</f>
        <v>-</v>
      </c>
      <c r="F37" s="1198">
        <f>349402.841805556*'R&amp;C-Painel de Controle'!$D$72/125*(0.7+0.3*'R&amp;C-Painel de Controle'!$D$74/3.5)</f>
        <v>267542.74743968283</v>
      </c>
      <c r="G37" s="1183"/>
      <c r="H37" s="1197">
        <f>F37</f>
        <v>267542.74743968283</v>
      </c>
      <c r="I37" s="377" t="str">
        <f>(IF(I$7="SIM",(H37*(1-(($D$2-H$11)/(J$11-H$11)))+J37*(1-((J$11-$D$2)/(J$11-H$11))))/1000000,"-"))</f>
        <v>-</v>
      </c>
      <c r="J37" s="1198">
        <f>1397611.36722222*'R&amp;C-Painel de Controle'!$D$72/125*(0.7+0.3*'R&amp;C-Painel de Controle'!$D$74/3.5)</f>
        <v>1070170.9897587283</v>
      </c>
      <c r="K37" s="1183"/>
      <c r="L37" s="1197">
        <f>J37</f>
        <v>1070170.9897587283</v>
      </c>
      <c r="M37" s="377">
        <f>(IF(M$7="SIM",(L37*(1-(($D$2-L$11)/(N$11-L$11)))+N37*(1-((N$11-$D$2)/(N$11-L$11))))/1000000,"-"))</f>
        <v>1.1233985658203776</v>
      </c>
      <c r="N37" s="1198">
        <f>1510004.01111111*'R&amp;C-Painel de Controle'!$D$72/125*(0.7+0.3*'R&amp;C-Painel de Controle'!$D$74/3.5)</f>
        <v>1156231.6427936498</v>
      </c>
      <c r="O37" s="1183"/>
      <c r="P37" s="1197">
        <f>N37</f>
        <v>1156231.6427936498</v>
      </c>
      <c r="Q37" s="377" t="str">
        <f>(IF(Q$7="SIM",(P37*(1-(($D$2-P$11)/(R$11-P$11)))+R37*(1-((R$11-$D$2)/(R$11-P$11))))/1000000,"-"))</f>
        <v>-</v>
      </c>
      <c r="R37" s="1198">
        <f>2674675.75222222*'R&amp;C-Painel de Controle'!$D$72/125*(0.7+0.3*'R&amp;C-Painel de Controle'!$D$74/3.5)</f>
        <v>2048037.4331301569</v>
      </c>
      <c r="S37" s="1183"/>
      <c r="T37" s="1197">
        <f>R37</f>
        <v>2048037.4331301569</v>
      </c>
      <c r="U37" s="377" t="str">
        <f>(IF(U$7="SIM",(T37*(1-(($D$2-T$11)/(V$11-T$11)))+V37*(1-((V$11-$D$2)/(V$11-T$11))))/1000000,"-"))</f>
        <v>-</v>
      </c>
      <c r="V37" s="1210">
        <f>5792117.34944444*'R&amp;C-Painel de Controle'!$D$72/125*(0.7+0.3*'R&amp;C-Painel de Controle'!$D$74/3.5)</f>
        <v>4435106.9990031701</v>
      </c>
      <c r="W37" s="1189"/>
    </row>
    <row r="38" spans="1:61" ht="16.899999999999999" customHeight="1" outlineLevel="1" x14ac:dyDescent="0.25">
      <c r="A38" s="1178"/>
      <c r="B38" s="1193" t="s">
        <v>405</v>
      </c>
      <c r="C38" s="1182"/>
      <c r="D38" s="1197">
        <f>1711.85111111111*(1+'R&amp;C-Painel de Controle'!$D$61)</f>
        <v>1711.85111111111</v>
      </c>
      <c r="E38" s="377" t="str">
        <f>(IF(E$7="SIM",(D38*(1-(($D$2-D$11)/(F$11-D$11)))+F38*(1-((F$11-$D$2)/(F$11-D$11))))/1000000,"-"))</f>
        <v>-</v>
      </c>
      <c r="F38" s="1198">
        <f>4279.62777777778*(1+'R&amp;C-Painel de Controle'!$D$61)</f>
        <v>4279.6277777777796</v>
      </c>
      <c r="G38" s="1186"/>
      <c r="H38" s="1197">
        <f>F38</f>
        <v>4279.6277777777796</v>
      </c>
      <c r="I38" s="377" t="str">
        <f>(IF(I$7="SIM",(H38*(1-(($D$2-H$11)/(J$11-H$11)))+J38*(1-((J$11-$D$2)/(J$11-H$11))))/1000000,"-"))</f>
        <v>-</v>
      </c>
      <c r="J38" s="1198">
        <f>17377.4127777778*(1+'R&amp;C-Painel de Controle'!$D$61)</f>
        <v>17377.412777777801</v>
      </c>
      <c r="K38" s="1186"/>
      <c r="L38" s="1197">
        <f>J38</f>
        <v>17377.412777777801</v>
      </c>
      <c r="M38" s="377">
        <f>(IF(M$7="SIM",(L38*(1-(($D$2-L$11)/(N$11-L$11)))+N38*(1-((N$11-$D$2)/(N$11-L$11))))/1000000,"-"))</f>
        <v>4.1008414536763897E-2</v>
      </c>
      <c r="N38" s="1198">
        <f>55585.0411111111*(1+'R&amp;C-Painel de Controle'!$D$61)</f>
        <v>55585.041111111103</v>
      </c>
      <c r="O38" s="1186"/>
      <c r="P38" s="1197">
        <f>N38</f>
        <v>55585.041111111103</v>
      </c>
      <c r="Q38" s="377" t="str">
        <f>(IF(Q$7="SIM",(P38*(1-(($D$2-P$11)/(R$11-P$11)))+R38*(1-((R$11-$D$2)/(R$11-P$11))))/1000000,"-"))</f>
        <v>-</v>
      </c>
      <c r="R38" s="1198">
        <f>142843.91*(1+'R&amp;C-Painel de Controle'!$D$61)</f>
        <v>142843.91</v>
      </c>
      <c r="S38" s="1186"/>
      <c r="T38" s="1197">
        <f>R38</f>
        <v>142843.91</v>
      </c>
      <c r="U38" s="377" t="str">
        <f>(IF(U$7="SIM",(T38*(1-(($D$2-T$11)/(V$11-T$11)))+V38*(1-((V$11-$D$2)/(V$11-T$11))))/1000000,"-"))</f>
        <v>-</v>
      </c>
      <c r="V38" s="1210">
        <f>326023.525*(1+'R&amp;C-Painel de Controle'!$D$61)</f>
        <v>326023.52500000002</v>
      </c>
      <c r="W38" s="1190"/>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178"/>
      <c r="B39" s="1193" t="s">
        <v>410</v>
      </c>
      <c r="C39" s="1182"/>
      <c r="D39" s="1197">
        <f>18914.0625*(1+'R&amp;C-Painel de Controle'!$D$61)</f>
        <v>18914.0625</v>
      </c>
      <c r="E39" s="377" t="str">
        <f>(IF(E$7="SIM",(D39*(1-(($D$2-D$11)/(F$11-D$11)))+F39*(1-((F$11-$D$2)/(F$11-D$11))))/1000000,"-"))</f>
        <v>-</v>
      </c>
      <c r="F39" s="1198">
        <f>33625*(1+'R&amp;C-Painel de Controle'!$D$61)</f>
        <v>33625</v>
      </c>
      <c r="G39" s="1183"/>
      <c r="H39" s="1197">
        <f t="shared" si="0"/>
        <v>33625</v>
      </c>
      <c r="I39" s="377" t="str">
        <f>(IF(I$7="SIM",(H39*(1-(($D$2-H$11)/(J$11-H$11)))+J39*(1-((J$11-$D$2)/(J$11-H$11))))/1000000,"-"))</f>
        <v>-</v>
      </c>
      <c r="J39" s="1198">
        <f>33625*(1+'R&amp;C-Painel de Controle'!$D$61)</f>
        <v>33625</v>
      </c>
      <c r="K39" s="1183"/>
      <c r="L39" s="1197">
        <f t="shared" si="1"/>
        <v>33625</v>
      </c>
      <c r="M39" s="377">
        <f>(IF(M$7="SIM",(L39*(1-(($D$2-L$11)/(N$11-L$11)))+N39*(1-((N$11-$D$2)/(N$11-L$11))))/1000000,"-"))</f>
        <v>5.4421696073717961E-2</v>
      </c>
      <c r="N39" s="1198">
        <f>67250*(1+'R&amp;C-Painel de Controle'!$D$61)</f>
        <v>67250</v>
      </c>
      <c r="O39" s="1183"/>
      <c r="P39" s="1197">
        <f t="shared" si="2"/>
        <v>67250</v>
      </c>
      <c r="Q39" s="377" t="str">
        <f>(IF(Q$7="SIM",(P39*(1-(($D$2-P$11)/(R$11-P$11)))+R39*(1-((R$11-$D$2)/(R$11-P$11))))/1000000,"-"))</f>
        <v>-</v>
      </c>
      <c r="R39" s="1198">
        <f>67250*(1+'R&amp;C-Painel de Controle'!$D$61)</f>
        <v>67250</v>
      </c>
      <c r="S39" s="1183"/>
      <c r="T39" s="1197">
        <f t="shared" si="3"/>
        <v>67250</v>
      </c>
      <c r="U39" s="377" t="str">
        <f>(IF(U$7="SIM",(T39*(1-(($D$2-T$11)/(V$11-T$11)))+V39*(1-((V$11-$D$2)/(V$11-T$11))))/1000000,"-"))</f>
        <v>-</v>
      </c>
      <c r="V39" s="1210">
        <f>67250*(1+'R&amp;C-Painel de Controle'!$D$61)</f>
        <v>67250</v>
      </c>
      <c r="W39" s="1190"/>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681"/>
      <c r="B40" s="1193" t="s">
        <v>411</v>
      </c>
      <c r="C40" s="1181"/>
      <c r="D40" s="1197">
        <f>134894.388888889*(1+'R&amp;C-Painel de Controle'!$D$61)</f>
        <v>134894.38888888899</v>
      </c>
      <c r="E40" s="377" t="str">
        <f>(IF(E$7="SIM",(D40*(1-(($D$2-D$11)/(F$11-D$11)))+F40*(1-((F$11-$D$2)/(F$11-D$11))))/1000000,"-"))</f>
        <v>-</v>
      </c>
      <c r="F40" s="1198">
        <f>202341.583333333*(1+'R&amp;C-Painel de Controle'!$D$61)</f>
        <v>202341.58333333299</v>
      </c>
      <c r="G40" s="1185"/>
      <c r="H40" s="1197">
        <f t="shared" si="0"/>
        <v>202341.58333333299</v>
      </c>
      <c r="I40" s="377" t="str">
        <f>(IF(I$7="SIM",(H40*(1-(($D$2-H$11)/(J$11-H$11)))+J40*(1-((J$11-$D$2)/(J$11-H$11))))/1000000,"-"))</f>
        <v>-</v>
      </c>
      <c r="J40" s="1198">
        <f>404683.166666667*(1+'R&amp;C-Painel de Controle'!$D$61)</f>
        <v>404683.16666666698</v>
      </c>
      <c r="K40" s="1185"/>
      <c r="L40" s="1197">
        <f t="shared" si="1"/>
        <v>404683.16666666698</v>
      </c>
      <c r="M40" s="377">
        <f>(IF(M$7="SIM",(L40*(1-(($D$2-L$11)/(N$11-L$11)))+N40*(1-((N$11-$D$2)/(N$11-L$11))))/1000000,"-"))</f>
        <v>0.51481170323943182</v>
      </c>
      <c r="N40" s="1198">
        <f>582743.76*(1+'R&amp;C-Painel de Controle'!$D$61)</f>
        <v>582743.76</v>
      </c>
      <c r="O40" s="1185"/>
      <c r="P40" s="1197">
        <f t="shared" si="2"/>
        <v>582743.76</v>
      </c>
      <c r="Q40" s="377" t="str">
        <f>(IF(Q$7="SIM",(P40*(1-(($D$2-P$11)/(R$11-P$11)))+R40*(1-((R$11-$D$2)/(R$11-P$11))))/1000000,"-"))</f>
        <v>-</v>
      </c>
      <c r="R40" s="1198">
        <f>1165487.52*(1+'R&amp;C-Painel de Controle'!$D$61)</f>
        <v>1165487.52</v>
      </c>
      <c r="S40" s="1185"/>
      <c r="T40" s="1197">
        <f t="shared" si="3"/>
        <v>1165487.52</v>
      </c>
      <c r="U40" s="377" t="str">
        <f>(IF(U$7="SIM",(T40*(1-(($D$2-T$11)/(V$11-T$11)))+V40*(1-((V$11-$D$2)/(V$11-T$11))))/1000000,"-"))</f>
        <v>-</v>
      </c>
      <c r="V40" s="1210">
        <f>2330975.04*(1+'R&amp;C-Painel de Controle'!$D$61)</f>
        <v>2330975.04</v>
      </c>
      <c r="W40" s="1189"/>
    </row>
    <row r="41" spans="1:61" ht="16.899999999999999" customHeight="1" x14ac:dyDescent="0.25">
      <c r="A41" s="681"/>
      <c r="B41" s="1010" t="s">
        <v>762</v>
      </c>
      <c r="C41" s="1181"/>
      <c r="D41" s="1197"/>
      <c r="E41" s="377" t="str">
        <f>(IF(E$7="SIM",E42+E43+E44,"-"))</f>
        <v>-</v>
      </c>
      <c r="F41" s="1198"/>
      <c r="G41" s="1186"/>
      <c r="H41" s="1197"/>
      <c r="I41" s="377" t="str">
        <f>(IF(I$7="SIM",I42+I43+I44,"-"))</f>
        <v>-</v>
      </c>
      <c r="J41" s="1198"/>
      <c r="K41" s="1186"/>
      <c r="L41" s="1197"/>
      <c r="M41" s="377">
        <f>(IF(M$7="SIM",M42+M43+M44,"-"))</f>
        <v>2.7275530948725675</v>
      </c>
      <c r="N41" s="1198"/>
      <c r="O41" s="1186"/>
      <c r="P41" s="1197"/>
      <c r="Q41" s="377" t="str">
        <f>(IF(Q$7="SIM",Q42+Q43+Q44,"-"))</f>
        <v>-</v>
      </c>
      <c r="R41" s="1198"/>
      <c r="S41" s="1186"/>
      <c r="T41" s="1197"/>
      <c r="U41" s="377" t="str">
        <f>(IF(U$7="SIM",U42+U43+U44,"-"))</f>
        <v>-</v>
      </c>
      <c r="V41" s="1210"/>
      <c r="W41" s="1189"/>
    </row>
    <row r="42" spans="1:61" ht="16.899999999999999" customHeight="1" outlineLevel="1" x14ac:dyDescent="0.25">
      <c r="A42" s="681"/>
      <c r="B42" s="1193" t="s">
        <v>408</v>
      </c>
      <c r="C42" s="1181"/>
      <c r="D42" s="1197">
        <f>489033.018867925*'R&amp;C-Painel de Controle'!$D$73/60</f>
        <v>431979.16666666704</v>
      </c>
      <c r="E42" s="377" t="str">
        <f>(IF(E$7="SIM",(D42*(1-(($D$2-D$11)/(F$11-D$11)))+F42*(1-((F$11-$D$2)/(F$11-D$11))))/1000000,"-"))</f>
        <v>-</v>
      </c>
      <c r="F42" s="1198">
        <f>1222582.54716981*'R&amp;C-Painel de Controle'!$D$73/60</f>
        <v>1079947.9166666653</v>
      </c>
      <c r="G42" s="1184"/>
      <c r="H42" s="1197">
        <f>F42</f>
        <v>1079947.9166666653</v>
      </c>
      <c r="I42" s="377" t="str">
        <f>(IF(I$7="SIM",(H42*(1-(($D$2-H$11)/(J$11-H$11)))+J42*(1-((J$11-$D$2)/(J$11-H$11))))/1000000,"-"))</f>
        <v>-</v>
      </c>
      <c r="J42" s="1198">
        <f>1603863.33333333*'R&amp;C-Painel de Controle'!$D$73/60</f>
        <v>1416745.9444444415</v>
      </c>
      <c r="K42" s="1184"/>
      <c r="L42" s="1197">
        <f>J42</f>
        <v>1416745.9444444415</v>
      </c>
      <c r="M42" s="377">
        <f>(IF(M$7="SIM",(L42*(1-(($D$2-L$11)/(N$11-L$11)))+N42*(1-((N$11-$D$2)/(N$11-L$11))))/1000000,"-"))</f>
        <v>2.3869027900648754</v>
      </c>
      <c r="N42" s="1198">
        <f>3379627.47222222*'R&amp;C-Painel de Controle'!$D$73/60</f>
        <v>2985337.600462961</v>
      </c>
      <c r="O42" s="1184"/>
      <c r="P42" s="1197">
        <f>N42</f>
        <v>2985337.600462961</v>
      </c>
      <c r="Q42" s="377" t="str">
        <f>(IF(Q$7="SIM",(P42*(1-(($D$2-P$11)/(R$11-P$11)))+R42*(1-((R$11-$D$2)/(R$11-P$11))))/1000000,"-"))</f>
        <v>-</v>
      </c>
      <c r="R42" s="1198">
        <f>6873700.05555556*'R&amp;C-Painel de Controle'!$D$73/60</f>
        <v>6071768.382407411</v>
      </c>
      <c r="S42" s="1184"/>
      <c r="T42" s="1197">
        <f>R42</f>
        <v>6071768.382407411</v>
      </c>
      <c r="U42" s="377" t="str">
        <f>(IF(U$7="SIM",(T42*(1-(($D$2-T$11)/(V$11-T$11)))+V42*(1-((V$11-$D$2)/(V$11-T$11))))/1000000,"-"))</f>
        <v>-</v>
      </c>
      <c r="V42" s="1210">
        <f>14028508.8333333*'R&amp;C-Painel de Controle'!$D$73/60</f>
        <v>12391849.469444416</v>
      </c>
      <c r="W42" s="1189"/>
    </row>
    <row r="43" spans="1:61" ht="16.899999999999999" customHeight="1" outlineLevel="1" x14ac:dyDescent="0.25">
      <c r="A43" s="681"/>
      <c r="B43" s="1193" t="s">
        <v>413</v>
      </c>
      <c r="C43" s="1181"/>
      <c r="D43" s="1197">
        <f>6105*(1+'R&amp;C-Painel de Controle'!$D$61)</f>
        <v>6105</v>
      </c>
      <c r="E43" s="377" t="str">
        <f>(IF(E$7="SIM",(D43*(1-(($D$2-D$11)/(F$11-D$11)))+F43*(1-((F$11-$D$2)/(F$11-D$11))))/1000000,"-"))</f>
        <v>-</v>
      </c>
      <c r="F43" s="1198">
        <f>15262.5*(1+'R&amp;C-Painel de Controle'!$D$61)</f>
        <v>15262.5</v>
      </c>
      <c r="G43" s="1184"/>
      <c r="H43" s="1197">
        <f t="shared" si="0"/>
        <v>15262.5</v>
      </c>
      <c r="I43" s="377" t="str">
        <f>(IF(I$7="SIM",(H43*(1-(($D$2-H$11)/(J$11-H$11)))+J43*(1-((J$11-$D$2)/(J$11-H$11))))/1000000,"-"))</f>
        <v>-</v>
      </c>
      <c r="J43" s="1198">
        <f>61050*(1+'R&amp;C-Painel de Controle'!$D$61)</f>
        <v>61050</v>
      </c>
      <c r="K43" s="1184"/>
      <c r="L43" s="1197">
        <f t="shared" si="1"/>
        <v>61050</v>
      </c>
      <c r="M43" s="377">
        <f>(IF(M$7="SIM",(L43*(1-(($D$2-L$11)/(N$11-L$11)))+N43*(1-((N$11-$D$2)/(N$11-L$11))))/1000000,"-"))</f>
        <v>0.13656751942307696</v>
      </c>
      <c r="N43" s="1198">
        <f>183150*(1+'R&amp;C-Painel de Controle'!$D$61)</f>
        <v>183150</v>
      </c>
      <c r="O43" s="1184"/>
      <c r="P43" s="1197">
        <f t="shared" si="2"/>
        <v>183150</v>
      </c>
      <c r="Q43" s="377" t="str">
        <f>(IF(Q$7="SIM",(P43*(1-(($D$2-P$11)/(R$11-P$11)))+R43*(1-((R$11-$D$2)/(R$11-P$11))))/1000000,"-"))</f>
        <v>-</v>
      </c>
      <c r="R43" s="1198">
        <f>540000*(1+'R&amp;C-Painel de Controle'!$D$61)</f>
        <v>540000</v>
      </c>
      <c r="S43" s="1184"/>
      <c r="T43" s="1197">
        <f t="shared" si="3"/>
        <v>540000</v>
      </c>
      <c r="U43" s="377" t="str">
        <f>(IF(U$7="SIM",(T43*(1-(($D$2-T$11)/(V$11-T$11)))+V43*(1-((V$11-$D$2)/(V$11-T$11))))/1000000,"-"))</f>
        <v>-</v>
      </c>
      <c r="V43" s="1210">
        <f>1092000*(1+'R&amp;C-Painel de Controle'!$D$61)</f>
        <v>1092000</v>
      </c>
      <c r="W43" s="1189"/>
    </row>
    <row r="44" spans="1:61" ht="16.899999999999999" customHeight="1" outlineLevel="1" x14ac:dyDescent="0.25">
      <c r="A44" s="681"/>
      <c r="B44" s="1193" t="s">
        <v>412</v>
      </c>
      <c r="C44" s="1181"/>
      <c r="D44" s="1197">
        <f>95175*(1+'R&amp;C-Painel de Controle'!$D$61)</f>
        <v>95175</v>
      </c>
      <c r="E44" s="377" t="str">
        <f>(IF(E$7="SIM",(D44*(1-(($D$2-D$11)/(F$11-D$11)))+F44*(1-((F$11-$D$2)/(F$11-D$11))))/1000000,"-"))</f>
        <v>-</v>
      </c>
      <c r="F44" s="1198">
        <f>30097.293051576*(1+'R&amp;C-Painel de Controle'!$D$61)</f>
        <v>30097.293051576002</v>
      </c>
      <c r="G44" s="1186"/>
      <c r="H44" s="1197">
        <f>F44</f>
        <v>30097.293051576002</v>
      </c>
      <c r="I44" s="377" t="str">
        <f>(IF(I$7="SIM",(H44*(1-(($D$2-H$11)/(J$11-H$11)))+J44*(1-((J$11-$D$2)/(J$11-H$11))))/1000000,"-"))</f>
        <v>-</v>
      </c>
      <c r="J44" s="1198">
        <f>169200*(1+'R&amp;C-Painel de Controle'!$D$61)</f>
        <v>169200</v>
      </c>
      <c r="K44" s="1186"/>
      <c r="L44" s="1197">
        <f>J44</f>
        <v>169200</v>
      </c>
      <c r="M44" s="377">
        <f>(IF(M$7="SIM",(L44*(1-(($D$2-L$11)/(N$11-L$11)))+N44*(1-((N$11-$D$2)/(N$11-L$11))))/1000000,"-"))</f>
        <v>0.20408278538461541</v>
      </c>
      <c r="N44" s="1198">
        <f>225600*(1+'R&amp;C-Painel de Controle'!$D$61)</f>
        <v>225600</v>
      </c>
      <c r="O44" s="1186"/>
      <c r="P44" s="1197">
        <f>N44</f>
        <v>225600</v>
      </c>
      <c r="Q44" s="377" t="str">
        <f>(IF(Q$7="SIM",(P44*(1-(($D$2-P$11)/(R$11-P$11)))+R44*(1-((R$11-$D$2)/(R$11-P$11))))/1000000,"-"))</f>
        <v>-</v>
      </c>
      <c r="R44" s="1198">
        <f>278400*(1+'R&amp;C-Painel de Controle'!$D$61)</f>
        <v>278400</v>
      </c>
      <c r="S44" s="1186"/>
      <c r="T44" s="1197">
        <f>R44</f>
        <v>278400</v>
      </c>
      <c r="U44" s="377" t="str">
        <f>(IF(U$7="SIM",(T44*(1-(($D$2-T$11)/(V$11-T$11)))+V44*(1-((V$11-$D$2)/(V$11-T$11))))/1000000,"-"))</f>
        <v>-</v>
      </c>
      <c r="V44" s="1210">
        <f>822000*(1+'R&amp;C-Painel de Controle'!$D$61)</f>
        <v>822000</v>
      </c>
      <c r="W44" s="1189"/>
    </row>
    <row r="45" spans="1:61" s="882" customFormat="1" ht="19.899999999999999" customHeight="1" x14ac:dyDescent="0.3">
      <c r="A45" s="1179"/>
      <c r="B45" s="1194" t="s">
        <v>386</v>
      </c>
      <c r="C45" s="1179"/>
      <c r="D45" s="1199"/>
      <c r="E45" s="1174" t="str">
        <f>(IF(E$7="SIM",E46*1000000/$H$2,"-"))</f>
        <v>-</v>
      </c>
      <c r="F45" s="1200"/>
      <c r="G45" s="1187"/>
      <c r="H45" s="1208"/>
      <c r="I45" s="1174" t="str">
        <f>(IF(I$7="SIM",I46*1000000/$H$2,"-"))</f>
        <v>-</v>
      </c>
      <c r="J45" s="1200"/>
      <c r="K45" s="1187"/>
      <c r="L45" s="1208"/>
      <c r="M45" s="1174">
        <f>(IF(M$7="SIM",M46*1000000/$H$2,"-"))</f>
        <v>100.52039727916925</v>
      </c>
      <c r="N45" s="1200"/>
      <c r="O45" s="1187"/>
      <c r="P45" s="1208"/>
      <c r="Q45" s="1174" t="str">
        <f>(IF(Q$7="SIM",Q46*1000000/$H$2,"-"))</f>
        <v>-</v>
      </c>
      <c r="R45" s="1200"/>
      <c r="S45" s="1187"/>
      <c r="T45" s="1208"/>
      <c r="U45" s="1174" t="str">
        <f>(IF(U$7="SIM",U46*1000000/$H$2,"-"))</f>
        <v>-</v>
      </c>
      <c r="V45" s="1211"/>
      <c r="W45" s="1191"/>
      <c r="X45" s="1092"/>
      <c r="Y45" s="1092"/>
      <c r="Z45" s="1092"/>
      <c r="AA45" s="1092"/>
      <c r="AB45" s="1092"/>
      <c r="AC45" s="1092"/>
      <c r="AD45" s="1092"/>
      <c r="AE45" s="1092"/>
      <c r="AF45" s="1092"/>
      <c r="AG45" s="1092"/>
      <c r="AH45" s="1092"/>
      <c r="AI45" s="1092"/>
      <c r="AJ45" s="1092"/>
      <c r="AK45" s="1092"/>
      <c r="AL45" s="1092"/>
      <c r="AM45" s="1092"/>
      <c r="AN45" s="1092"/>
      <c r="AO45" s="1092"/>
      <c r="AP45" s="1092"/>
      <c r="AQ45" s="1092"/>
      <c r="AR45" s="1092"/>
      <c r="AS45" s="1092"/>
      <c r="AT45" s="1092"/>
      <c r="AU45" s="1092"/>
      <c r="AV45" s="1092"/>
      <c r="AW45" s="1092"/>
      <c r="AX45" s="1092"/>
      <c r="AY45" s="1092"/>
      <c r="AZ45" s="1092"/>
      <c r="BA45" s="1092"/>
      <c r="BB45" s="1092"/>
      <c r="BC45" s="1092"/>
      <c r="BD45" s="1092"/>
      <c r="BE45" s="1092"/>
      <c r="BF45" s="1092"/>
      <c r="BG45" s="1092"/>
      <c r="BH45" s="1092"/>
      <c r="BI45" s="1092"/>
    </row>
    <row r="46" spans="1:61" s="882" customFormat="1" ht="19.899999999999999" customHeight="1" x14ac:dyDescent="0.3">
      <c r="A46" s="1179"/>
      <c r="B46" s="1194" t="s">
        <v>387</v>
      </c>
      <c r="C46" s="1179"/>
      <c r="D46" s="1201">
        <v>0.1</v>
      </c>
      <c r="E46" s="1175" t="str">
        <f>(IF(E$7="SIM",(E26+E29+E31+E36+E41)*(1+D46),"-"))</f>
        <v>-</v>
      </c>
      <c r="F46" s="1202"/>
      <c r="G46" s="1179"/>
      <c r="H46" s="1201">
        <v>0.1</v>
      </c>
      <c r="I46" s="1175" t="str">
        <f>(IF(I$7="SIM",(I26+I29+I31+I36+I41)*(1+H46),"-"))</f>
        <v>-</v>
      </c>
      <c r="J46" s="1202"/>
      <c r="K46" s="1179"/>
      <c r="L46" s="1201">
        <v>0.1</v>
      </c>
      <c r="M46" s="1175">
        <f>(IF(M$7="SIM",(M26+M29+M31+M36+M41)*(1+L46),"-"))</f>
        <v>7.0381786557795349</v>
      </c>
      <c r="N46" s="1202"/>
      <c r="O46" s="1179"/>
      <c r="P46" s="1201">
        <v>0.1</v>
      </c>
      <c r="Q46" s="1175" t="str">
        <f>(IF(Q$7="SIM",(Q26+Q29+Q31+Q36+Q41)*(1+P46),"-"))</f>
        <v>-</v>
      </c>
      <c r="R46" s="1202"/>
      <c r="S46" s="1179"/>
      <c r="T46" s="1201">
        <v>0.1</v>
      </c>
      <c r="U46" s="1175" t="str">
        <f>(IF(U$7="SIM",(U26+U29+U31+U36+U41)*(1+T46),"-"))</f>
        <v>-</v>
      </c>
      <c r="V46" s="1211"/>
      <c r="W46" s="1191"/>
      <c r="X46" s="1092"/>
      <c r="Y46" s="1092"/>
      <c r="Z46" s="1092"/>
      <c r="AA46" s="1092"/>
      <c r="AB46" s="1092"/>
      <c r="AC46" s="1092"/>
      <c r="AD46" s="1092"/>
      <c r="AE46" s="1092"/>
      <c r="AF46" s="1092"/>
      <c r="AG46" s="1092"/>
      <c r="AH46" s="1092"/>
      <c r="AI46" s="1092"/>
      <c r="AJ46" s="1092"/>
      <c r="AK46" s="1092"/>
      <c r="AL46" s="1092"/>
      <c r="AM46" s="1092"/>
      <c r="AN46" s="1092"/>
      <c r="AO46" s="1092"/>
      <c r="AP46" s="1092"/>
      <c r="AQ46" s="1092"/>
      <c r="AR46" s="1092"/>
      <c r="AS46" s="1092"/>
      <c r="AT46" s="1092"/>
      <c r="AU46" s="1092"/>
      <c r="AV46" s="1092"/>
      <c r="AW46" s="1092"/>
      <c r="AX46" s="1092"/>
      <c r="AY46" s="1092"/>
      <c r="AZ46" s="1092"/>
      <c r="BA46" s="1092"/>
      <c r="BB46" s="1092"/>
      <c r="BC46" s="1092"/>
      <c r="BD46" s="1092"/>
      <c r="BE46" s="1092"/>
      <c r="BF46" s="1092"/>
      <c r="BG46" s="1092"/>
      <c r="BH46" s="1092"/>
      <c r="BI46" s="1092"/>
    </row>
    <row r="47" spans="1:61" s="691" customFormat="1" ht="16.899999999999999" customHeight="1" x14ac:dyDescent="0.25">
      <c r="A47" s="1180"/>
      <c r="B47" s="1013" t="s">
        <v>388</v>
      </c>
      <c r="C47" s="656"/>
      <c r="D47" s="1203"/>
      <c r="E47" s="1176" t="str">
        <f>(IF(E$7="SIM",((E27+E34+E35+E30+E39+E40+E44)*(1+D46)),"-"))</f>
        <v>-</v>
      </c>
      <c r="F47" s="1204"/>
      <c r="G47" s="656"/>
      <c r="H47" s="1203"/>
      <c r="I47" s="1176" t="str">
        <f>(IF(I$7="SIM",((I27+I34+I35+I30+I39+I40+I44)*(1+H46)),"-"))</f>
        <v>-</v>
      </c>
      <c r="J47" s="1204"/>
      <c r="K47" s="656"/>
      <c r="L47" s="1203"/>
      <c r="M47" s="1176">
        <f>(IF(M$7="SIM",((M27+M34+M35+M30+M39+M40+M44)*(1+L46)),"-"))</f>
        <v>1.9980058325094072</v>
      </c>
      <c r="N47" s="1204"/>
      <c r="O47" s="656"/>
      <c r="P47" s="1203"/>
      <c r="Q47" s="1176" t="str">
        <f>(IF(Q$7="SIM",((Q27+Q34+Q35+Q30+Q39+Q40+Q44)*(1+P46)),"-"))</f>
        <v>-</v>
      </c>
      <c r="R47" s="1204"/>
      <c r="S47" s="656"/>
      <c r="T47" s="1203"/>
      <c r="U47" s="1176" t="str">
        <f>(IF(U$7="SIM",((U27+U34+U35+U30+U39+U40+U44)*(1+T46)),"-"))</f>
        <v>-</v>
      </c>
      <c r="V47" s="1212"/>
      <c r="W47" s="1192"/>
    </row>
    <row r="48" spans="1:61" s="691" customFormat="1" ht="16.899999999999999" customHeight="1" thickBot="1" x14ac:dyDescent="0.3">
      <c r="A48" s="1180"/>
      <c r="B48" s="1014" t="s">
        <v>389</v>
      </c>
      <c r="C48" s="656"/>
      <c r="D48" s="1205"/>
      <c r="E48" s="1206" t="str">
        <f>(IF(E$7="SIM",((E37+E28+E38+E32+E33+E42+E43)*1000000/$H$2)*(1+D46),"-"))</f>
        <v>-</v>
      </c>
      <c r="F48" s="1207"/>
      <c r="G48" s="656"/>
      <c r="H48" s="1205"/>
      <c r="I48" s="1206" t="str">
        <f>(IF(I$7="SIM",((I37+I28+I38+I32+I33+I42+I43)*1000000/$H$2)*(1+H46),"-"))</f>
        <v>-</v>
      </c>
      <c r="J48" s="1207"/>
      <c r="K48" s="656"/>
      <c r="L48" s="1205"/>
      <c r="M48" s="1206">
        <f>(IF(M$7="SIM",((M37+M28+M38+M32+M33+M42+M43)*1000000/$H$2)*(1+L46),"-"))</f>
        <v>71.984557273883368</v>
      </c>
      <c r="N48" s="1207"/>
      <c r="O48" s="656"/>
      <c r="P48" s="1205"/>
      <c r="Q48" s="1206" t="str">
        <f>(IF(Q$7="SIM",((Q37+Q28+Q38+Q32+Q33+Q42+Q43)*1000000/$H$2)*(1+P46),"-"))</f>
        <v>-</v>
      </c>
      <c r="R48" s="1207"/>
      <c r="S48" s="656"/>
      <c r="T48" s="1205"/>
      <c r="U48" s="1206" t="str">
        <f>(IF(U$7="SIM",((U37+U28+U38+U32+U33+U42+U43)*1000000/$H$2)*(1+T46),"-"))</f>
        <v>-</v>
      </c>
      <c r="V48" s="1213"/>
      <c r="W48" s="1192"/>
    </row>
    <row r="49" spans="2:21" ht="14.25" customHeight="1" thickTop="1" x14ac:dyDescent="0.25">
      <c r="B49" s="1"/>
    </row>
    <row r="50" spans="2:21" ht="14.25" customHeight="1" x14ac:dyDescent="0.25">
      <c r="B50" s="1"/>
      <c r="U50" s="58"/>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l/CjCgtbTLOuAh6wUlCxXNP74Tc8FkU9CMgmzhDjnZjkdl+Pnlctr45XS9Bo4Fl+JB3XarGfgQRJqMrggsvIg==" saltValue="wCOwi/sV+NNwoZitHTI8NA=="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FCDDC-10B4-427B-8F0D-3B4AF2160660}">
  <dimension ref="A1:W79"/>
  <sheetViews>
    <sheetView view="pageBreakPreview" zoomScale="60" zoomScaleNormal="60" workbookViewId="0">
      <selection activeCell="L13" sqref="L13"/>
    </sheetView>
  </sheetViews>
  <sheetFormatPr defaultColWidth="11.42578125" defaultRowHeight="12.75" x14ac:dyDescent="0.2"/>
  <cols>
    <col min="1" max="1" width="8.42578125" style="1844" customWidth="1"/>
    <col min="2" max="2" width="11.42578125" style="1844"/>
    <col min="3" max="3" width="5.7109375" style="1844" customWidth="1"/>
    <col min="4" max="4" width="14.85546875" style="1844" customWidth="1"/>
    <col min="5" max="5" width="14" style="1844" customWidth="1"/>
    <col min="6" max="10" width="11.42578125" style="1844"/>
    <col min="11" max="11" width="6.5703125" style="1844" customWidth="1"/>
    <col min="12" max="15" width="11.42578125" style="1842"/>
    <col min="16" max="16" width="12.42578125" style="1842" customWidth="1"/>
    <col min="17" max="17" width="15.85546875" style="1842" customWidth="1"/>
    <col min="18" max="18" width="11.42578125" style="1842"/>
    <col min="19" max="19" width="14.28515625" style="1842" customWidth="1"/>
    <col min="20" max="20" width="12.7109375" style="1842" customWidth="1"/>
    <col min="21" max="21" width="11.42578125" style="1842"/>
    <col min="22" max="22" width="15.5703125" style="1842" customWidth="1"/>
    <col min="23" max="23" width="12.7109375" style="1842" customWidth="1"/>
    <col min="24" max="16384" width="11.42578125" style="1842"/>
  </cols>
  <sheetData>
    <row r="1" spans="1:23" ht="21" x14ac:dyDescent="0.2">
      <c r="A1" s="1838"/>
      <c r="B1" s="1839"/>
      <c r="C1" s="1838"/>
      <c r="D1" s="1838"/>
      <c r="E1" s="1838"/>
      <c r="F1" s="1838"/>
      <c r="G1" s="1838"/>
      <c r="H1" s="1838"/>
      <c r="I1" s="1838"/>
      <c r="J1" s="1838"/>
      <c r="K1" s="1840"/>
      <c r="L1" s="1841"/>
    </row>
    <row r="2" spans="1:23" ht="19.5" customHeight="1" x14ac:dyDescent="0.2">
      <c r="A2" s="1838"/>
      <c r="B2" s="1838"/>
      <c r="C2" s="1838"/>
      <c r="D2" s="1838"/>
      <c r="E2" s="1838"/>
      <c r="F2" s="1838"/>
      <c r="G2" s="1838"/>
      <c r="H2" s="1838"/>
      <c r="I2" s="1838"/>
      <c r="J2" s="1838"/>
      <c r="K2" s="1840"/>
      <c r="L2" s="1841"/>
    </row>
    <row r="3" spans="1:23" ht="20.25" customHeight="1" x14ac:dyDescent="0.3">
      <c r="A3" s="1840"/>
      <c r="B3" s="1843"/>
      <c r="C3" s="1840"/>
      <c r="D3" s="1840"/>
      <c r="E3" s="1840"/>
      <c r="F3" s="1840"/>
      <c r="G3" s="1840"/>
      <c r="H3" s="1840"/>
      <c r="I3" s="1840"/>
      <c r="J3" s="1840"/>
      <c r="K3" s="1840"/>
      <c r="L3" s="1841"/>
    </row>
    <row r="4" spans="1:23" ht="9" customHeight="1" x14ac:dyDescent="0.2">
      <c r="A4" s="1840"/>
      <c r="B4" s="1840"/>
      <c r="C4" s="1840"/>
      <c r="D4" s="1840"/>
      <c r="E4" s="1840"/>
      <c r="F4" s="1840"/>
      <c r="G4" s="1840"/>
      <c r="H4" s="1840"/>
      <c r="I4" s="1840"/>
      <c r="J4" s="1840"/>
      <c r="K4" s="1840"/>
      <c r="L4" s="1841"/>
    </row>
    <row r="5" spans="1:23" ht="9" customHeight="1" x14ac:dyDescent="0.2"/>
    <row r="6" spans="1:23" ht="9" customHeight="1" x14ac:dyDescent="0.2"/>
    <row r="7" spans="1:23" ht="18.75" x14ac:dyDescent="0.3">
      <c r="B7" s="1845"/>
      <c r="C7" s="1846"/>
      <c r="D7" s="1846"/>
      <c r="E7" s="1846"/>
      <c r="F7" s="1846"/>
      <c r="G7" s="1846"/>
    </row>
    <row r="8" spans="1:23" ht="14.25" x14ac:dyDescent="0.25">
      <c r="B8" s="1847"/>
      <c r="C8" s="1846"/>
      <c r="D8" s="1846"/>
      <c r="E8" s="1846"/>
      <c r="F8" s="1846"/>
      <c r="G8" s="1846"/>
    </row>
    <row r="9" spans="1:23" ht="14.25" x14ac:dyDescent="0.25">
      <c r="B9" s="1848"/>
      <c r="C9" s="1846"/>
      <c r="D9" s="1846"/>
      <c r="E9" s="1846"/>
      <c r="F9" s="1846"/>
      <c r="G9" s="1846"/>
    </row>
    <row r="10" spans="1:23" ht="121.5" customHeight="1" x14ac:dyDescent="0.2"/>
    <row r="11" spans="1:23" ht="21" customHeight="1" x14ac:dyDescent="0.2">
      <c r="A11" s="1849"/>
      <c r="B11" s="1842"/>
      <c r="C11" s="1842"/>
      <c r="D11" s="1842"/>
      <c r="E11" s="1842"/>
      <c r="F11" s="1842"/>
      <c r="G11" s="1842"/>
      <c r="H11" s="1842"/>
      <c r="I11" s="1849"/>
      <c r="J11" s="1849"/>
      <c r="K11" s="1840"/>
    </row>
    <row r="12" spans="1:23" ht="21" customHeight="1" x14ac:dyDescent="0.2">
      <c r="A12" s="1849"/>
      <c r="B12" s="1842"/>
      <c r="C12" s="1842"/>
      <c r="D12" s="1842"/>
      <c r="E12" s="1842"/>
      <c r="F12" s="1842"/>
      <c r="G12" s="1842"/>
      <c r="H12" s="1842"/>
      <c r="I12" s="1842"/>
      <c r="J12" s="1842"/>
      <c r="K12" s="1842"/>
    </row>
    <row r="13" spans="1:23" ht="24.75" customHeight="1" x14ac:dyDescent="0.2">
      <c r="A13" s="1849"/>
      <c r="B13" s="1842"/>
      <c r="C13" s="1842"/>
      <c r="D13" s="1842"/>
      <c r="E13" s="1842"/>
      <c r="F13" s="1842"/>
      <c r="G13" s="1842"/>
      <c r="H13" s="1842"/>
      <c r="I13" s="1842"/>
      <c r="J13" s="1842"/>
      <c r="K13" s="1842"/>
      <c r="L13" s="1850" t="s">
        <v>1037</v>
      </c>
      <c r="M13" s="1851"/>
      <c r="N13" s="1852"/>
      <c r="O13" s="1852"/>
      <c r="P13" s="1852"/>
      <c r="Q13" s="1852"/>
      <c r="R13" s="1852"/>
      <c r="S13" s="1852"/>
      <c r="T13" s="1852"/>
      <c r="U13" s="1852"/>
      <c r="V13" s="1852"/>
      <c r="W13" s="1852"/>
    </row>
    <row r="14" spans="1:23" ht="24.75" customHeight="1" x14ac:dyDescent="0.2">
      <c r="A14" s="1849"/>
      <c r="B14" s="1842"/>
      <c r="C14" s="1842"/>
      <c r="D14" s="1842"/>
      <c r="E14" s="1842"/>
      <c r="F14" s="1842"/>
      <c r="G14" s="1842"/>
      <c r="H14" s="1842"/>
      <c r="I14" s="1842"/>
      <c r="J14" s="1842"/>
      <c r="K14" s="1842"/>
      <c r="L14" s="1853" t="s">
        <v>1038</v>
      </c>
    </row>
    <row r="15" spans="1:23" ht="24.75" customHeight="1" x14ac:dyDescent="0.2">
      <c r="L15" s="1853" t="s">
        <v>1039</v>
      </c>
    </row>
    <row r="16" spans="1:23" ht="24.75" customHeight="1" x14ac:dyDescent="0.2">
      <c r="L16" s="1853" t="s">
        <v>1040</v>
      </c>
    </row>
    <row r="17" spans="2:23" ht="24.75" customHeight="1" x14ac:dyDescent="0.2">
      <c r="B17" s="1842"/>
      <c r="C17" s="1842"/>
      <c r="D17" s="1842"/>
      <c r="E17" s="1842"/>
      <c r="F17" s="1842"/>
      <c r="G17" s="1842"/>
      <c r="H17" s="1842"/>
      <c r="I17" s="1842"/>
      <c r="J17" s="1842"/>
      <c r="K17" s="1842"/>
      <c r="L17" s="1853" t="s">
        <v>1041</v>
      </c>
    </row>
    <row r="18" spans="2:23" ht="24.75" customHeight="1" x14ac:dyDescent="0.2"/>
    <row r="19" spans="2:23" ht="24.75" customHeight="1" x14ac:dyDescent="0.2">
      <c r="L19" s="1854" t="s">
        <v>1042</v>
      </c>
      <c r="M19" s="1855"/>
      <c r="N19" s="1856"/>
      <c r="O19" s="1856"/>
      <c r="P19" s="1856"/>
      <c r="Q19" s="1856"/>
      <c r="R19" s="1856"/>
      <c r="S19" s="1855"/>
      <c r="T19" s="1855"/>
      <c r="U19" s="1855"/>
      <c r="V19" s="1855"/>
      <c r="W19" s="1855"/>
    </row>
    <row r="20" spans="2:23" ht="24.75" customHeight="1" x14ac:dyDescent="0.2">
      <c r="B20" s="1842"/>
      <c r="C20" s="1842"/>
      <c r="D20" s="1842"/>
      <c r="E20" s="1842"/>
      <c r="F20" s="1842"/>
      <c r="G20" s="1842"/>
      <c r="H20" s="1842"/>
      <c r="I20" s="1842"/>
      <c r="J20" s="1842"/>
      <c r="K20" s="1842"/>
      <c r="L20" s="1854" t="s">
        <v>1043</v>
      </c>
      <c r="M20" s="1855"/>
      <c r="N20" s="1856"/>
      <c r="O20" s="1856"/>
      <c r="P20" s="1856"/>
      <c r="Q20" s="1856"/>
      <c r="R20" s="1856"/>
      <c r="S20" s="1855"/>
      <c r="T20" s="1855"/>
      <c r="U20" s="1855"/>
      <c r="V20" s="1855"/>
      <c r="W20" s="1855"/>
    </row>
    <row r="21" spans="2:23" ht="24.75" customHeight="1" x14ac:dyDescent="0.2">
      <c r="B21" s="1842"/>
      <c r="C21" s="1842"/>
      <c r="D21" s="1842"/>
      <c r="E21" s="1842"/>
      <c r="F21" s="1842"/>
      <c r="G21" s="1842"/>
      <c r="H21" s="1842"/>
      <c r="I21" s="1842"/>
      <c r="J21" s="1842"/>
      <c r="K21" s="1842"/>
      <c r="L21" s="1857" t="s">
        <v>1044</v>
      </c>
      <c r="M21" s="1857"/>
      <c r="N21" s="1857"/>
      <c r="O21" s="1857"/>
      <c r="P21" s="1857"/>
      <c r="Q21" s="1857"/>
      <c r="R21" s="1857"/>
      <c r="S21" s="1857"/>
      <c r="T21" s="1857"/>
      <c r="U21" s="1857"/>
      <c r="V21" s="1857"/>
      <c r="W21" s="1857"/>
    </row>
    <row r="23" spans="2:23" ht="14.25" x14ac:dyDescent="0.25">
      <c r="L23" s="1858" t="s">
        <v>1045</v>
      </c>
    </row>
    <row r="25" spans="2:23" ht="18.75" customHeight="1" x14ac:dyDescent="0.2">
      <c r="M25" s="1859" t="s">
        <v>1046</v>
      </c>
      <c r="N25" s="1860" t="s">
        <v>1047</v>
      </c>
    </row>
    <row r="26" spans="2:23" ht="18.75" customHeight="1" x14ac:dyDescent="0.25">
      <c r="C26" s="1861"/>
      <c r="D26" s="1861"/>
      <c r="E26" s="1861"/>
      <c r="F26" s="1861"/>
      <c r="G26" s="1861"/>
      <c r="H26" s="1861"/>
      <c r="I26" s="1861"/>
      <c r="J26" s="1861"/>
      <c r="L26" s="1844"/>
      <c r="M26" s="1862" t="s">
        <v>1048</v>
      </c>
      <c r="N26" s="1860" t="s">
        <v>1049</v>
      </c>
    </row>
    <row r="27" spans="2:23" ht="18.75" customHeight="1" x14ac:dyDescent="0.2">
      <c r="M27" s="1862" t="s">
        <v>1050</v>
      </c>
      <c r="N27" s="1860" t="s">
        <v>1051</v>
      </c>
    </row>
    <row r="28" spans="2:23" ht="18.75" customHeight="1" x14ac:dyDescent="0.2">
      <c r="M28" s="1862" t="s">
        <v>1052</v>
      </c>
      <c r="N28" s="1860" t="s">
        <v>1053</v>
      </c>
    </row>
    <row r="29" spans="2:23" ht="18.75" customHeight="1" x14ac:dyDescent="0.2">
      <c r="M29" s="1862" t="s">
        <v>1054</v>
      </c>
      <c r="N29" s="1860" t="s">
        <v>1055</v>
      </c>
    </row>
    <row r="31" spans="2:23" x14ac:dyDescent="0.2">
      <c r="B31" s="1842"/>
      <c r="C31" s="1842"/>
      <c r="D31" s="1842"/>
      <c r="E31" s="1842"/>
      <c r="F31" s="1842"/>
      <c r="G31" s="1842"/>
      <c r="H31" s="1842"/>
      <c r="I31" s="1842"/>
      <c r="J31" s="1842"/>
      <c r="K31" s="1842"/>
    </row>
    <row r="32" spans="2:23" ht="14.25" x14ac:dyDescent="0.25">
      <c r="L32" s="1863"/>
      <c r="M32" s="1864" t="s">
        <v>1056</v>
      </c>
      <c r="N32" s="1865" t="s">
        <v>1057</v>
      </c>
      <c r="O32" s="1863"/>
      <c r="P32" s="1863"/>
      <c r="Q32" s="1863"/>
      <c r="R32" s="1863"/>
      <c r="S32" s="1841"/>
    </row>
    <row r="33" spans="4:22" ht="14.25" x14ac:dyDescent="0.25">
      <c r="L33" s="1863"/>
      <c r="M33" s="1864" t="s">
        <v>1058</v>
      </c>
      <c r="N33" s="1866" t="s">
        <v>1059</v>
      </c>
      <c r="O33" s="1863"/>
      <c r="P33" s="1863"/>
      <c r="Q33" s="1863"/>
      <c r="R33" s="1863"/>
      <c r="S33" s="1841"/>
    </row>
    <row r="34" spans="4:22" ht="14.25" x14ac:dyDescent="0.25">
      <c r="L34" s="1863"/>
      <c r="M34" s="1864"/>
      <c r="N34" s="1866" t="s">
        <v>1060</v>
      </c>
      <c r="O34" s="1863"/>
      <c r="P34" s="1863"/>
      <c r="Q34" s="1863"/>
      <c r="R34" s="1863"/>
      <c r="S34" s="1841"/>
    </row>
    <row r="35" spans="4:22" ht="14.25" x14ac:dyDescent="0.25">
      <c r="L35" s="1863"/>
      <c r="M35" s="1867"/>
      <c r="N35" s="1866" t="s">
        <v>1061</v>
      </c>
      <c r="O35" s="1863"/>
      <c r="P35" s="1863"/>
      <c r="Q35" s="1863"/>
      <c r="R35" s="1863"/>
      <c r="S35" s="1841"/>
    </row>
    <row r="36" spans="4:22" ht="14.25" x14ac:dyDescent="0.25">
      <c r="L36" s="1863"/>
      <c r="M36" s="1864"/>
      <c r="N36" s="1866"/>
      <c r="O36" s="1863"/>
      <c r="P36" s="1863"/>
      <c r="Q36" s="1863"/>
      <c r="R36" s="1863"/>
      <c r="S36" s="1841"/>
    </row>
    <row r="37" spans="4:22" ht="14.25" x14ac:dyDescent="0.25">
      <c r="L37" s="2943" t="s">
        <v>1062</v>
      </c>
      <c r="M37" s="2943"/>
      <c r="N37" s="1865" t="s">
        <v>1063</v>
      </c>
      <c r="O37" s="1863"/>
      <c r="P37" s="1863"/>
      <c r="Q37" s="1863"/>
      <c r="R37" s="1863"/>
      <c r="S37" s="1841"/>
    </row>
    <row r="40" spans="4:22" ht="14.25" x14ac:dyDescent="0.25">
      <c r="D40" s="2940" t="s">
        <v>1064</v>
      </c>
      <c r="E40" s="2940"/>
      <c r="F40" s="1868" t="s">
        <v>1065</v>
      </c>
      <c r="G40" s="1869"/>
      <c r="H40" s="1869"/>
      <c r="I40" s="1870"/>
      <c r="J40" s="1870"/>
      <c r="K40" s="1871"/>
      <c r="L40" s="1871"/>
      <c r="M40" s="1871"/>
      <c r="N40" s="1870"/>
      <c r="O40" s="1870"/>
      <c r="P40" s="1870"/>
      <c r="Q40" s="1870"/>
      <c r="R40" s="1870"/>
      <c r="S40" s="1870"/>
      <c r="T40" s="1870"/>
      <c r="U40" s="1870"/>
      <c r="V40" s="1870"/>
    </row>
    <row r="41" spans="4:22" ht="14.25" x14ac:dyDescent="0.25">
      <c r="D41" s="2940" t="s">
        <v>1066</v>
      </c>
      <c r="E41" s="2940"/>
      <c r="F41" s="1872" t="s">
        <v>1067</v>
      </c>
      <c r="G41" s="1873"/>
      <c r="H41" s="1873"/>
      <c r="I41" s="1868"/>
      <c r="J41" s="1869"/>
      <c r="K41" s="1869"/>
      <c r="L41" s="1869"/>
      <c r="M41" s="1869"/>
      <c r="N41" s="1869"/>
      <c r="O41" s="1869"/>
      <c r="P41" s="1869"/>
      <c r="Q41" s="1869"/>
      <c r="R41" s="1869"/>
      <c r="S41" s="1869"/>
      <c r="T41" s="1869"/>
      <c r="U41" s="1870"/>
      <c r="V41" s="1870"/>
    </row>
    <row r="42" spans="4:22" ht="14.25" x14ac:dyDescent="0.25">
      <c r="D42" s="2944"/>
      <c r="E42" s="2944"/>
      <c r="F42" s="1874" t="s">
        <v>1068</v>
      </c>
      <c r="G42" s="1873"/>
      <c r="H42" s="1873"/>
      <c r="I42" s="1872"/>
      <c r="J42" s="1869"/>
      <c r="K42" s="1869"/>
      <c r="L42" s="1869"/>
      <c r="M42" s="1869"/>
      <c r="N42" s="1869"/>
      <c r="O42" s="1869"/>
      <c r="P42" s="1869"/>
      <c r="Q42" s="1869"/>
      <c r="R42" s="1869"/>
      <c r="S42" s="1869"/>
      <c r="T42" s="1869"/>
      <c r="U42" s="1870"/>
      <c r="V42" s="1870"/>
    </row>
    <row r="43" spans="4:22" ht="15" customHeight="1" x14ac:dyDescent="0.2">
      <c r="D43" s="2940" t="s">
        <v>1069</v>
      </c>
      <c r="E43" s="2940"/>
      <c r="F43" s="1875" t="s">
        <v>1070</v>
      </c>
      <c r="G43" s="1875"/>
      <c r="H43" s="1875"/>
      <c r="I43" s="1875"/>
      <c r="J43" s="1875"/>
      <c r="K43" s="1875"/>
      <c r="L43" s="1871"/>
      <c r="M43" s="1871"/>
      <c r="N43" s="1870"/>
      <c r="O43" s="1870"/>
      <c r="P43" s="1870"/>
      <c r="Q43" s="1870"/>
      <c r="R43" s="1870"/>
      <c r="S43" s="1870"/>
      <c r="T43" s="1870"/>
      <c r="U43" s="1870"/>
      <c r="V43" s="1870"/>
    </row>
    <row r="44" spans="4:22" ht="31.5" customHeight="1" x14ac:dyDescent="0.25">
      <c r="D44" s="2945" t="s">
        <v>1071</v>
      </c>
      <c r="E44" s="2945"/>
      <c r="F44" s="1876" t="s">
        <v>1072</v>
      </c>
      <c r="G44" s="1875"/>
      <c r="H44" s="1875"/>
      <c r="I44" s="1875"/>
      <c r="J44" s="1875"/>
      <c r="K44" s="1875"/>
      <c r="L44" s="1871"/>
      <c r="M44" s="1871"/>
      <c r="N44" s="1870"/>
      <c r="O44" s="1870"/>
      <c r="P44" s="1870"/>
      <c r="Q44" s="1870"/>
      <c r="R44" s="1870"/>
      <c r="S44" s="1870"/>
      <c r="T44" s="1870"/>
      <c r="U44" s="1870"/>
      <c r="V44" s="1870"/>
    </row>
    <row r="45" spans="4:22" ht="14.25" x14ac:dyDescent="0.2">
      <c r="D45" s="2940" t="s">
        <v>1073</v>
      </c>
      <c r="E45" s="2940"/>
      <c r="F45" s="1875" t="s">
        <v>1074</v>
      </c>
      <c r="G45" s="1875"/>
      <c r="H45" s="1875"/>
      <c r="I45" s="1875"/>
      <c r="J45" s="1875"/>
      <c r="K45" s="1875"/>
      <c r="L45" s="1875"/>
      <c r="M45" s="1875"/>
      <c r="N45" s="1877"/>
      <c r="O45" s="1877"/>
      <c r="P45" s="1870"/>
      <c r="Q45" s="1870"/>
      <c r="R45" s="1870"/>
      <c r="S45" s="1870"/>
      <c r="T45" s="1870"/>
      <c r="U45" s="1870"/>
      <c r="V45" s="1870"/>
    </row>
    <row r="46" spans="4:22" ht="15.75" x14ac:dyDescent="0.2">
      <c r="D46" s="2940" t="s">
        <v>1075</v>
      </c>
      <c r="E46" s="2940"/>
      <c r="F46" s="1877" t="s">
        <v>1076</v>
      </c>
      <c r="G46" s="1875"/>
      <c r="H46" s="1875"/>
      <c r="I46" s="1875"/>
      <c r="J46" s="1878"/>
      <c r="K46" s="1875"/>
      <c r="L46" s="1875"/>
      <c r="M46" s="1877"/>
      <c r="N46" s="1877"/>
      <c r="O46" s="1879"/>
      <c r="P46" s="1870"/>
      <c r="Q46" s="1870"/>
      <c r="R46" s="1870"/>
      <c r="S46" s="1870"/>
      <c r="T46" s="1870"/>
      <c r="U46" s="1870"/>
      <c r="V46" s="1870"/>
    </row>
    <row r="47" spans="4:22" ht="15.75" x14ac:dyDescent="0.2">
      <c r="D47" s="2940" t="s">
        <v>1077</v>
      </c>
      <c r="E47" s="2940"/>
      <c r="F47" s="1875" t="s">
        <v>1078</v>
      </c>
      <c r="G47" s="1875"/>
      <c r="H47" s="1875"/>
      <c r="I47" s="1875"/>
      <c r="J47" s="1875"/>
      <c r="K47" s="1878"/>
      <c r="L47" s="1875"/>
      <c r="M47" s="1875"/>
      <c r="N47" s="1877"/>
      <c r="O47" s="1877"/>
      <c r="P47" s="1870"/>
      <c r="Q47" s="1870"/>
      <c r="R47" s="1870"/>
      <c r="S47" s="1870"/>
      <c r="T47" s="1870"/>
      <c r="U47" s="1870"/>
      <c r="V47" s="1870"/>
    </row>
    <row r="48" spans="4:22" ht="18.75" x14ac:dyDescent="0.2">
      <c r="D48" s="2940" t="s">
        <v>1079</v>
      </c>
      <c r="E48" s="2940"/>
      <c r="F48" s="1880" t="s">
        <v>1080</v>
      </c>
      <c r="G48" s="1875"/>
      <c r="H48" s="1881"/>
      <c r="I48" s="1878"/>
      <c r="J48" s="1878"/>
      <c r="K48" s="1878"/>
      <c r="L48" s="1875"/>
      <c r="M48" s="1875"/>
      <c r="N48" s="1877"/>
      <c r="O48" s="1877"/>
      <c r="P48" s="1870"/>
      <c r="Q48" s="1870"/>
      <c r="R48" s="1870"/>
      <c r="S48" s="1870"/>
      <c r="T48" s="1870"/>
      <c r="U48" s="1870"/>
      <c r="V48" s="1870"/>
    </row>
    <row r="49" spans="4:22" ht="14.25" x14ac:dyDescent="0.2">
      <c r="D49" s="1882"/>
      <c r="E49" s="1883"/>
      <c r="F49" s="1883"/>
      <c r="G49" s="1883"/>
      <c r="H49" s="1883"/>
      <c r="I49" s="1883"/>
      <c r="J49" s="1883"/>
      <c r="K49" s="1883"/>
      <c r="L49" s="1875"/>
      <c r="M49" s="1875"/>
      <c r="N49" s="1877"/>
      <c r="O49" s="1877"/>
      <c r="P49" s="1870"/>
      <c r="Q49" s="1870"/>
      <c r="R49" s="1870"/>
      <c r="S49" s="1870"/>
      <c r="T49" s="1870"/>
      <c r="U49" s="1870"/>
      <c r="V49" s="1870"/>
    </row>
    <row r="50" spans="4:22" x14ac:dyDescent="0.2">
      <c r="L50" s="1844"/>
      <c r="M50" s="1844"/>
      <c r="T50" s="1884"/>
      <c r="U50" s="1884"/>
    </row>
    <row r="51" spans="4:22" x14ac:dyDescent="0.2">
      <c r="L51" s="1844"/>
      <c r="M51" s="1844"/>
      <c r="T51" s="1884"/>
      <c r="U51" s="1884"/>
    </row>
    <row r="52" spans="4:22" ht="15.75" x14ac:dyDescent="0.25">
      <c r="D52" s="2941" t="s">
        <v>1081</v>
      </c>
      <c r="E52" s="2941"/>
      <c r="F52" s="2941"/>
      <c r="G52" s="2941"/>
      <c r="H52" s="2941"/>
      <c r="I52" s="2941"/>
      <c r="J52" s="2941"/>
      <c r="K52" s="2941"/>
      <c r="L52" s="2941"/>
      <c r="M52" s="2941"/>
      <c r="N52" s="2941"/>
      <c r="O52" s="2941"/>
      <c r="P52" s="2941"/>
      <c r="Q52" s="2941"/>
      <c r="R52" s="2941"/>
      <c r="S52" s="2941"/>
      <c r="T52" s="2941"/>
    </row>
    <row r="53" spans="4:22" ht="14.25" x14ac:dyDescent="0.2">
      <c r="D53" s="2942" t="s">
        <v>1082</v>
      </c>
      <c r="E53" s="2942"/>
      <c r="F53" s="2942"/>
      <c r="G53" s="2942"/>
      <c r="H53" s="2942"/>
      <c r="I53" s="2942"/>
      <c r="J53" s="2942"/>
      <c r="K53" s="2942"/>
      <c r="L53" s="2942"/>
      <c r="M53" s="2942"/>
      <c r="N53" s="2942"/>
      <c r="O53" s="2942"/>
      <c r="P53" s="2942"/>
      <c r="Q53" s="2942"/>
      <c r="R53" s="2942"/>
      <c r="S53" s="2942"/>
      <c r="T53" s="2942"/>
    </row>
    <row r="79" spans="12:13" x14ac:dyDescent="0.2">
      <c r="L79" s="1844"/>
      <c r="M79" s="1844"/>
    </row>
  </sheetData>
  <sheetProtection selectLockedCells="1" selectUnlockedCells="1"/>
  <mergeCells count="12">
    <mergeCell ref="D45:E45"/>
    <mergeCell ref="D46:E46"/>
    <mergeCell ref="D47:E47"/>
    <mergeCell ref="D48:E48"/>
    <mergeCell ref="D52:T52"/>
    <mergeCell ref="D53:T53"/>
    <mergeCell ref="L37:M37"/>
    <mergeCell ref="D40:E40"/>
    <mergeCell ref="D41:E41"/>
    <mergeCell ref="D42:E42"/>
    <mergeCell ref="D43:E43"/>
    <mergeCell ref="D44:E44"/>
  </mergeCells>
  <hyperlinks>
    <hyperlink ref="D53" r:id="rId1" xr:uid="{064F8CEC-A70F-423B-B7AD-6F7A06B4D4C5}"/>
    <hyperlink ref="F48" r:id="rId2" xr:uid="{A82FF8C6-3009-4ABA-896D-3FCB3512E5E9}"/>
  </hyperlinks>
  <pageMargins left="0.78740157499999996" right="0.78740157499999996" top="0.984251969" bottom="0.984251969" header="0.4921259845" footer="0.4921259845"/>
  <pageSetup paperSize="9" scale="30" orientation="portrait" horizontalDpi="1200" verticalDpi="1200" r:id="rId3"/>
  <headerFooter alignWithMargins="0"/>
  <drawing r:id="rId4"/>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635A31-2BD8-4232-B974-403B3830D6ED}">
  <dimension ref="A1:T132"/>
  <sheetViews>
    <sheetView showGridLines="0" zoomScaleNormal="100" workbookViewId="0">
      <selection activeCell="A3" sqref="A3"/>
    </sheetView>
  </sheetViews>
  <sheetFormatPr defaultColWidth="11.42578125" defaultRowHeight="12.75" x14ac:dyDescent="0.2"/>
  <cols>
    <col min="1" max="1" width="12.140625" style="1842" customWidth="1"/>
    <col min="2" max="2" width="34.42578125" style="1842" customWidth="1"/>
    <col min="3" max="5" width="14.42578125" style="1842" customWidth="1"/>
    <col min="6" max="6" width="5.42578125" style="1842" customWidth="1"/>
    <col min="7" max="7" width="9.42578125" style="1842" customWidth="1"/>
    <col min="8" max="8" width="12.85546875" style="1842" customWidth="1"/>
    <col min="9" max="9" width="12.42578125" style="1842" customWidth="1"/>
    <col min="10" max="10" width="22.42578125" style="1842" customWidth="1"/>
    <col min="11" max="11" width="15.42578125" style="1842" customWidth="1"/>
    <col min="12" max="12" width="2.85546875" style="1842" customWidth="1"/>
    <col min="13" max="16384" width="11.42578125" style="1842"/>
  </cols>
  <sheetData>
    <row r="1" spans="1:20" x14ac:dyDescent="0.2">
      <c r="A1" s="1885"/>
      <c r="B1" s="1885"/>
      <c r="C1" s="1885"/>
      <c r="D1" s="1885"/>
      <c r="E1" s="1885"/>
      <c r="F1" s="1885"/>
      <c r="G1" s="1885"/>
      <c r="H1" s="1885"/>
      <c r="I1" s="1885"/>
      <c r="J1" s="1885"/>
      <c r="K1" s="1885"/>
      <c r="L1" s="1885"/>
      <c r="M1" s="1885"/>
      <c r="N1" s="1886"/>
      <c r="O1" s="1886"/>
      <c r="P1" s="1886"/>
      <c r="Q1" s="1886"/>
      <c r="R1" s="1886"/>
      <c r="S1" s="1886"/>
      <c r="T1" s="1886"/>
    </row>
    <row r="2" spans="1:20" ht="27" customHeight="1" x14ac:dyDescent="0.2">
      <c r="A2" s="1885"/>
      <c r="B2" s="1885"/>
      <c r="C2" s="1885"/>
      <c r="D2" s="1887"/>
      <c r="E2" s="1888" t="s">
        <v>1083</v>
      </c>
      <c r="F2" s="1889"/>
      <c r="G2" s="1889"/>
      <c r="H2" s="1885"/>
      <c r="I2" s="1885"/>
      <c r="J2" s="1885"/>
      <c r="K2" s="1885"/>
      <c r="L2" s="1885"/>
      <c r="M2" s="1885"/>
      <c r="N2" s="1886"/>
      <c r="O2" s="1886"/>
      <c r="P2" s="1886"/>
      <c r="Q2" s="1886"/>
      <c r="R2" s="1886"/>
      <c r="S2" s="1886"/>
      <c r="T2" s="1886"/>
    </row>
    <row r="3" spans="1:20" ht="26.1" customHeight="1" x14ac:dyDescent="0.2">
      <c r="A3" s="1890" t="s">
        <v>1084</v>
      </c>
      <c r="B3" s="1891"/>
      <c r="C3" s="1885"/>
      <c r="D3" s="1892"/>
      <c r="E3" s="1885"/>
      <c r="F3" s="1885"/>
      <c r="G3" s="1885"/>
      <c r="H3" s="1885"/>
      <c r="I3" s="1885"/>
      <c r="J3" s="1885"/>
      <c r="K3" s="1885"/>
      <c r="L3" s="1885"/>
      <c r="M3" s="1885"/>
      <c r="N3" s="1886"/>
      <c r="O3" s="1886"/>
      <c r="P3" s="1886"/>
      <c r="Q3" s="1886"/>
      <c r="R3" s="1886"/>
      <c r="S3" s="1886"/>
      <c r="T3" s="1886"/>
    </row>
    <row r="4" spans="1:20" ht="18" customHeight="1" x14ac:dyDescent="0.25">
      <c r="A4" s="1893" t="s">
        <v>1085</v>
      </c>
      <c r="B4" s="1894"/>
      <c r="C4" s="1894"/>
      <c r="D4" s="1895"/>
      <c r="E4" s="1894"/>
      <c r="F4" s="1896"/>
      <c r="G4" s="1885"/>
      <c r="H4" s="1885"/>
      <c r="I4" s="1885"/>
      <c r="J4" s="1885"/>
      <c r="K4" s="1885"/>
      <c r="L4" s="1885"/>
      <c r="M4" s="1885"/>
      <c r="N4" s="1886"/>
      <c r="O4" s="1886"/>
      <c r="P4" s="1886"/>
      <c r="Q4" s="1886"/>
      <c r="R4" s="1886"/>
      <c r="S4" s="1886"/>
      <c r="T4" s="1886"/>
    </row>
    <row r="5" spans="1:20" ht="18" customHeight="1" x14ac:dyDescent="0.25">
      <c r="A5" s="1897"/>
      <c r="B5" s="1894"/>
      <c r="C5" s="1894"/>
      <c r="D5" s="1895"/>
      <c r="E5" s="1894"/>
      <c r="F5" s="1896"/>
      <c r="G5" s="1885"/>
      <c r="H5" s="1885"/>
      <c r="I5" s="1885"/>
      <c r="J5" s="1885"/>
      <c r="K5" s="1885"/>
      <c r="L5" s="1885"/>
      <c r="M5" s="1885"/>
      <c r="N5" s="1886"/>
      <c r="O5" s="1886"/>
      <c r="P5" s="1886"/>
      <c r="Q5" s="1886"/>
      <c r="R5" s="1886"/>
      <c r="S5" s="1886"/>
      <c r="T5" s="1886"/>
    </row>
    <row r="6" spans="1:20" ht="18" customHeight="1" x14ac:dyDescent="0.25">
      <c r="A6" s="1894"/>
      <c r="B6" s="1894"/>
      <c r="C6" s="1894"/>
      <c r="D6" s="1895"/>
      <c r="E6" s="1894"/>
      <c r="F6" s="1896"/>
      <c r="G6" s="1885"/>
      <c r="H6" s="1898"/>
      <c r="I6" s="1898"/>
      <c r="J6" s="1899"/>
      <c r="K6" s="1885"/>
      <c r="L6" s="1885"/>
      <c r="M6" s="1885"/>
      <c r="N6" s="1886"/>
      <c r="O6" s="1886"/>
      <c r="P6" s="1886"/>
      <c r="Q6" s="1886"/>
      <c r="R6" s="1886"/>
      <c r="S6" s="1886"/>
      <c r="T6" s="1886"/>
    </row>
    <row r="7" spans="1:20" ht="18" customHeight="1" x14ac:dyDescent="0.25">
      <c r="A7" s="1900" t="s">
        <v>1086</v>
      </c>
      <c r="B7" s="1894"/>
      <c r="C7" s="1894"/>
      <c r="D7" s="1894"/>
      <c r="E7" s="1894"/>
      <c r="F7" s="1896"/>
      <c r="G7" s="1885"/>
      <c r="H7" s="1885"/>
      <c r="I7" s="1885"/>
      <c r="J7" s="1885"/>
      <c r="K7" s="1885"/>
      <c r="L7" s="1885"/>
      <c r="M7" s="1885"/>
      <c r="N7" s="1886"/>
      <c r="O7" s="1886"/>
      <c r="P7" s="1886"/>
      <c r="Q7" s="1886"/>
      <c r="R7" s="1886"/>
      <c r="S7" s="1886"/>
      <c r="T7" s="1886"/>
    </row>
    <row r="8" spans="1:20" ht="18" customHeight="1" x14ac:dyDescent="0.25">
      <c r="A8" s="1894"/>
      <c r="B8" s="1901"/>
      <c r="C8" s="1901"/>
      <c r="D8" s="1901"/>
      <c r="E8" s="1902" t="s">
        <v>1087</v>
      </c>
      <c r="F8" s="1896"/>
      <c r="G8" s="1885"/>
      <c r="H8" s="1885"/>
      <c r="I8" s="1885"/>
      <c r="J8" s="1885"/>
      <c r="K8" s="1885"/>
      <c r="L8" s="1885"/>
      <c r="M8" s="1885"/>
      <c r="N8" s="1886"/>
      <c r="O8" s="1886"/>
      <c r="P8" s="1886"/>
      <c r="Q8" s="1886"/>
      <c r="R8" s="1886"/>
      <c r="S8" s="1886"/>
      <c r="T8" s="1886"/>
    </row>
    <row r="9" spans="1:20" ht="18" customHeight="1" x14ac:dyDescent="0.25">
      <c r="A9" s="1894"/>
      <c r="B9" s="1903" t="s">
        <v>1084</v>
      </c>
      <c r="C9" s="1904"/>
      <c r="D9" s="1905"/>
      <c r="E9" s="1906">
        <f>'R&amp;C-Painel de Controle'!D8</f>
        <v>146000</v>
      </c>
      <c r="F9" s="1896"/>
      <c r="G9" s="1907"/>
      <c r="H9" s="1885"/>
      <c r="I9" s="1885"/>
      <c r="J9" s="1885"/>
      <c r="K9" s="1885"/>
      <c r="L9" s="1885"/>
      <c r="M9" s="1885"/>
      <c r="N9" s="1886"/>
      <c r="O9" s="1886"/>
      <c r="P9" s="1886"/>
      <c r="Q9" s="1886"/>
      <c r="R9" s="1886"/>
      <c r="S9" s="1886"/>
      <c r="T9" s="1886"/>
    </row>
    <row r="10" spans="1:20" ht="18" customHeight="1" x14ac:dyDescent="0.25">
      <c r="A10" s="1894"/>
      <c r="B10" s="1894"/>
      <c r="C10" s="1894"/>
      <c r="D10" s="1894"/>
      <c r="E10" s="1894"/>
      <c r="F10" s="1896"/>
      <c r="G10" s="1885"/>
      <c r="H10" s="1885"/>
      <c r="I10" s="1885"/>
      <c r="J10" s="1885"/>
      <c r="K10" s="1885"/>
      <c r="L10" s="1885"/>
      <c r="M10" s="1885"/>
      <c r="N10" s="1886"/>
      <c r="O10" s="1886"/>
      <c r="P10" s="1886"/>
      <c r="Q10" s="1886"/>
      <c r="R10" s="1886"/>
      <c r="S10" s="1886"/>
      <c r="T10" s="1886"/>
    </row>
    <row r="11" spans="1:20" ht="18" customHeight="1" x14ac:dyDescent="0.25">
      <c r="A11" s="1893" t="s">
        <v>1088</v>
      </c>
      <c r="B11" s="1894"/>
      <c r="C11" s="1894"/>
      <c r="D11" s="1894"/>
      <c r="E11" s="1894"/>
      <c r="F11" s="1896"/>
      <c r="G11" s="1885"/>
      <c r="H11" s="1885"/>
      <c r="I11" s="1885"/>
      <c r="J11" s="1885"/>
      <c r="K11" s="1885"/>
      <c r="L11" s="1885"/>
      <c r="M11" s="1885"/>
      <c r="N11" s="1886"/>
      <c r="O11" s="1886"/>
      <c r="P11" s="1886"/>
      <c r="Q11" s="1886"/>
      <c r="R11" s="1886"/>
      <c r="S11" s="1886"/>
      <c r="T11" s="1886"/>
    </row>
    <row r="12" spans="1:20" ht="33" customHeight="1" x14ac:dyDescent="0.25">
      <c r="A12" s="1894"/>
      <c r="B12" s="1894"/>
      <c r="C12" s="1894"/>
      <c r="D12" s="1894"/>
      <c r="E12" s="1894"/>
      <c r="F12" s="1896"/>
      <c r="G12" s="1885"/>
      <c r="H12" s="1885"/>
      <c r="I12" s="1885"/>
      <c r="J12" s="1885"/>
      <c r="K12" s="1885"/>
      <c r="L12" s="1885"/>
      <c r="M12" s="1885"/>
      <c r="N12" s="1886"/>
      <c r="O12" s="1886"/>
      <c r="P12" s="1886"/>
      <c r="Q12" s="1886"/>
      <c r="R12" s="1886"/>
      <c r="S12" s="1886"/>
      <c r="T12" s="1886"/>
    </row>
    <row r="13" spans="1:20" ht="26.1" customHeight="1" x14ac:dyDescent="0.25">
      <c r="A13" s="1908" t="s">
        <v>1089</v>
      </c>
      <c r="B13" s="1909"/>
      <c r="C13" s="1909"/>
      <c r="D13" s="1909"/>
      <c r="E13" s="1909"/>
      <c r="F13" s="1896"/>
      <c r="G13" s="1885"/>
      <c r="H13" s="1885"/>
      <c r="I13" s="1885"/>
      <c r="J13" s="1910"/>
      <c r="K13" s="1885"/>
      <c r="L13" s="1885"/>
      <c r="M13" s="1885"/>
      <c r="N13" s="1886"/>
      <c r="O13" s="1886"/>
      <c r="P13" s="1886"/>
      <c r="Q13" s="1886"/>
      <c r="R13" s="1886"/>
      <c r="S13" s="1886"/>
      <c r="T13" s="1886"/>
    </row>
    <row r="14" spans="1:20" ht="18" customHeight="1" x14ac:dyDescent="0.2">
      <c r="A14" s="1900" t="s">
        <v>1090</v>
      </c>
      <c r="B14" s="1911"/>
      <c r="C14" s="1911"/>
      <c r="D14" s="1911"/>
      <c r="E14" s="1911"/>
      <c r="F14" s="1896"/>
      <c r="G14" s="1885"/>
      <c r="H14" s="1885"/>
      <c r="I14" s="1885"/>
      <c r="J14" s="1910"/>
      <c r="K14" s="1885"/>
      <c r="L14" s="1885"/>
      <c r="M14" s="1885"/>
      <c r="N14" s="1886"/>
      <c r="O14" s="1886"/>
      <c r="P14" s="1886"/>
      <c r="Q14" s="1886"/>
      <c r="R14" s="1886"/>
      <c r="S14" s="1886"/>
      <c r="T14" s="1886"/>
    </row>
    <row r="15" spans="1:20" ht="18" customHeight="1" x14ac:dyDescent="0.2">
      <c r="A15" s="1900" t="s">
        <v>1091</v>
      </c>
      <c r="B15" s="1911"/>
      <c r="C15" s="1911"/>
      <c r="D15" s="1911"/>
      <c r="E15" s="1911"/>
      <c r="F15" s="1896"/>
      <c r="G15" s="1885"/>
      <c r="H15" s="1885"/>
      <c r="I15" s="1885"/>
      <c r="J15" s="1885"/>
      <c r="K15" s="1885"/>
      <c r="L15" s="1885"/>
      <c r="M15" s="1885"/>
      <c r="N15" s="1886"/>
      <c r="O15" s="1886"/>
      <c r="P15" s="1886"/>
      <c r="Q15" s="1886"/>
      <c r="R15" s="1886"/>
      <c r="S15" s="1886"/>
      <c r="T15" s="1886"/>
    </row>
    <row r="16" spans="1:20" ht="18" customHeight="1" x14ac:dyDescent="0.2">
      <c r="A16" s="1900" t="s">
        <v>1092</v>
      </c>
      <c r="B16" s="1911"/>
      <c r="C16" s="1911"/>
      <c r="D16" s="1911"/>
      <c r="E16" s="1911"/>
      <c r="F16" s="1896"/>
      <c r="G16" s="1885"/>
      <c r="H16" s="1885"/>
      <c r="I16" s="1912"/>
      <c r="J16" s="1885"/>
      <c r="K16" s="1885"/>
      <c r="L16" s="1885"/>
      <c r="M16" s="1885"/>
      <c r="N16" s="1886"/>
      <c r="O16" s="1886"/>
      <c r="P16" s="1886"/>
      <c r="Q16" s="1886"/>
      <c r="R16" s="1886"/>
      <c r="S16" s="1886"/>
      <c r="T16" s="1886"/>
    </row>
    <row r="17" spans="1:20" ht="18" customHeight="1" x14ac:dyDescent="0.25">
      <c r="A17" s="1894"/>
      <c r="B17" s="1894"/>
      <c r="C17" s="1894"/>
      <c r="D17" s="1894"/>
      <c r="E17" s="1894"/>
      <c r="F17" s="1896"/>
      <c r="G17" s="1885"/>
      <c r="H17" s="1885"/>
      <c r="I17" s="1912"/>
      <c r="J17" s="1885"/>
      <c r="K17" s="1885"/>
      <c r="L17" s="1885"/>
      <c r="M17" s="1885"/>
      <c r="N17" s="1886"/>
      <c r="O17" s="1886"/>
      <c r="P17" s="1886"/>
      <c r="Q17" s="1886"/>
      <c r="R17" s="1886"/>
      <c r="S17" s="1886"/>
      <c r="T17" s="1886"/>
    </row>
    <row r="18" spans="1:20" ht="18" customHeight="1" x14ac:dyDescent="0.25">
      <c r="A18" s="1894"/>
      <c r="B18" s="1913"/>
      <c r="C18" s="1914"/>
      <c r="D18" s="1915" t="s">
        <v>1093</v>
      </c>
      <c r="E18" s="1916" t="s">
        <v>1094</v>
      </c>
      <c r="F18" s="1896"/>
      <c r="G18" s="1917"/>
      <c r="H18" s="1885"/>
      <c r="I18" s="1885"/>
      <c r="J18" s="1885"/>
      <c r="K18" s="1885"/>
      <c r="L18" s="1885"/>
      <c r="M18" s="1885"/>
      <c r="N18" s="1886"/>
      <c r="O18" s="1886"/>
      <c r="P18" s="1886"/>
      <c r="Q18" s="1886"/>
      <c r="R18" s="1886"/>
      <c r="S18" s="1886"/>
      <c r="T18" s="1886"/>
    </row>
    <row r="19" spans="1:20" ht="18" customHeight="1" x14ac:dyDescent="0.25">
      <c r="A19" s="1894"/>
      <c r="B19" s="1918" t="s">
        <v>1095</v>
      </c>
      <c r="C19" s="1919"/>
      <c r="D19" s="1920">
        <f>0.96*365</f>
        <v>350.4</v>
      </c>
      <c r="E19" s="1921"/>
      <c r="F19" s="1896"/>
      <c r="G19" s="1885"/>
      <c r="H19" s="1885"/>
      <c r="I19" s="1885"/>
      <c r="J19" s="1885"/>
      <c r="K19" s="1885"/>
      <c r="L19" s="1885"/>
      <c r="M19" s="1885"/>
      <c r="N19" s="1886"/>
      <c r="O19" s="1886"/>
      <c r="P19" s="1886"/>
      <c r="Q19" s="1886"/>
      <c r="R19" s="1886"/>
      <c r="S19" s="1886"/>
      <c r="T19" s="1886"/>
    </row>
    <row r="20" spans="1:20" ht="18" customHeight="1" x14ac:dyDescent="0.25">
      <c r="A20" s="1894"/>
      <c r="B20" s="1922"/>
      <c r="C20" s="1923"/>
      <c r="D20" s="1915" t="s">
        <v>1093</v>
      </c>
      <c r="E20" s="1924" t="s">
        <v>1096</v>
      </c>
      <c r="F20" s="1896"/>
      <c r="G20" s="1885"/>
      <c r="H20" s="1925" t="s">
        <v>1097</v>
      </c>
      <c r="I20" s="1926"/>
      <c r="J20" s="1926"/>
      <c r="K20" s="1927"/>
      <c r="L20" s="1885"/>
      <c r="M20" s="1885"/>
      <c r="N20" s="1886"/>
      <c r="O20" s="1886"/>
      <c r="P20" s="1886"/>
      <c r="Q20" s="1886"/>
      <c r="R20" s="1886"/>
      <c r="S20" s="1886"/>
      <c r="T20" s="1886"/>
    </row>
    <row r="21" spans="1:20" ht="18" customHeight="1" x14ac:dyDescent="0.25">
      <c r="A21" s="1894"/>
      <c r="B21" s="1918" t="s">
        <v>1098</v>
      </c>
      <c r="C21" s="1928"/>
      <c r="D21" s="1929">
        <v>0.96</v>
      </c>
      <c r="E21" s="1921"/>
      <c r="F21" s="1896"/>
      <c r="G21" s="1930"/>
      <c r="H21" s="1931" t="s">
        <v>1099</v>
      </c>
      <c r="I21" s="1932"/>
      <c r="J21" s="1932"/>
      <c r="K21" s="1933"/>
      <c r="L21" s="1885"/>
      <c r="M21" s="1885"/>
      <c r="N21" s="1886"/>
      <c r="O21" s="1886"/>
      <c r="P21" s="1886"/>
      <c r="Q21" s="1886"/>
      <c r="R21" s="1886"/>
      <c r="S21" s="1886"/>
      <c r="T21" s="1886"/>
    </row>
    <row r="22" spans="1:20" ht="18" customHeight="1" x14ac:dyDescent="0.25">
      <c r="A22" s="1894"/>
      <c r="B22" s="1894"/>
      <c r="C22" s="1894"/>
      <c r="D22" s="1894"/>
      <c r="E22" s="1934"/>
      <c r="F22" s="1896"/>
      <c r="G22" s="1885"/>
      <c r="H22" s="1935"/>
      <c r="I22" s="1932"/>
      <c r="J22" s="1932"/>
      <c r="K22" s="1933"/>
      <c r="L22" s="1885"/>
      <c r="M22" s="1885"/>
      <c r="N22" s="1886"/>
      <c r="O22" s="1886"/>
      <c r="P22" s="1886"/>
      <c r="Q22" s="1886"/>
      <c r="R22" s="1886"/>
      <c r="S22" s="1886"/>
      <c r="T22" s="1886"/>
    </row>
    <row r="23" spans="1:20" ht="26.1" customHeight="1" x14ac:dyDescent="0.25">
      <c r="A23" s="1908" t="s">
        <v>1100</v>
      </c>
      <c r="B23" s="1936"/>
      <c r="C23" s="1936"/>
      <c r="D23" s="1936"/>
      <c r="E23" s="1936"/>
      <c r="F23" s="1896"/>
      <c r="G23" s="1885"/>
      <c r="H23" s="1937" t="s">
        <v>1101</v>
      </c>
      <c r="I23" s="1932"/>
      <c r="J23" s="1932"/>
      <c r="K23" s="1933"/>
      <c r="L23" s="1885"/>
      <c r="M23" s="1885"/>
      <c r="N23" s="1886"/>
      <c r="O23" s="1886"/>
      <c r="P23" s="1886"/>
      <c r="Q23" s="1886"/>
      <c r="R23" s="1886"/>
      <c r="S23" s="1886"/>
      <c r="T23" s="1886"/>
    </row>
    <row r="24" spans="1:20" ht="18" customHeight="1" x14ac:dyDescent="0.25">
      <c r="A24" s="1938"/>
      <c r="B24" s="1939"/>
      <c r="C24" s="1894"/>
      <c r="D24" s="1894"/>
      <c r="E24" s="1894"/>
      <c r="F24" s="1896"/>
      <c r="G24" s="1885"/>
      <c r="H24" s="1935"/>
      <c r="I24" s="1940" t="s">
        <v>1087</v>
      </c>
      <c r="J24" s="1941">
        <f>IF($E$9&gt;0,$E$9,(IF($E$19&gt;0,$E$19/1000*$E$26,$E$21/1000*365*$E$26)))</f>
        <v>146000</v>
      </c>
      <c r="K24" s="1933"/>
      <c r="L24" s="1885"/>
      <c r="M24" s="1885"/>
      <c r="N24" s="1886"/>
      <c r="O24" s="1886"/>
      <c r="P24" s="1886"/>
      <c r="Q24" s="1886"/>
      <c r="R24" s="1886"/>
      <c r="S24" s="1886"/>
      <c r="T24" s="1886"/>
    </row>
    <row r="25" spans="1:20" ht="18" customHeight="1" x14ac:dyDescent="0.25">
      <c r="A25" s="1894"/>
      <c r="B25" s="1901"/>
      <c r="C25" s="1901"/>
      <c r="D25" s="1901"/>
      <c r="E25" s="1902" t="s">
        <v>1102</v>
      </c>
      <c r="F25" s="1896"/>
      <c r="G25" s="1885"/>
      <c r="H25" s="1935"/>
      <c r="I25" s="1940" t="s">
        <v>1094</v>
      </c>
      <c r="J25" s="1942">
        <v>350</v>
      </c>
      <c r="K25" s="1933"/>
      <c r="L25" s="1885"/>
      <c r="M25" s="1885"/>
      <c r="N25" s="1886"/>
      <c r="O25" s="1886"/>
      <c r="P25" s="1886"/>
      <c r="Q25" s="1886"/>
      <c r="R25" s="1886"/>
      <c r="S25" s="1886"/>
      <c r="T25" s="1886"/>
    </row>
    <row r="26" spans="1:20" ht="18" customHeight="1" x14ac:dyDescent="0.25">
      <c r="A26" s="1894"/>
      <c r="B26" s="1903" t="s">
        <v>1103</v>
      </c>
      <c r="C26" s="1943"/>
      <c r="D26" s="1944"/>
      <c r="E26" s="1945">
        <f>'R&amp;C-Painel de Controle'!D6</f>
        <v>411597</v>
      </c>
      <c r="F26" s="1896"/>
      <c r="G26" s="1885"/>
      <c r="H26" s="1935"/>
      <c r="I26" s="1940" t="s">
        <v>1096</v>
      </c>
      <c r="J26" s="1946">
        <f>IF(E26&gt;0,J25/365,"insira o número de habitantes na célula verde")</f>
        <v>0.95890410958904104</v>
      </c>
      <c r="K26" s="1933"/>
      <c r="L26" s="1885"/>
      <c r="M26" s="1885"/>
      <c r="N26" s="1886"/>
      <c r="O26" s="1886"/>
      <c r="P26" s="1886"/>
      <c r="Q26" s="1886"/>
      <c r="R26" s="1886"/>
      <c r="S26" s="1886"/>
      <c r="T26" s="1886"/>
    </row>
    <row r="27" spans="1:20" ht="18" customHeight="1" x14ac:dyDescent="0.25">
      <c r="A27" s="1894"/>
      <c r="B27" s="1894"/>
      <c r="C27" s="1894"/>
      <c r="D27" s="1894"/>
      <c r="E27" s="1894"/>
      <c r="F27" s="1896"/>
      <c r="G27" s="1885"/>
      <c r="H27" s="1947"/>
      <c r="I27" s="1948"/>
      <c r="J27" s="1948"/>
      <c r="K27" s="1949"/>
      <c r="L27" s="1885"/>
      <c r="M27" s="1885"/>
      <c r="N27" s="1886"/>
      <c r="O27" s="1886"/>
      <c r="P27" s="1886"/>
      <c r="Q27" s="1886"/>
      <c r="R27" s="1886"/>
      <c r="S27" s="1886"/>
      <c r="T27" s="1886"/>
    </row>
    <row r="28" spans="1:20" ht="18" customHeight="1" x14ac:dyDescent="0.2">
      <c r="A28" s="1885"/>
      <c r="B28" s="1885"/>
      <c r="C28" s="1885"/>
      <c r="D28" s="1885"/>
      <c r="E28" s="1885"/>
      <c r="F28" s="1885"/>
      <c r="G28" s="1910"/>
      <c r="H28" s="1950"/>
      <c r="I28" s="1951"/>
      <c r="J28" s="1950"/>
      <c r="K28" s="1885"/>
      <c r="L28" s="1885"/>
      <c r="M28" s="1885"/>
      <c r="N28" s="1886"/>
      <c r="O28" s="1886"/>
      <c r="P28" s="1886"/>
      <c r="Q28" s="1886"/>
      <c r="R28" s="1886"/>
      <c r="S28" s="1886"/>
      <c r="T28" s="1886"/>
    </row>
    <row r="29" spans="1:20" ht="26.1" customHeight="1" x14ac:dyDescent="0.25">
      <c r="A29" s="1908" t="s">
        <v>1104</v>
      </c>
      <c r="B29" s="1952"/>
      <c r="C29" s="1952"/>
      <c r="D29" s="1952"/>
      <c r="E29" s="1952"/>
      <c r="F29" s="1885"/>
      <c r="G29" s="1885"/>
      <c r="H29" s="1885"/>
      <c r="I29" s="1930"/>
      <c r="J29" s="1885"/>
      <c r="K29" s="1885"/>
      <c r="L29" s="1885"/>
      <c r="M29" s="1885"/>
      <c r="N29" s="1886"/>
      <c r="O29" s="1886"/>
      <c r="P29" s="1886"/>
      <c r="Q29" s="1886"/>
      <c r="R29" s="1886"/>
      <c r="S29" s="1886"/>
      <c r="T29" s="1886"/>
    </row>
    <row r="30" spans="1:20" ht="14.25" x14ac:dyDescent="0.25">
      <c r="A30" s="1893" t="s">
        <v>1105</v>
      </c>
      <c r="B30" s="1953"/>
      <c r="C30" s="1953"/>
      <c r="D30" s="1953"/>
      <c r="E30" s="1953"/>
      <c r="F30" s="1885"/>
      <c r="G30" s="1907"/>
      <c r="H30" s="1885"/>
      <c r="I30" s="1954"/>
      <c r="J30" s="1885"/>
      <c r="K30" s="1885"/>
      <c r="L30" s="1885"/>
      <c r="M30" s="1885"/>
      <c r="N30" s="1886"/>
      <c r="O30" s="1886"/>
      <c r="P30" s="1886"/>
      <c r="Q30" s="1886"/>
      <c r="R30" s="1886"/>
      <c r="S30" s="1886"/>
      <c r="T30" s="1886"/>
    </row>
    <row r="31" spans="1:20" ht="18" customHeight="1" x14ac:dyDescent="0.25">
      <c r="A31" s="1893"/>
      <c r="B31" s="1894"/>
      <c r="C31" s="1894"/>
      <c r="D31" s="1953"/>
      <c r="E31" s="1953"/>
      <c r="F31" s="1885"/>
      <c r="G31" s="1907"/>
      <c r="H31" s="1885"/>
      <c r="I31" s="1954"/>
      <c r="J31" s="1885"/>
      <c r="K31" s="1885"/>
      <c r="L31" s="1885"/>
      <c r="M31" s="1885"/>
      <c r="N31" s="1886"/>
      <c r="O31" s="1886"/>
      <c r="P31" s="1886"/>
      <c r="Q31" s="1886"/>
      <c r="R31" s="1886"/>
      <c r="S31" s="1886"/>
      <c r="T31" s="1886"/>
    </row>
    <row r="32" spans="1:20" ht="18" customHeight="1" x14ac:dyDescent="0.25">
      <c r="A32" s="1893" t="s">
        <v>1106</v>
      </c>
      <c r="B32" s="1894"/>
      <c r="C32" s="1894"/>
      <c r="D32" s="1953"/>
      <c r="E32" s="1953"/>
      <c r="F32" s="1885"/>
      <c r="G32" s="1955"/>
      <c r="H32" s="1955"/>
      <c r="I32" s="1955"/>
      <c r="J32" s="1955"/>
      <c r="K32" s="1955"/>
      <c r="L32" s="1885"/>
      <c r="M32" s="1885"/>
      <c r="N32" s="1886"/>
      <c r="O32" s="1886"/>
      <c r="P32" s="1886"/>
      <c r="Q32" s="1886"/>
      <c r="R32" s="1886"/>
      <c r="S32" s="1886"/>
      <c r="T32" s="1886"/>
    </row>
    <row r="33" spans="1:20" ht="18" customHeight="1" x14ac:dyDescent="0.25">
      <c r="A33" s="1953"/>
      <c r="B33" s="1953"/>
      <c r="C33" s="1953"/>
      <c r="D33" s="1953"/>
      <c r="E33" s="1953"/>
      <c r="F33" s="1885"/>
      <c r="G33" s="1898"/>
      <c r="H33" s="1955"/>
      <c r="I33" s="1898"/>
      <c r="J33" s="1956"/>
      <c r="K33" s="1955"/>
      <c r="L33" s="1885"/>
      <c r="M33" s="1885"/>
      <c r="N33" s="1886"/>
      <c r="O33" s="1886"/>
      <c r="P33" s="1886"/>
      <c r="Q33" s="1886"/>
      <c r="R33" s="1886"/>
      <c r="S33" s="1886"/>
      <c r="T33" s="1886"/>
    </row>
    <row r="34" spans="1:20" ht="39" customHeight="1" x14ac:dyDescent="0.25">
      <c r="A34" s="1953"/>
      <c r="B34" s="1957" t="s">
        <v>16</v>
      </c>
      <c r="C34" s="1958" t="s">
        <v>1093</v>
      </c>
      <c r="D34" s="1959"/>
      <c r="E34" s="1960" t="s">
        <v>1107</v>
      </c>
      <c r="F34" s="1885"/>
      <c r="G34" s="1961"/>
      <c r="H34" s="1898"/>
      <c r="I34" s="1962"/>
      <c r="J34" s="1962"/>
      <c r="K34" s="1955"/>
      <c r="L34" s="1885"/>
      <c r="M34" s="1885"/>
      <c r="N34" s="1886"/>
      <c r="O34" s="1886"/>
      <c r="P34" s="1886"/>
      <c r="Q34" s="1886"/>
      <c r="R34" s="1886"/>
      <c r="S34" s="1886"/>
      <c r="T34" s="1886"/>
    </row>
    <row r="35" spans="1:20" ht="18" customHeight="1" x14ac:dyDescent="0.25">
      <c r="A35" s="1953"/>
      <c r="B35" s="1963" t="s">
        <v>1108</v>
      </c>
      <c r="C35" s="1964">
        <v>0.48399999999999999</v>
      </c>
      <c r="D35" s="1965"/>
      <c r="E35" s="1966">
        <f>'R-Entrada'!E26/100</f>
        <v>0.48399999999999999</v>
      </c>
      <c r="F35" s="1967"/>
      <c r="G35" s="2979"/>
      <c r="H35" s="1898"/>
      <c r="I35" s="1968"/>
      <c r="J35" s="1969"/>
      <c r="K35" s="1955"/>
      <c r="L35" s="1885"/>
      <c r="M35" s="1885"/>
      <c r="N35" s="1886"/>
      <c r="O35" s="1886"/>
      <c r="P35" s="1886"/>
      <c r="Q35" s="1886"/>
      <c r="R35" s="1886"/>
      <c r="S35" s="1886"/>
      <c r="T35" s="1886"/>
    </row>
    <row r="36" spans="1:20" ht="18" customHeight="1" x14ac:dyDescent="0.25">
      <c r="A36" s="1953"/>
      <c r="B36" s="1963" t="s">
        <v>1109</v>
      </c>
      <c r="C36" s="1964">
        <v>0.03</v>
      </c>
      <c r="D36" s="1965"/>
      <c r="E36" s="1966">
        <f>'R-Entrada'!E27/100</f>
        <v>0.03</v>
      </c>
      <c r="F36" s="1967"/>
      <c r="G36" s="2979"/>
      <c r="H36" s="1898"/>
      <c r="I36" s="1968"/>
      <c r="J36" s="1969"/>
      <c r="K36" s="1955"/>
      <c r="L36" s="1885"/>
      <c r="M36" s="1885"/>
      <c r="N36" s="1886"/>
      <c r="O36" s="1886"/>
      <c r="P36" s="1886"/>
      <c r="Q36" s="1886"/>
      <c r="R36" s="1886"/>
      <c r="S36" s="1886"/>
      <c r="T36" s="1886"/>
    </row>
    <row r="37" spans="1:20" ht="18" customHeight="1" x14ac:dyDescent="0.25">
      <c r="A37" s="1953"/>
      <c r="B37" s="1963" t="s">
        <v>1110</v>
      </c>
      <c r="C37" s="1964">
        <v>0.13100000000000001</v>
      </c>
      <c r="D37" s="1965"/>
      <c r="E37" s="1966">
        <f>'R-Entrada'!E28/100</f>
        <v>0.13100000000000001</v>
      </c>
      <c r="F37" s="1885"/>
      <c r="G37" s="2979"/>
      <c r="H37" s="1898"/>
      <c r="I37" s="1968"/>
      <c r="J37" s="1969"/>
      <c r="K37" s="1955"/>
      <c r="L37" s="1885"/>
      <c r="M37" s="1885"/>
      <c r="N37" s="1886"/>
      <c r="O37" s="1886"/>
      <c r="P37" s="1886"/>
      <c r="Q37" s="1886"/>
      <c r="R37" s="1886"/>
      <c r="S37" s="1886"/>
      <c r="T37" s="1886"/>
    </row>
    <row r="38" spans="1:20" ht="18" customHeight="1" x14ac:dyDescent="0.25">
      <c r="A38" s="1953"/>
      <c r="B38" s="1963" t="s">
        <v>1111</v>
      </c>
      <c r="C38" s="1964">
        <v>0.13500000000000001</v>
      </c>
      <c r="D38" s="1965"/>
      <c r="E38" s="1966">
        <f>('R-Entrada'!E29+'R-Entrada'!E30)/100</f>
        <v>0.13500000000000001</v>
      </c>
      <c r="F38" s="1885"/>
      <c r="G38" s="2979"/>
      <c r="H38" s="1898"/>
      <c r="I38" s="1968"/>
      <c r="J38" s="1969"/>
      <c r="K38" s="1955"/>
      <c r="L38" s="1885"/>
      <c r="M38" s="1885"/>
      <c r="N38" s="1886"/>
      <c r="O38" s="1886"/>
      <c r="P38" s="1886"/>
      <c r="Q38" s="1886"/>
      <c r="R38" s="1886"/>
      <c r="S38" s="1886"/>
      <c r="T38" s="1886"/>
    </row>
    <row r="39" spans="1:20" ht="18" customHeight="1" x14ac:dyDescent="0.25">
      <c r="A39" s="1953"/>
      <c r="B39" s="1963" t="s">
        <v>50</v>
      </c>
      <c r="C39" s="1964">
        <v>2.4E-2</v>
      </c>
      <c r="D39" s="1965"/>
      <c r="E39" s="1966">
        <f>'R-Entrada'!E31/100</f>
        <v>2.4E-2</v>
      </c>
      <c r="F39" s="1885"/>
      <c r="G39" s="2979"/>
      <c r="H39" s="1898"/>
      <c r="I39" s="1968"/>
      <c r="J39" s="1969"/>
      <c r="K39" s="1955"/>
      <c r="L39" s="1885"/>
      <c r="M39" s="1885"/>
      <c r="N39" s="1886"/>
      <c r="O39" s="1886"/>
      <c r="P39" s="1886"/>
      <c r="Q39" s="1886"/>
      <c r="R39" s="1886"/>
      <c r="S39" s="1886"/>
      <c r="T39" s="1886"/>
    </row>
    <row r="40" spans="1:20" ht="18" customHeight="1" x14ac:dyDescent="0.25">
      <c r="A40" s="1953"/>
      <c r="B40" s="1963" t="s">
        <v>1112</v>
      </c>
      <c r="C40" s="1964">
        <v>2.3E-2</v>
      </c>
      <c r="D40" s="1965"/>
      <c r="E40" s="1966">
        <f>'R-Entrada'!E32/100</f>
        <v>2.3E-2</v>
      </c>
      <c r="F40" s="1885"/>
      <c r="G40" s="2979"/>
      <c r="H40" s="1898"/>
      <c r="I40" s="1968"/>
      <c r="J40" s="1969"/>
      <c r="K40" s="1955"/>
      <c r="L40" s="1885"/>
      <c r="M40" s="1885"/>
      <c r="N40" s="1886"/>
      <c r="O40" s="1886"/>
      <c r="P40" s="1886"/>
      <c r="Q40" s="1886"/>
      <c r="R40" s="1886"/>
      <c r="S40" s="1886"/>
      <c r="T40" s="1886"/>
    </row>
    <row r="41" spans="1:20" ht="18" customHeight="1" x14ac:dyDescent="0.25">
      <c r="A41" s="1953"/>
      <c r="B41" s="1963" t="s">
        <v>1113</v>
      </c>
      <c r="C41" s="1964">
        <v>6.0000000000000001E-3</v>
      </c>
      <c r="D41" s="1965"/>
      <c r="E41" s="1966">
        <f>'R-Entrada'!E33/100</f>
        <v>6.0000000000000001E-3</v>
      </c>
      <c r="F41" s="1910"/>
      <c r="G41" s="2979"/>
      <c r="H41" s="1898"/>
      <c r="I41" s="1968"/>
      <c r="J41" s="1969"/>
      <c r="K41" s="1955"/>
      <c r="L41" s="1885"/>
      <c r="M41" s="1885"/>
      <c r="N41" s="1886"/>
      <c r="O41" s="1886"/>
      <c r="P41" s="1886"/>
      <c r="Q41" s="1886"/>
      <c r="R41" s="1886"/>
      <c r="S41" s="1886"/>
      <c r="T41" s="1886"/>
    </row>
    <row r="42" spans="1:20" ht="18" customHeight="1" x14ac:dyDescent="0.25">
      <c r="A42" s="1953"/>
      <c r="B42" s="1963" t="s">
        <v>1114</v>
      </c>
      <c r="C42" s="1964">
        <v>2.5999999999999999E-2</v>
      </c>
      <c r="D42" s="1970"/>
      <c r="E42" s="1966">
        <f>'R-Entrada'!E34/100</f>
        <v>4.4500000000000005E-2</v>
      </c>
      <c r="F42" s="1885"/>
      <c r="G42" s="2979"/>
      <c r="H42" s="1898"/>
      <c r="I42" s="1955"/>
      <c r="J42" s="1955"/>
      <c r="K42" s="1955"/>
      <c r="L42" s="1885"/>
      <c r="M42" s="1885"/>
      <c r="N42" s="1886"/>
      <c r="O42" s="1886"/>
      <c r="P42" s="1886"/>
      <c r="Q42" s="1886"/>
      <c r="R42" s="1886"/>
      <c r="S42" s="1886"/>
      <c r="T42" s="1886"/>
    </row>
    <row r="43" spans="1:20" ht="18" customHeight="1" x14ac:dyDescent="0.25">
      <c r="A43" s="1953"/>
      <c r="B43" s="1963" t="s">
        <v>1115</v>
      </c>
      <c r="C43" s="1964">
        <v>7.0000000000000001E-3</v>
      </c>
      <c r="D43" s="1970"/>
      <c r="E43" s="1966">
        <f>'R-Entrada'!E35/100</f>
        <v>9.5999999999999992E-3</v>
      </c>
      <c r="F43" s="1885"/>
      <c r="G43" s="2979"/>
      <c r="H43" s="1898"/>
      <c r="I43" s="1955"/>
      <c r="J43" s="1955"/>
      <c r="K43" s="1955"/>
      <c r="L43" s="1885"/>
      <c r="M43" s="1885"/>
      <c r="N43" s="1886"/>
      <c r="O43" s="1886"/>
      <c r="P43" s="1886"/>
      <c r="Q43" s="1886"/>
      <c r="R43" s="1886"/>
      <c r="S43" s="1886"/>
      <c r="T43" s="1886"/>
    </row>
    <row r="44" spans="1:20" ht="18" customHeight="1" x14ac:dyDescent="0.25">
      <c r="A44" s="1953"/>
      <c r="B44" s="1963" t="s">
        <v>1116</v>
      </c>
      <c r="C44" s="1971">
        <v>0.04</v>
      </c>
      <c r="D44" s="1970"/>
      <c r="E44" s="1966">
        <f>'R-Entrada'!E36/100</f>
        <v>0.04</v>
      </c>
      <c r="F44" s="1885"/>
      <c r="G44" s="2979"/>
      <c r="H44" s="1972"/>
      <c r="I44" s="1885"/>
      <c r="J44" s="1885"/>
      <c r="K44" s="1885"/>
      <c r="L44" s="1885"/>
      <c r="M44" s="1885"/>
      <c r="N44" s="1886"/>
      <c r="O44" s="1886"/>
      <c r="P44" s="1886"/>
      <c r="Q44" s="1886"/>
      <c r="R44" s="1886"/>
      <c r="S44" s="1886"/>
      <c r="T44" s="1886"/>
    </row>
    <row r="45" spans="1:20" ht="18" customHeight="1" x14ac:dyDescent="0.25">
      <c r="A45" s="1953"/>
      <c r="B45" s="1963" t="s">
        <v>1117</v>
      </c>
      <c r="C45" s="1964">
        <v>4.7E-2</v>
      </c>
      <c r="D45" s="1970"/>
      <c r="E45" s="1966">
        <f>'R-Entrada'!E37/100</f>
        <v>7.3000000000000001E-3</v>
      </c>
      <c r="F45" s="1885"/>
      <c r="G45" s="2979"/>
      <c r="H45" s="1972"/>
      <c r="I45" s="1885"/>
      <c r="J45" s="1885"/>
      <c r="K45" s="1885"/>
      <c r="L45" s="1885"/>
      <c r="M45" s="1885"/>
      <c r="N45" s="1886"/>
      <c r="O45" s="1886"/>
      <c r="P45" s="1886"/>
      <c r="Q45" s="1886"/>
      <c r="R45" s="1886"/>
      <c r="S45" s="1886"/>
      <c r="T45" s="1886"/>
    </row>
    <row r="46" spans="1:20" ht="18" customHeight="1" x14ac:dyDescent="0.25">
      <c r="A46" s="1953"/>
      <c r="B46" s="1963" t="s">
        <v>1118</v>
      </c>
      <c r="C46" s="1964">
        <v>0</v>
      </c>
      <c r="D46" s="1970"/>
      <c r="E46" s="1966">
        <f>'R-Entrada'!E38/100</f>
        <v>0</v>
      </c>
      <c r="F46" s="1885"/>
      <c r="G46" s="2979"/>
      <c r="H46" s="1972"/>
      <c r="I46" s="1885"/>
      <c r="J46" s="1885"/>
      <c r="K46" s="1885"/>
      <c r="L46" s="1885"/>
      <c r="M46" s="1885"/>
      <c r="N46" s="1886"/>
      <c r="O46" s="1886"/>
      <c r="P46" s="1886"/>
      <c r="Q46" s="1886"/>
      <c r="R46" s="1886"/>
      <c r="S46" s="1886"/>
      <c r="T46" s="1886"/>
    </row>
    <row r="47" spans="1:20" ht="18" customHeight="1" x14ac:dyDescent="0.25">
      <c r="A47" s="1973"/>
      <c r="B47" s="1963" t="s">
        <v>1119</v>
      </c>
      <c r="C47" s="1964">
        <v>4.7E-2</v>
      </c>
      <c r="D47" s="1974"/>
      <c r="E47" s="1966">
        <f>'R-Entrada'!E39/100</f>
        <v>6.5600000000000019E-2</v>
      </c>
      <c r="F47" s="1885"/>
      <c r="G47" s="2979"/>
      <c r="H47" s="1972"/>
      <c r="I47" s="1885"/>
      <c r="J47" s="1885"/>
      <c r="K47" s="1885"/>
      <c r="L47" s="1885"/>
      <c r="M47" s="1885"/>
      <c r="N47" s="1886"/>
      <c r="O47" s="1886"/>
      <c r="P47" s="1886"/>
      <c r="Q47" s="1886"/>
      <c r="R47" s="1886"/>
      <c r="S47" s="1886"/>
      <c r="T47" s="1886"/>
    </row>
    <row r="48" spans="1:20" ht="18" customHeight="1" x14ac:dyDescent="0.25">
      <c r="A48" s="1953"/>
      <c r="B48" s="1975" t="s">
        <v>42</v>
      </c>
      <c r="C48" s="1976">
        <f>SUM(C35:C47)</f>
        <v>1.0000000000000002</v>
      </c>
      <c r="D48" s="1976">
        <f>SUM(D35:D47)</f>
        <v>0</v>
      </c>
      <c r="E48" s="1977">
        <f>SUM(E35:E47)</f>
        <v>1.0000000000000002</v>
      </c>
      <c r="F48" s="1907"/>
      <c r="G48" s="1978"/>
      <c r="H48" s="1885"/>
      <c r="I48" s="1885"/>
      <c r="J48" s="1885"/>
      <c r="K48" s="1885"/>
      <c r="L48" s="1885"/>
      <c r="M48" s="1885"/>
      <c r="N48" s="1886"/>
      <c r="O48" s="1886"/>
      <c r="P48" s="1886"/>
      <c r="Q48" s="1886"/>
      <c r="R48" s="1886"/>
      <c r="S48" s="1886"/>
      <c r="T48" s="1886"/>
    </row>
    <row r="49" spans="1:20" x14ac:dyDescent="0.2">
      <c r="A49" s="1885"/>
      <c r="B49" s="1885"/>
      <c r="C49" s="1979"/>
      <c r="D49" s="1979"/>
      <c r="E49" s="1885"/>
      <c r="F49" s="1885"/>
      <c r="G49" s="1885"/>
      <c r="H49" s="1885"/>
      <c r="I49" s="1885"/>
      <c r="J49" s="1885"/>
      <c r="K49" s="1885"/>
      <c r="L49" s="1885"/>
      <c r="M49" s="1885"/>
      <c r="N49" s="1980"/>
      <c r="O49" s="1886"/>
      <c r="P49" s="1886"/>
      <c r="Q49" s="1886"/>
      <c r="R49" s="1886"/>
      <c r="S49" s="1886"/>
      <c r="T49" s="1886"/>
    </row>
    <row r="50" spans="1:20" ht="26.1" customHeight="1" x14ac:dyDescent="0.2">
      <c r="A50" s="1908" t="s">
        <v>1120</v>
      </c>
      <c r="B50" s="1981"/>
      <c r="C50" s="1982"/>
      <c r="D50" s="1982"/>
      <c r="E50" s="1981"/>
      <c r="F50" s="1981"/>
      <c r="G50" s="1981"/>
      <c r="H50" s="1981"/>
      <c r="I50" s="1885"/>
      <c r="J50" s="1885"/>
      <c r="K50" s="1885"/>
      <c r="L50" s="1885"/>
      <c r="M50" s="1885"/>
      <c r="N50" s="1886"/>
      <c r="O50" s="1886"/>
      <c r="P50" s="1886"/>
      <c r="Q50" s="1886"/>
      <c r="R50" s="1886"/>
      <c r="S50" s="1886"/>
      <c r="T50" s="1886"/>
    </row>
    <row r="51" spans="1:20" ht="18" customHeight="1" x14ac:dyDescent="0.2">
      <c r="A51" s="1900" t="s">
        <v>1121</v>
      </c>
      <c r="B51" s="1911"/>
      <c r="C51" s="1911"/>
      <c r="D51" s="1911"/>
      <c r="E51" s="1911"/>
      <c r="F51" s="1911"/>
      <c r="G51" s="1896"/>
      <c r="H51" s="1896"/>
      <c r="I51" s="1896"/>
      <c r="J51" s="1896"/>
      <c r="K51" s="1896"/>
      <c r="L51" s="1896"/>
      <c r="M51" s="1885"/>
      <c r="N51" s="1886"/>
      <c r="O51" s="1886"/>
      <c r="P51" s="1886"/>
      <c r="Q51" s="1886"/>
      <c r="R51" s="1886"/>
      <c r="S51" s="1886"/>
      <c r="T51" s="1886"/>
    </row>
    <row r="52" spans="1:20" ht="18" customHeight="1" x14ac:dyDescent="0.2">
      <c r="A52" s="1983"/>
      <c r="B52" s="1911"/>
      <c r="C52" s="1911"/>
      <c r="D52" s="1911"/>
      <c r="E52" s="1911"/>
      <c r="F52" s="1911"/>
      <c r="G52" s="1896"/>
      <c r="H52" s="1896"/>
      <c r="I52" s="1896"/>
      <c r="J52" s="1896"/>
      <c r="K52" s="1896"/>
      <c r="L52" s="1896"/>
      <c r="M52" s="1885"/>
      <c r="N52" s="1886"/>
      <c r="O52" s="1886"/>
      <c r="P52" s="1886"/>
      <c r="Q52" s="1886"/>
      <c r="R52" s="1886"/>
      <c r="S52" s="1886"/>
      <c r="T52" s="1886"/>
    </row>
    <row r="53" spans="1:20" ht="18" customHeight="1" x14ac:dyDescent="0.2">
      <c r="A53" s="1900" t="s">
        <v>1122</v>
      </c>
      <c r="B53" s="1911"/>
      <c r="C53" s="1911"/>
      <c r="D53" s="1911"/>
      <c r="E53" s="1911"/>
      <c r="F53" s="1911"/>
      <c r="G53" s="1896"/>
      <c r="H53" s="1896"/>
      <c r="I53" s="1896"/>
      <c r="J53" s="1896"/>
      <c r="K53" s="1896"/>
      <c r="L53" s="1896"/>
      <c r="M53" s="1984"/>
      <c r="N53" s="1886"/>
      <c r="O53" s="1886"/>
      <c r="P53" s="1886"/>
      <c r="Q53" s="1886"/>
      <c r="R53" s="1886"/>
      <c r="S53" s="1886"/>
      <c r="T53" s="1886"/>
    </row>
    <row r="54" spans="1:20" ht="18" customHeight="1" x14ac:dyDescent="0.2">
      <c r="A54" s="1911"/>
      <c r="B54" s="1985" t="s">
        <v>1123</v>
      </c>
      <c r="C54" s="1986"/>
      <c r="D54" s="1986"/>
      <c r="E54" s="1987"/>
      <c r="F54" s="1911"/>
      <c r="G54" s="1896"/>
      <c r="H54" s="1896"/>
      <c r="I54" s="1896"/>
      <c r="J54" s="1896"/>
      <c r="K54" s="1896"/>
      <c r="L54" s="1896"/>
      <c r="M54" s="1885"/>
      <c r="N54" s="1886"/>
      <c r="O54" s="1886"/>
      <c r="P54" s="1886"/>
      <c r="Q54" s="1886"/>
      <c r="R54" s="1886"/>
      <c r="S54" s="1886"/>
      <c r="T54" s="1886"/>
    </row>
    <row r="55" spans="1:20" ht="18" customHeight="1" x14ac:dyDescent="0.2">
      <c r="A55" s="1911"/>
      <c r="B55" s="1988" t="s">
        <v>1124</v>
      </c>
      <c r="C55" s="1904"/>
      <c r="D55" s="1905"/>
      <c r="E55" s="1989">
        <v>0</v>
      </c>
      <c r="F55" s="1911"/>
      <c r="G55" s="1896"/>
      <c r="H55" s="1896"/>
      <c r="I55" s="1896"/>
      <c r="J55" s="1896"/>
      <c r="K55" s="1896"/>
      <c r="L55" s="1896"/>
      <c r="M55" s="1885"/>
      <c r="N55" s="1886"/>
      <c r="O55" s="1886"/>
      <c r="P55" s="1886"/>
      <c r="Q55" s="1886"/>
      <c r="R55" s="1886"/>
      <c r="S55" s="1886"/>
      <c r="T55" s="1886"/>
    </row>
    <row r="56" spans="1:20" ht="18" customHeight="1" x14ac:dyDescent="0.2">
      <c r="A56" s="1911"/>
      <c r="B56" s="1988" t="s">
        <v>1125</v>
      </c>
      <c r="C56" s="1904"/>
      <c r="D56" s="1905"/>
      <c r="E56" s="1989">
        <v>1</v>
      </c>
      <c r="F56" s="1911"/>
      <c r="G56" s="1896"/>
      <c r="H56" s="1896"/>
      <c r="I56" s="1896"/>
      <c r="J56" s="1896"/>
      <c r="K56" s="1896"/>
      <c r="L56" s="1896"/>
      <c r="M56" s="1885"/>
      <c r="N56" s="1886"/>
      <c r="O56" s="1886"/>
      <c r="P56" s="1886"/>
      <c r="Q56" s="1886"/>
      <c r="R56" s="1886"/>
      <c r="S56" s="1886"/>
      <c r="T56" s="1886"/>
    </row>
    <row r="57" spans="1:20" ht="18" customHeight="1" x14ac:dyDescent="0.25">
      <c r="A57" s="1894"/>
      <c r="B57" s="1894"/>
      <c r="C57" s="1894"/>
      <c r="D57" s="1894"/>
      <c r="E57" s="1894"/>
      <c r="F57" s="1894"/>
      <c r="G57" s="1896"/>
      <c r="H57" s="1990" t="s">
        <v>1097</v>
      </c>
      <c r="I57" s="1991"/>
      <c r="J57" s="1991"/>
      <c r="K57" s="1991"/>
      <c r="L57" s="1992"/>
      <c r="M57" s="1885"/>
      <c r="N57" s="1886"/>
      <c r="O57" s="1886"/>
      <c r="P57" s="1886"/>
      <c r="Q57" s="1886"/>
      <c r="R57" s="1886"/>
      <c r="S57" s="1886"/>
      <c r="T57" s="1886"/>
    </row>
    <row r="58" spans="1:20" ht="18" customHeight="1" x14ac:dyDescent="0.25">
      <c r="A58" s="1894"/>
      <c r="B58" s="1894"/>
      <c r="C58" s="1894"/>
      <c r="D58" s="1894"/>
      <c r="E58" s="1894"/>
      <c r="F58" s="1894"/>
      <c r="G58" s="1896"/>
      <c r="H58" s="1993" t="s">
        <v>1126</v>
      </c>
      <c r="I58" s="1994"/>
      <c r="J58" s="1994"/>
      <c r="K58" s="1994"/>
      <c r="L58" s="1995"/>
      <c r="M58" s="1885"/>
      <c r="N58" s="1886"/>
      <c r="O58" s="1886"/>
      <c r="P58" s="1886"/>
      <c r="Q58" s="1886"/>
      <c r="R58" s="1886"/>
      <c r="S58" s="1886"/>
      <c r="T58" s="1886"/>
    </row>
    <row r="59" spans="1:20" ht="26.1" customHeight="1" x14ac:dyDescent="0.25">
      <c r="A59" s="1996" t="s">
        <v>1127</v>
      </c>
      <c r="B59" s="1997"/>
      <c r="C59" s="1997"/>
      <c r="D59" s="1997"/>
      <c r="E59" s="1997"/>
      <c r="F59" s="1894"/>
      <c r="G59" s="1896"/>
      <c r="H59" s="1998" t="s">
        <v>1128</v>
      </c>
      <c r="I59" s="1994"/>
      <c r="J59" s="1994"/>
      <c r="K59" s="1994"/>
      <c r="L59" s="1995"/>
      <c r="M59" s="1885"/>
      <c r="N59" s="1886"/>
      <c r="O59" s="1886"/>
      <c r="P59" s="1886"/>
      <c r="Q59" s="1886"/>
      <c r="R59" s="1886"/>
      <c r="S59" s="1886"/>
      <c r="T59" s="1886"/>
    </row>
    <row r="60" spans="1:20" ht="18" customHeight="1" x14ac:dyDescent="0.25">
      <c r="A60" s="1900" t="s">
        <v>1129</v>
      </c>
      <c r="B60" s="1911"/>
      <c r="C60" s="1911"/>
      <c r="D60" s="1911"/>
      <c r="E60" s="1911"/>
      <c r="F60" s="1894"/>
      <c r="G60" s="1896"/>
      <c r="H60" s="1999"/>
      <c r="I60" s="1994"/>
      <c r="J60" s="1994"/>
      <c r="K60" s="1994"/>
      <c r="L60" s="1995"/>
      <c r="M60" s="1885"/>
      <c r="N60" s="1886"/>
      <c r="O60" s="1886"/>
      <c r="P60" s="1886"/>
      <c r="Q60" s="1886"/>
      <c r="R60" s="1886"/>
      <c r="S60" s="1886"/>
      <c r="T60" s="1886"/>
    </row>
    <row r="61" spans="1:20" ht="18" customHeight="1" x14ac:dyDescent="0.25">
      <c r="A61" s="1900"/>
      <c r="B61" s="1911"/>
      <c r="C61" s="1911"/>
      <c r="D61" s="1911"/>
      <c r="E61" s="1911"/>
      <c r="F61" s="1894"/>
      <c r="G61" s="1896"/>
      <c r="H61" s="2000" t="s">
        <v>1130</v>
      </c>
      <c r="I61" s="1994"/>
      <c r="J61" s="1994"/>
      <c r="K61" s="1994"/>
      <c r="L61" s="1995"/>
      <c r="M61" s="1885"/>
      <c r="N61" s="1886"/>
      <c r="O61" s="1886"/>
      <c r="P61" s="1886"/>
      <c r="Q61" s="1886"/>
      <c r="R61" s="1886"/>
      <c r="S61" s="1886"/>
      <c r="T61" s="1886"/>
    </row>
    <row r="62" spans="1:20" ht="18" customHeight="1" x14ac:dyDescent="0.25">
      <c r="A62" s="1900" t="s">
        <v>1131</v>
      </c>
      <c r="B62" s="1911"/>
      <c r="C62" s="1911"/>
      <c r="D62" s="1911"/>
      <c r="E62" s="1911"/>
      <c r="F62" s="1894"/>
      <c r="G62" s="1896"/>
      <c r="H62" s="1993" t="s">
        <v>1132</v>
      </c>
      <c r="I62" s="1994"/>
      <c r="J62" s="2001" t="s">
        <v>1133</v>
      </c>
      <c r="K62" s="2002">
        <f>IF((E55+E56)=1,'CO2 - Cálculos'!C67+'CO2 - Cálculos'!C68,"errado")</f>
        <v>8.5983600000000013</v>
      </c>
      <c r="L62" s="1995"/>
      <c r="M62" s="1885"/>
      <c r="N62" s="1886"/>
      <c r="O62" s="1886"/>
      <c r="P62" s="1886"/>
      <c r="Q62" s="1886"/>
      <c r="R62" s="1886"/>
      <c r="S62" s="1886"/>
      <c r="T62" s="1886"/>
    </row>
    <row r="63" spans="1:20" ht="18" customHeight="1" x14ac:dyDescent="0.25">
      <c r="A63" s="1900"/>
      <c r="B63" s="1911"/>
      <c r="C63" s="1911"/>
      <c r="D63" s="1911"/>
      <c r="E63" s="1911"/>
      <c r="F63" s="1894"/>
      <c r="G63" s="1896"/>
      <c r="H63" s="1993" t="s">
        <v>1134</v>
      </c>
      <c r="I63" s="1994"/>
      <c r="J63" s="2001" t="s">
        <v>1107</v>
      </c>
      <c r="K63" s="2003">
        <f>+'CO2 - Cálculos'!C62</f>
        <v>0.27421050000000002</v>
      </c>
      <c r="L63" s="1995"/>
      <c r="M63" s="1885"/>
      <c r="N63" s="1886"/>
      <c r="O63" s="1886"/>
      <c r="P63" s="1886"/>
      <c r="Q63" s="1886"/>
      <c r="R63" s="1886"/>
      <c r="S63" s="1886"/>
      <c r="T63" s="1886"/>
    </row>
    <row r="64" spans="1:20" ht="18" customHeight="1" x14ac:dyDescent="0.25">
      <c r="A64" s="1900"/>
      <c r="B64" s="1911"/>
      <c r="C64" s="1911"/>
      <c r="D64" s="1911"/>
      <c r="E64" s="1911"/>
      <c r="F64" s="1894"/>
      <c r="G64" s="1896"/>
      <c r="H64" s="1993" t="s">
        <v>1135</v>
      </c>
      <c r="I64" s="1994"/>
      <c r="J64" s="2001" t="s">
        <v>1107</v>
      </c>
      <c r="K64" s="2003">
        <f>+'CO2 - Cálculos'!C63</f>
        <v>0.10932450000000002</v>
      </c>
      <c r="L64" s="1995"/>
      <c r="M64" s="1885"/>
      <c r="N64" s="1886"/>
      <c r="O64" s="1886"/>
      <c r="P64" s="1886"/>
      <c r="Q64" s="1886"/>
      <c r="R64" s="1886"/>
      <c r="S64" s="1886"/>
      <c r="T64" s="1886"/>
    </row>
    <row r="65" spans="1:20" ht="18" customHeight="1" x14ac:dyDescent="0.25">
      <c r="A65" s="2004"/>
      <c r="B65" s="1911"/>
      <c r="C65" s="1911"/>
      <c r="D65" s="1911"/>
      <c r="E65" s="1911"/>
      <c r="F65" s="1894"/>
      <c r="G65" s="1896"/>
      <c r="H65" s="1993" t="s">
        <v>1136</v>
      </c>
      <c r="I65" s="1994"/>
      <c r="J65" s="2001" t="s">
        <v>1107</v>
      </c>
      <c r="K65" s="2003">
        <f>+'CO2 - Cálculos'!C64</f>
        <v>0.164886</v>
      </c>
      <c r="L65" s="1995"/>
      <c r="M65" s="1885"/>
      <c r="N65" s="1886"/>
      <c r="O65" s="1886"/>
      <c r="P65" s="1886"/>
      <c r="Q65" s="1886"/>
      <c r="R65" s="1886"/>
      <c r="S65" s="1886"/>
      <c r="T65" s="1886"/>
    </row>
    <row r="66" spans="1:20" ht="18" customHeight="1" x14ac:dyDescent="0.25">
      <c r="A66" s="1911"/>
      <c r="B66" s="1957" t="s">
        <v>1137</v>
      </c>
      <c r="C66" s="1957" t="s">
        <v>1138</v>
      </c>
      <c r="D66" s="2005"/>
      <c r="E66" s="1957" t="s">
        <v>1139</v>
      </c>
      <c r="F66" s="1894"/>
      <c r="G66" s="1896"/>
      <c r="H66" s="2006"/>
      <c r="I66" s="2007"/>
      <c r="J66" s="2007"/>
      <c r="K66" s="2007"/>
      <c r="L66" s="2008"/>
      <c r="M66" s="1885"/>
      <c r="N66" s="1886"/>
      <c r="O66" s="1886"/>
      <c r="P66" s="1886"/>
      <c r="Q66" s="1886"/>
      <c r="R66" s="1886"/>
      <c r="S66" s="1886"/>
      <c r="T66" s="1886"/>
    </row>
    <row r="67" spans="1:20" ht="18" customHeight="1" x14ac:dyDescent="0.25">
      <c r="A67" s="1911"/>
      <c r="B67" s="1963" t="s">
        <v>1140</v>
      </c>
      <c r="C67" s="2009">
        <v>93</v>
      </c>
      <c r="D67" s="2009" t="s">
        <v>1139</v>
      </c>
      <c r="E67" s="1921">
        <v>75.900000000000006</v>
      </c>
      <c r="F67" s="1894" t="s">
        <v>1141</v>
      </c>
      <c r="G67" s="1896"/>
      <c r="H67" s="1896"/>
      <c r="I67" s="1896"/>
      <c r="J67" s="1896"/>
      <c r="K67" s="1896"/>
      <c r="L67" s="1896"/>
      <c r="M67" s="1885"/>
      <c r="N67" s="1886"/>
      <c r="O67" s="1886"/>
      <c r="P67" s="1886"/>
      <c r="Q67" s="1886"/>
      <c r="R67" s="1886"/>
      <c r="S67" s="1886"/>
      <c r="T67" s="1886"/>
    </row>
    <row r="68" spans="1:20" ht="18" customHeight="1" x14ac:dyDescent="0.2">
      <c r="A68" s="1896"/>
      <c r="B68" s="1896"/>
      <c r="C68" s="1896"/>
      <c r="D68" s="1896"/>
      <c r="E68" s="1896"/>
      <c r="F68" s="1896"/>
      <c r="G68" s="1896"/>
      <c r="H68" s="1896"/>
      <c r="I68" s="1896"/>
      <c r="J68" s="1896"/>
      <c r="K68" s="1896"/>
      <c r="L68" s="1896"/>
      <c r="M68" s="1885"/>
      <c r="N68" s="1886"/>
      <c r="O68" s="1886"/>
      <c r="P68" s="1886"/>
      <c r="Q68" s="1886"/>
      <c r="R68" s="1886"/>
      <c r="S68" s="1886"/>
      <c r="T68" s="1886"/>
    </row>
    <row r="69" spans="1:20" x14ac:dyDescent="0.2">
      <c r="A69" s="1896"/>
      <c r="B69" s="1896"/>
      <c r="C69" s="1896"/>
      <c r="D69" s="1896"/>
      <c r="E69" s="1896"/>
      <c r="F69" s="1896"/>
      <c r="G69" s="1896"/>
      <c r="H69" s="1896"/>
      <c r="I69" s="1896"/>
      <c r="J69" s="1896"/>
      <c r="K69" s="1896"/>
      <c r="L69" s="1896"/>
      <c r="M69" s="1885"/>
      <c r="N69" s="1886"/>
      <c r="O69" s="1886"/>
      <c r="P69" s="1886"/>
      <c r="Q69" s="1886"/>
      <c r="R69" s="1886"/>
      <c r="S69" s="1886"/>
      <c r="T69" s="1886"/>
    </row>
    <row r="70" spans="1:20" x14ac:dyDescent="0.2">
      <c r="A70" s="1885"/>
      <c r="B70" s="1885"/>
      <c r="C70" s="1885"/>
      <c r="D70" s="1885"/>
      <c r="E70" s="1885"/>
      <c r="F70" s="1885"/>
      <c r="G70" s="1885"/>
      <c r="H70" s="1885"/>
      <c r="I70" s="1885"/>
      <c r="J70" s="1885"/>
      <c r="K70" s="1885"/>
      <c r="L70" s="1885"/>
      <c r="M70" s="1885"/>
      <c r="N70" s="1886"/>
      <c r="O70" s="1886"/>
      <c r="P70" s="1886"/>
      <c r="Q70" s="1886"/>
      <c r="R70" s="1886"/>
      <c r="S70" s="1886"/>
      <c r="T70" s="1886"/>
    </row>
    <row r="71" spans="1:20" x14ac:dyDescent="0.2">
      <c r="A71" s="1886"/>
      <c r="B71" s="1886"/>
      <c r="C71" s="1886"/>
      <c r="D71" s="1886"/>
      <c r="E71" s="1886"/>
      <c r="F71" s="1886"/>
      <c r="G71" s="1886"/>
      <c r="H71" s="1886"/>
      <c r="I71" s="1886"/>
      <c r="J71" s="1886"/>
      <c r="K71" s="1886"/>
      <c r="L71" s="1886"/>
      <c r="M71" s="1886"/>
      <c r="N71" s="1886"/>
      <c r="O71" s="1886"/>
      <c r="P71" s="1886"/>
      <c r="Q71" s="1886"/>
      <c r="R71" s="1886"/>
      <c r="S71" s="1886"/>
      <c r="T71" s="1886"/>
    </row>
    <row r="72" spans="1:20" x14ac:dyDescent="0.2">
      <c r="A72" s="1886"/>
      <c r="B72" s="1886"/>
      <c r="C72" s="1886"/>
      <c r="D72" s="1886"/>
      <c r="E72" s="1886"/>
      <c r="F72" s="1886"/>
      <c r="G72" s="1886"/>
      <c r="H72" s="1886"/>
      <c r="I72" s="1886"/>
      <c r="J72" s="1886"/>
      <c r="K72" s="1886"/>
      <c r="L72" s="1886"/>
      <c r="M72" s="1886"/>
      <c r="N72" s="1886"/>
      <c r="O72" s="1886"/>
      <c r="P72" s="1886"/>
      <c r="Q72" s="1886"/>
      <c r="R72" s="1886"/>
      <c r="S72" s="1886"/>
      <c r="T72" s="1886"/>
    </row>
    <row r="73" spans="1:20" x14ac:dyDescent="0.2">
      <c r="A73" s="1886"/>
      <c r="B73" s="1886"/>
      <c r="C73" s="1886"/>
      <c r="D73" s="1886"/>
      <c r="E73" s="1886"/>
      <c r="F73" s="1886"/>
      <c r="G73" s="1886"/>
      <c r="H73" s="1886"/>
      <c r="I73" s="1886"/>
      <c r="J73" s="1886"/>
      <c r="K73" s="1886"/>
      <c r="L73" s="1886"/>
      <c r="M73" s="1886"/>
      <c r="N73" s="1886"/>
      <c r="O73" s="1886"/>
      <c r="P73" s="1886"/>
      <c r="Q73" s="1886"/>
      <c r="R73" s="1886"/>
      <c r="S73" s="1886"/>
      <c r="T73" s="1886"/>
    </row>
    <row r="74" spans="1:20" x14ac:dyDescent="0.2">
      <c r="A74" s="1886"/>
      <c r="B74" s="1886"/>
      <c r="C74" s="1886"/>
      <c r="D74" s="1886"/>
      <c r="E74" s="1886"/>
      <c r="F74" s="1886"/>
      <c r="G74" s="1886"/>
      <c r="H74" s="1886"/>
      <c r="I74" s="1886"/>
      <c r="J74" s="1886"/>
      <c r="K74" s="1886"/>
      <c r="L74" s="1886"/>
      <c r="M74" s="1886"/>
      <c r="N74" s="1886"/>
      <c r="O74" s="1886"/>
      <c r="P74" s="1886"/>
      <c r="Q74" s="1886"/>
      <c r="R74" s="1886"/>
      <c r="S74" s="1886"/>
      <c r="T74" s="1886"/>
    </row>
    <row r="75" spans="1:20" x14ac:dyDescent="0.2">
      <c r="A75" s="1886"/>
      <c r="B75" s="1886"/>
      <c r="C75" s="1886"/>
      <c r="D75" s="1886"/>
      <c r="E75" s="1886"/>
      <c r="F75" s="1886"/>
      <c r="G75" s="1886"/>
      <c r="H75" s="1886"/>
      <c r="I75" s="1886"/>
      <c r="J75" s="1886"/>
      <c r="K75" s="1886"/>
      <c r="L75" s="1886"/>
      <c r="M75" s="1886"/>
      <c r="N75" s="1886"/>
      <c r="O75" s="1886"/>
      <c r="P75" s="1886"/>
      <c r="Q75" s="1886"/>
      <c r="R75" s="1886"/>
      <c r="S75" s="1886"/>
      <c r="T75" s="1886"/>
    </row>
    <row r="76" spans="1:20" x14ac:dyDescent="0.2">
      <c r="A76" s="1886"/>
      <c r="B76" s="1886"/>
      <c r="C76" s="1886"/>
      <c r="D76" s="1886"/>
      <c r="E76" s="1886"/>
      <c r="F76" s="1886"/>
      <c r="G76" s="1886"/>
      <c r="H76" s="1886"/>
      <c r="I76" s="1886"/>
      <c r="J76" s="1886"/>
      <c r="K76" s="1886"/>
      <c r="L76" s="1886"/>
      <c r="M76" s="1886"/>
      <c r="N76" s="1886"/>
      <c r="O76" s="1886"/>
      <c r="P76" s="1886"/>
      <c r="Q76" s="1886"/>
      <c r="R76" s="1886"/>
      <c r="S76" s="1886"/>
      <c r="T76" s="1886"/>
    </row>
    <row r="77" spans="1:20" x14ac:dyDescent="0.2">
      <c r="A77" s="1886"/>
      <c r="B77" s="1886"/>
      <c r="C77" s="1886"/>
      <c r="D77" s="1886"/>
      <c r="E77" s="1886"/>
      <c r="F77" s="1886"/>
      <c r="G77" s="1886"/>
      <c r="H77" s="1886"/>
      <c r="I77" s="1886"/>
      <c r="J77" s="1886"/>
      <c r="K77" s="1886"/>
      <c r="L77" s="1886"/>
      <c r="M77" s="1886"/>
      <c r="N77" s="1886"/>
      <c r="O77" s="1886"/>
      <c r="P77" s="1886"/>
      <c r="Q77" s="1886"/>
      <c r="R77" s="1886"/>
      <c r="S77" s="1886"/>
      <c r="T77" s="1886"/>
    </row>
    <row r="78" spans="1:20" x14ac:dyDescent="0.2">
      <c r="A78" s="1886"/>
      <c r="B78" s="1886"/>
      <c r="C78" s="1886"/>
      <c r="D78" s="1886"/>
      <c r="E78" s="1886"/>
      <c r="F78" s="1886"/>
      <c r="G78" s="1886"/>
      <c r="H78" s="1886"/>
      <c r="I78" s="1886"/>
      <c r="J78" s="1886"/>
      <c r="K78" s="1886"/>
      <c r="L78" s="1886"/>
      <c r="M78" s="1886"/>
      <c r="N78" s="1886"/>
      <c r="O78" s="1886"/>
      <c r="P78" s="1886"/>
      <c r="Q78" s="1886"/>
      <c r="R78" s="1886"/>
      <c r="S78" s="1886"/>
      <c r="T78" s="1886"/>
    </row>
    <row r="79" spans="1:20" x14ac:dyDescent="0.2">
      <c r="A79" s="1886"/>
      <c r="B79" s="1886"/>
      <c r="C79" s="1886"/>
      <c r="D79" s="1886"/>
      <c r="E79" s="1886"/>
      <c r="F79" s="1886"/>
      <c r="G79" s="1886"/>
      <c r="H79" s="1886"/>
      <c r="I79" s="1886"/>
      <c r="J79" s="1886"/>
      <c r="K79" s="1886"/>
      <c r="L79" s="1886"/>
      <c r="M79" s="1886"/>
      <c r="N79" s="1886"/>
      <c r="O79" s="1886"/>
      <c r="P79" s="1886"/>
      <c r="Q79" s="1886"/>
      <c r="R79" s="1886"/>
      <c r="S79" s="1886"/>
      <c r="T79" s="1886"/>
    </row>
    <row r="80" spans="1:20" x14ac:dyDescent="0.2">
      <c r="A80" s="1886"/>
      <c r="B80" s="1886"/>
      <c r="C80" s="1886"/>
      <c r="D80" s="1886"/>
      <c r="E80" s="1886"/>
      <c r="F80" s="1886"/>
      <c r="G80" s="1886"/>
      <c r="H80" s="1886"/>
      <c r="I80" s="1886"/>
      <c r="J80" s="1886"/>
      <c r="K80" s="1886"/>
      <c r="L80" s="1886"/>
      <c r="M80" s="1886"/>
      <c r="N80" s="1886"/>
      <c r="O80" s="1886"/>
      <c r="P80" s="1886"/>
      <c r="Q80" s="1886"/>
      <c r="R80" s="1886"/>
      <c r="S80" s="1886"/>
      <c r="T80" s="1886"/>
    </row>
    <row r="81" spans="1:20" x14ac:dyDescent="0.2">
      <c r="A81" s="1886"/>
      <c r="B81" s="1886"/>
      <c r="C81" s="1886"/>
      <c r="D81" s="1886"/>
      <c r="E81" s="1886"/>
      <c r="F81" s="1886"/>
      <c r="G81" s="1886"/>
      <c r="H81" s="1886"/>
      <c r="I81" s="1886"/>
      <c r="J81" s="1886"/>
      <c r="K81" s="1886"/>
      <c r="L81" s="1886"/>
      <c r="M81" s="1886"/>
      <c r="N81" s="1886"/>
      <c r="O81" s="1886"/>
      <c r="P81" s="1886"/>
      <c r="Q81" s="1886"/>
      <c r="R81" s="1886"/>
      <c r="S81" s="1886"/>
      <c r="T81" s="1886"/>
    </row>
    <row r="82" spans="1:20" x14ac:dyDescent="0.2">
      <c r="A82" s="1886"/>
      <c r="B82" s="1886"/>
      <c r="C82" s="1886"/>
      <c r="D82" s="1886"/>
      <c r="E82" s="1886"/>
      <c r="F82" s="1886"/>
      <c r="G82" s="1886"/>
      <c r="H82" s="1886"/>
      <c r="I82" s="1886"/>
      <c r="J82" s="1886"/>
      <c r="K82" s="1886"/>
      <c r="L82" s="1886"/>
      <c r="M82" s="1886"/>
      <c r="N82" s="1886"/>
      <c r="O82" s="1886"/>
      <c r="P82" s="1886"/>
      <c r="Q82" s="1886"/>
      <c r="R82" s="1886"/>
      <c r="S82" s="1886"/>
      <c r="T82" s="1886"/>
    </row>
    <row r="83" spans="1:20" x14ac:dyDescent="0.2">
      <c r="A83" s="1886"/>
      <c r="B83" s="1886"/>
      <c r="C83" s="1886"/>
      <c r="D83" s="1886"/>
      <c r="E83" s="1886"/>
      <c r="F83" s="1886"/>
      <c r="G83" s="1886"/>
      <c r="H83" s="1886"/>
      <c r="I83" s="1886"/>
      <c r="J83" s="1886"/>
      <c r="K83" s="1886"/>
      <c r="L83" s="1886"/>
      <c r="M83" s="1886"/>
      <c r="N83" s="1886"/>
      <c r="O83" s="1886"/>
      <c r="P83" s="1886"/>
      <c r="Q83" s="1886"/>
      <c r="R83" s="1886"/>
      <c r="S83" s="1886"/>
      <c r="T83" s="1886"/>
    </row>
    <row r="84" spans="1:20" x14ac:dyDescent="0.2">
      <c r="A84" s="1886"/>
      <c r="B84" s="1886"/>
      <c r="C84" s="1886"/>
      <c r="D84" s="1886"/>
      <c r="E84" s="1886"/>
      <c r="F84" s="1886"/>
      <c r="G84" s="1886"/>
      <c r="H84" s="1886"/>
      <c r="I84" s="1886"/>
      <c r="J84" s="1886"/>
      <c r="K84" s="1886"/>
      <c r="L84" s="1886"/>
      <c r="M84" s="1886"/>
      <c r="N84" s="1886"/>
      <c r="O84" s="1886"/>
      <c r="P84" s="1886"/>
      <c r="Q84" s="1886"/>
      <c r="R84" s="1886"/>
      <c r="S84" s="1886"/>
      <c r="T84" s="1886"/>
    </row>
    <row r="85" spans="1:20" x14ac:dyDescent="0.2">
      <c r="A85" s="1886"/>
      <c r="B85" s="1886"/>
      <c r="C85" s="1886"/>
      <c r="D85" s="1886"/>
      <c r="E85" s="1886"/>
      <c r="F85" s="1886"/>
      <c r="G85" s="1886"/>
      <c r="H85" s="1886"/>
      <c r="I85" s="1886"/>
      <c r="J85" s="1886"/>
      <c r="K85" s="1886"/>
      <c r="L85" s="1886"/>
      <c r="M85" s="1886"/>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row r="121" spans="1:20" x14ac:dyDescent="0.2">
      <c r="A121" s="1886"/>
      <c r="B121" s="1886"/>
      <c r="C121" s="1886"/>
      <c r="D121" s="1886"/>
      <c r="E121" s="1886"/>
      <c r="F121" s="1886"/>
      <c r="G121" s="1886"/>
      <c r="H121" s="1886"/>
      <c r="I121" s="1886"/>
      <c r="J121" s="1886"/>
      <c r="K121" s="1886"/>
      <c r="L121" s="1886"/>
      <c r="M121" s="1886"/>
      <c r="N121" s="1886"/>
      <c r="O121" s="1886"/>
      <c r="P121" s="1886"/>
      <c r="Q121" s="1886"/>
      <c r="R121" s="1886"/>
      <c r="S121" s="1886"/>
      <c r="T121" s="1886"/>
    </row>
    <row r="122" spans="1:20" x14ac:dyDescent="0.2">
      <c r="A122" s="1886"/>
      <c r="B122" s="1886"/>
      <c r="C122" s="1886"/>
      <c r="D122" s="1886"/>
      <c r="E122" s="1886"/>
      <c r="F122" s="1886"/>
      <c r="G122" s="1886"/>
      <c r="H122" s="1886"/>
      <c r="I122" s="1886"/>
      <c r="J122" s="1886"/>
      <c r="K122" s="1886"/>
      <c r="L122" s="1886"/>
      <c r="M122" s="1886"/>
      <c r="N122" s="1886"/>
      <c r="O122" s="1886"/>
      <c r="P122" s="1886"/>
      <c r="Q122" s="1886"/>
      <c r="R122" s="1886"/>
      <c r="S122" s="1886"/>
      <c r="T122" s="1886"/>
    </row>
    <row r="123" spans="1:20" x14ac:dyDescent="0.2">
      <c r="A123" s="1886"/>
      <c r="B123" s="1886"/>
      <c r="C123" s="1886"/>
      <c r="D123" s="1886"/>
      <c r="E123" s="1886"/>
      <c r="F123" s="1886"/>
      <c r="G123" s="1886"/>
      <c r="H123" s="1886"/>
      <c r="I123" s="1886"/>
      <c r="J123" s="1886"/>
      <c r="K123" s="1886"/>
      <c r="L123" s="1886"/>
      <c r="M123" s="1886"/>
      <c r="N123" s="1886"/>
      <c r="O123" s="1886"/>
      <c r="P123" s="1886"/>
      <c r="Q123" s="1886"/>
      <c r="R123" s="1886"/>
      <c r="S123" s="1886"/>
      <c r="T123" s="1886"/>
    </row>
    <row r="124" spans="1:20" x14ac:dyDescent="0.2">
      <c r="A124" s="1886"/>
      <c r="B124" s="1886"/>
      <c r="C124" s="1886"/>
      <c r="D124" s="1886"/>
      <c r="E124" s="1886"/>
      <c r="F124" s="1886"/>
      <c r="G124" s="1886"/>
      <c r="H124" s="1886"/>
      <c r="I124" s="1886"/>
      <c r="J124" s="1886"/>
      <c r="K124" s="1886"/>
      <c r="L124" s="1886"/>
      <c r="M124" s="1886"/>
      <c r="N124" s="1886"/>
      <c r="O124" s="1886"/>
      <c r="P124" s="1886"/>
      <c r="Q124" s="1886"/>
      <c r="R124" s="1886"/>
      <c r="S124" s="1886"/>
      <c r="T124" s="1886"/>
    </row>
    <row r="125" spans="1:20" x14ac:dyDescent="0.2">
      <c r="A125" s="1886"/>
      <c r="B125" s="1886"/>
      <c r="C125" s="1886"/>
      <c r="D125" s="1886"/>
      <c r="E125" s="1886"/>
      <c r="F125" s="1886"/>
      <c r="G125" s="1886"/>
      <c r="H125" s="1886"/>
      <c r="I125" s="1886"/>
      <c r="J125" s="1886"/>
      <c r="K125" s="1886"/>
      <c r="L125" s="1886"/>
      <c r="M125" s="1886"/>
      <c r="N125" s="1886"/>
      <c r="O125" s="1886"/>
      <c r="P125" s="1886"/>
      <c r="Q125" s="1886"/>
      <c r="R125" s="1886"/>
      <c r="S125" s="1886"/>
      <c r="T125" s="1886"/>
    </row>
    <row r="126" spans="1:20" x14ac:dyDescent="0.2">
      <c r="A126" s="1886"/>
      <c r="B126" s="1886"/>
      <c r="C126" s="1886"/>
      <c r="D126" s="1886"/>
      <c r="E126" s="1886"/>
      <c r="F126" s="1886"/>
      <c r="G126" s="1886"/>
      <c r="H126" s="1886"/>
      <c r="I126" s="1886"/>
      <c r="J126" s="1886"/>
      <c r="K126" s="1886"/>
      <c r="L126" s="1886"/>
      <c r="M126" s="1886"/>
      <c r="N126" s="1886"/>
      <c r="O126" s="1886"/>
      <c r="P126" s="1886"/>
      <c r="Q126" s="1886"/>
      <c r="R126" s="1886"/>
      <c r="S126" s="1886"/>
      <c r="T126" s="1886"/>
    </row>
    <row r="127" spans="1:20" x14ac:dyDescent="0.2">
      <c r="A127" s="1886"/>
      <c r="B127" s="1886"/>
      <c r="C127" s="1886"/>
      <c r="D127" s="1886"/>
      <c r="E127" s="1886"/>
      <c r="F127" s="1886"/>
      <c r="G127" s="1886"/>
      <c r="H127" s="1886"/>
      <c r="I127" s="1886"/>
      <c r="J127" s="1886"/>
      <c r="K127" s="1886"/>
      <c r="L127" s="1886"/>
      <c r="M127" s="1886"/>
      <c r="N127" s="1886"/>
      <c r="O127" s="1886"/>
      <c r="P127" s="1886"/>
      <c r="Q127" s="1886"/>
      <c r="R127" s="1886"/>
      <c r="S127" s="1886"/>
      <c r="T127" s="1886"/>
    </row>
    <row r="128" spans="1:20" x14ac:dyDescent="0.2">
      <c r="A128" s="1886"/>
      <c r="B128" s="1886"/>
      <c r="C128" s="1886"/>
      <c r="D128" s="1886"/>
      <c r="E128" s="1886"/>
      <c r="F128" s="1886"/>
      <c r="G128" s="1886"/>
      <c r="H128" s="1886"/>
      <c r="I128" s="1886"/>
      <c r="J128" s="1886"/>
      <c r="K128" s="1886"/>
      <c r="L128" s="1886"/>
      <c r="M128" s="1886"/>
      <c r="N128" s="1886"/>
      <c r="O128" s="1886"/>
      <c r="P128" s="1886"/>
      <c r="Q128" s="1886"/>
      <c r="R128" s="1886"/>
      <c r="S128" s="1886"/>
      <c r="T128" s="1886"/>
    </row>
    <row r="129" spans="1:20" x14ac:dyDescent="0.2">
      <c r="A129" s="1886"/>
      <c r="B129" s="1886"/>
      <c r="C129" s="1886"/>
      <c r="D129" s="1886"/>
      <c r="E129" s="1886"/>
      <c r="F129" s="1886"/>
      <c r="G129" s="1886"/>
      <c r="H129" s="1886"/>
      <c r="I129" s="1886"/>
      <c r="J129" s="1886"/>
      <c r="K129" s="1886"/>
      <c r="L129" s="1886"/>
      <c r="M129" s="1886"/>
      <c r="N129" s="1886"/>
      <c r="O129" s="1886"/>
      <c r="P129" s="1886"/>
      <c r="Q129" s="1886"/>
      <c r="R129" s="1886"/>
      <c r="S129" s="1886"/>
      <c r="T129" s="1886"/>
    </row>
    <row r="130" spans="1:20" x14ac:dyDescent="0.2">
      <c r="A130" s="1886"/>
      <c r="B130" s="1886"/>
      <c r="C130" s="1886"/>
      <c r="D130" s="1886"/>
      <c r="E130" s="1886"/>
      <c r="F130" s="1886"/>
      <c r="G130" s="1886"/>
      <c r="H130" s="1886"/>
      <c r="I130" s="1886"/>
      <c r="J130" s="1886"/>
      <c r="K130" s="1886"/>
      <c r="L130" s="1886"/>
      <c r="M130" s="1886"/>
      <c r="N130" s="1886"/>
      <c r="O130" s="1886"/>
      <c r="P130" s="1886"/>
      <c r="Q130" s="1886"/>
      <c r="R130" s="1886"/>
      <c r="S130" s="1886"/>
      <c r="T130" s="1886"/>
    </row>
    <row r="131" spans="1:20" x14ac:dyDescent="0.2">
      <c r="A131" s="1886"/>
      <c r="B131" s="1886"/>
      <c r="C131" s="1886"/>
      <c r="D131" s="1886"/>
      <c r="E131" s="1886"/>
      <c r="F131" s="1886"/>
      <c r="G131" s="1886"/>
      <c r="H131" s="1886"/>
      <c r="I131" s="1886"/>
      <c r="J131" s="1886"/>
      <c r="K131" s="1886"/>
      <c r="L131" s="1886"/>
      <c r="M131" s="1886"/>
      <c r="N131" s="1886"/>
      <c r="O131" s="1886"/>
      <c r="P131" s="1886"/>
      <c r="Q131" s="1886"/>
      <c r="R131" s="1886"/>
      <c r="S131" s="1886"/>
      <c r="T131" s="1886"/>
    </row>
    <row r="132" spans="1:20" x14ac:dyDescent="0.2">
      <c r="A132" s="1886"/>
      <c r="B132" s="1886"/>
      <c r="C132" s="1886"/>
      <c r="D132" s="1886"/>
      <c r="E132" s="1886"/>
      <c r="F132" s="1886"/>
      <c r="G132" s="1886"/>
      <c r="H132" s="1886"/>
      <c r="I132" s="1886"/>
      <c r="J132" s="1886"/>
      <c r="K132" s="1886"/>
      <c r="L132" s="1886"/>
      <c r="M132" s="1886"/>
      <c r="N132" s="1886"/>
      <c r="O132" s="1886"/>
      <c r="P132" s="1886"/>
      <c r="Q132" s="1886"/>
      <c r="R132" s="1886"/>
      <c r="S132" s="1886"/>
      <c r="T132" s="1886"/>
    </row>
  </sheetData>
  <sheetProtection selectLockedCells="1" selectUnlockedCells="1"/>
  <pageMargins left="0.78740157499999996" right="0.78740157499999996" top="0.984251969" bottom="0.984251969" header="0.4921259845" footer="0.4921259845"/>
  <pageSetup paperSize="9"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BE81E-77F6-456F-83DE-242C4FC6925F}">
  <dimension ref="A1:X144"/>
  <sheetViews>
    <sheetView zoomScale="90" zoomScaleNormal="90" workbookViewId="0">
      <selection activeCell="L13" sqref="L13"/>
    </sheetView>
  </sheetViews>
  <sheetFormatPr defaultColWidth="11.42578125" defaultRowHeight="12.75" x14ac:dyDescent="0.2"/>
  <cols>
    <col min="1" max="1" width="12.140625" style="1842" customWidth="1"/>
    <col min="2" max="2" width="30.42578125" style="1842" bestFit="1" customWidth="1"/>
    <col min="3" max="4" width="11.42578125" style="1842" customWidth="1"/>
    <col min="5" max="5" width="15.42578125" style="1842" customWidth="1"/>
    <col min="6" max="6" width="1.42578125" style="1842" customWidth="1"/>
    <col min="7" max="13" width="13.28515625" style="1842" customWidth="1"/>
    <col min="14" max="14" width="11.42578125" style="1842"/>
    <col min="15" max="15" width="16.42578125" style="1842" customWidth="1"/>
    <col min="16" max="16" width="22.5703125" style="1842" customWidth="1"/>
    <col min="17" max="17" width="21.42578125" style="1842" customWidth="1"/>
    <col min="18" max="18" width="16" style="1842" customWidth="1"/>
    <col min="19" max="19" width="16.42578125" style="1842" customWidth="1"/>
    <col min="20" max="20" width="15.140625" style="1842" customWidth="1"/>
    <col min="21" max="21" width="11.42578125" style="1842"/>
    <col min="22" max="22" width="16" style="1842" bestFit="1" customWidth="1"/>
    <col min="23" max="16384" width="11.42578125" style="1842"/>
  </cols>
  <sheetData>
    <row r="1" spans="1:24" ht="39" customHeight="1" x14ac:dyDescent="0.2">
      <c r="A1" s="2010" t="s">
        <v>1142</v>
      </c>
      <c r="B1" s="2011"/>
      <c r="C1" s="2011"/>
      <c r="D1" s="1886"/>
      <c r="E1" s="1886"/>
      <c r="F1" s="1886"/>
      <c r="G1" s="1886"/>
      <c r="H1" s="1886"/>
      <c r="I1" s="1886"/>
      <c r="J1" s="1980"/>
      <c r="K1" s="1886"/>
      <c r="L1" s="1886"/>
      <c r="M1" s="1886"/>
      <c r="N1" s="2012"/>
      <c r="O1" s="2012"/>
      <c r="P1" s="1886"/>
      <c r="Q1" s="1886"/>
      <c r="R1" s="1886"/>
      <c r="S1" s="1886"/>
      <c r="T1" s="1886"/>
      <c r="U1" s="1886"/>
      <c r="V1" s="1886"/>
      <c r="W1" s="1886"/>
      <c r="X1" s="1886"/>
    </row>
    <row r="2" spans="1:24" ht="18" customHeight="1" x14ac:dyDescent="0.25">
      <c r="A2" s="1900" t="s">
        <v>1143</v>
      </c>
      <c r="B2" s="1911"/>
      <c r="C2" s="1911"/>
      <c r="D2" s="1911"/>
      <c r="E2" s="1911"/>
      <c r="F2" s="1911"/>
      <c r="G2" s="1911"/>
      <c r="H2" s="1911"/>
      <c r="I2" s="1911"/>
      <c r="J2" s="2013"/>
      <c r="K2" s="1953"/>
      <c r="L2" s="1953"/>
      <c r="M2" s="1953"/>
      <c r="N2" s="1953"/>
      <c r="O2" s="1953"/>
      <c r="P2" s="1953"/>
      <c r="Q2" s="1886"/>
      <c r="R2" s="1886"/>
      <c r="S2" s="1886"/>
      <c r="T2" s="1886"/>
      <c r="U2" s="1886"/>
      <c r="V2" s="1886"/>
      <c r="W2" s="1886"/>
      <c r="X2" s="1886"/>
    </row>
    <row r="3" spans="1:24" ht="18" customHeight="1" x14ac:dyDescent="0.25">
      <c r="A3" s="1900" t="s">
        <v>1144</v>
      </c>
      <c r="B3" s="1911"/>
      <c r="C3" s="1911"/>
      <c r="D3" s="1911"/>
      <c r="E3" s="1911"/>
      <c r="F3" s="1911"/>
      <c r="G3" s="1911"/>
      <c r="H3" s="1911"/>
      <c r="I3" s="1911"/>
      <c r="J3" s="2013"/>
      <c r="K3" s="1953"/>
      <c r="L3" s="1953"/>
      <c r="M3" s="1953"/>
      <c r="N3" s="1953"/>
      <c r="O3" s="1953"/>
      <c r="P3" s="2014"/>
      <c r="Q3" s="1886"/>
      <c r="R3" s="1886"/>
      <c r="S3" s="1886"/>
      <c r="T3" s="1886"/>
      <c r="U3" s="1886"/>
      <c r="V3" s="1886"/>
      <c r="W3" s="1886"/>
      <c r="X3" s="1886"/>
    </row>
    <row r="4" spans="1:24" ht="18" customHeight="1" x14ac:dyDescent="0.25">
      <c r="A4" s="1983" t="s">
        <v>1145</v>
      </c>
      <c r="B4" s="1911"/>
      <c r="C4" s="1911"/>
      <c r="D4" s="1911"/>
      <c r="E4" s="1911"/>
      <c r="F4" s="1911"/>
      <c r="G4" s="1911"/>
      <c r="H4" s="1911"/>
      <c r="I4" s="1911"/>
      <c r="J4" s="1911"/>
      <c r="K4" s="1953"/>
      <c r="L4" s="1953"/>
      <c r="M4" s="1953"/>
      <c r="N4" s="1953"/>
      <c r="O4" s="1953"/>
      <c r="P4" s="1953"/>
      <c r="Q4" s="1886"/>
      <c r="R4" s="1886"/>
      <c r="S4" s="1886"/>
      <c r="T4" s="1886"/>
      <c r="U4" s="1886"/>
      <c r="V4" s="1886"/>
      <c r="W4" s="1886"/>
      <c r="X4" s="1886"/>
    </row>
    <row r="5" spans="1:24" ht="14.25" x14ac:dyDescent="0.25">
      <c r="A5" s="1953"/>
      <c r="B5" s="1953"/>
      <c r="C5" s="1953"/>
      <c r="D5" s="1953"/>
      <c r="E5" s="2015"/>
      <c r="F5" s="1953"/>
      <c r="G5" s="1953"/>
      <c r="H5" s="1953"/>
      <c r="I5" s="1953"/>
      <c r="J5" s="1953"/>
      <c r="K5" s="1953"/>
      <c r="L5" s="1953"/>
      <c r="M5" s="1953"/>
      <c r="N5" s="1953"/>
      <c r="O5" s="1953"/>
      <c r="P5" s="1953"/>
      <c r="Q5" s="1886"/>
      <c r="R5" s="1886"/>
      <c r="S5" s="1886"/>
      <c r="T5" s="1886"/>
      <c r="U5" s="1886"/>
      <c r="V5" s="1886"/>
      <c r="W5" s="1886"/>
      <c r="X5" s="1886"/>
    </row>
    <row r="6" spans="1:24" ht="18" customHeight="1" x14ac:dyDescent="0.2">
      <c r="A6" s="1886"/>
      <c r="B6" s="1886"/>
      <c r="C6" s="1886"/>
      <c r="D6" s="1886"/>
      <c r="E6" s="2016" t="s">
        <v>1146</v>
      </c>
      <c r="F6" s="2017"/>
      <c r="G6" s="2017"/>
      <c r="H6" s="2017"/>
      <c r="I6" s="2017"/>
      <c r="J6" s="2018"/>
      <c r="K6" s="2018"/>
      <c r="L6" s="2018"/>
      <c r="M6" s="2018"/>
      <c r="N6" s="1886"/>
      <c r="O6" s="1886"/>
      <c r="P6" s="1886"/>
      <c r="Q6" s="1886"/>
      <c r="R6" s="1886"/>
      <c r="S6" s="1886"/>
      <c r="T6" s="1886"/>
      <c r="U6" s="1886"/>
      <c r="V6" s="1886"/>
      <c r="W6" s="1886"/>
      <c r="X6" s="1886"/>
    </row>
    <row r="7" spans="1:24" ht="28.5" x14ac:dyDescent="0.25">
      <c r="A7" s="1886"/>
      <c r="B7" s="1886"/>
      <c r="C7" s="2019"/>
      <c r="D7" s="2019"/>
      <c r="E7" s="2020" t="s">
        <v>1147</v>
      </c>
      <c r="F7" s="2021"/>
      <c r="G7" s="2022" t="s">
        <v>1148</v>
      </c>
      <c r="H7" s="2022" t="s">
        <v>1495</v>
      </c>
      <c r="I7" s="2022" t="s">
        <v>1149</v>
      </c>
      <c r="J7" s="2022" t="s">
        <v>1150</v>
      </c>
      <c r="K7" s="2022" t="s">
        <v>1151</v>
      </c>
      <c r="L7" s="2022" t="s">
        <v>1152</v>
      </c>
      <c r="M7" s="2022" t="s">
        <v>1496</v>
      </c>
      <c r="N7" s="1886"/>
      <c r="O7" s="1886"/>
      <c r="P7" s="1886"/>
      <c r="Q7" s="1886"/>
      <c r="R7" s="1886"/>
      <c r="S7" s="1886"/>
      <c r="T7" s="1886"/>
      <c r="U7" s="1886"/>
      <c r="V7" s="1886"/>
      <c r="W7" s="1886"/>
      <c r="X7" s="1886"/>
    </row>
    <row r="8" spans="1:24" ht="35.1" customHeight="1" x14ac:dyDescent="0.25">
      <c r="A8" s="1886"/>
      <c r="B8" s="1886"/>
      <c r="C8" s="1886"/>
      <c r="D8" s="1886"/>
      <c r="E8" s="2023" t="s">
        <v>1147</v>
      </c>
      <c r="F8" s="2024"/>
      <c r="G8" s="2025" t="s">
        <v>1153</v>
      </c>
      <c r="H8" s="2025" t="s">
        <v>1497</v>
      </c>
      <c r="I8" s="2025" t="s">
        <v>1154</v>
      </c>
      <c r="J8" s="2025" t="s">
        <v>1155</v>
      </c>
      <c r="K8" s="2025" t="s">
        <v>1156</v>
      </c>
      <c r="L8" s="2025" t="s">
        <v>1498</v>
      </c>
      <c r="M8" s="2025" t="s">
        <v>1499</v>
      </c>
      <c r="N8" s="2026"/>
      <c r="O8" s="2027"/>
      <c r="P8" s="2026"/>
      <c r="Q8" s="2026"/>
      <c r="R8" s="2026"/>
      <c r="S8" s="2026"/>
      <c r="T8" s="2026"/>
      <c r="U8" s="2026"/>
      <c r="V8" s="2026"/>
      <c r="W8" s="1886"/>
      <c r="X8" s="1886"/>
    </row>
    <row r="9" spans="1:24" ht="26.1" customHeight="1" x14ac:dyDescent="0.2">
      <c r="A9" s="1908" t="s">
        <v>1157</v>
      </c>
      <c r="B9" s="2028"/>
      <c r="C9" s="1886"/>
      <c r="D9" s="1886"/>
      <c r="E9" s="2029"/>
      <c r="F9" s="2029"/>
      <c r="G9" s="2029"/>
      <c r="H9" s="2029"/>
      <c r="I9" s="2029"/>
      <c r="J9" s="2029"/>
      <c r="K9" s="2029"/>
      <c r="L9" s="2029"/>
      <c r="M9" s="2029"/>
      <c r="N9" s="2030"/>
      <c r="O9" s="2031"/>
      <c r="P9" s="2026"/>
      <c r="Q9" s="2026"/>
      <c r="R9" s="2026"/>
      <c r="S9" s="2026"/>
      <c r="T9" s="2026"/>
      <c r="U9" s="2026"/>
      <c r="V9" s="2026"/>
      <c r="W9" s="1886"/>
      <c r="X9" s="1886"/>
    </row>
    <row r="10" spans="1:24" x14ac:dyDescent="0.2">
      <c r="A10" s="2032" t="s">
        <v>1158</v>
      </c>
      <c r="B10" s="2033"/>
      <c r="C10" s="1886"/>
      <c r="D10" s="1886"/>
      <c r="E10" s="2029"/>
      <c r="F10" s="2029"/>
      <c r="G10" s="2029"/>
      <c r="H10" s="2029"/>
      <c r="I10" s="2029"/>
      <c r="J10" s="2029"/>
      <c r="K10" s="2029"/>
      <c r="L10" s="2029"/>
      <c r="M10" s="2029"/>
      <c r="N10" s="2030"/>
      <c r="O10" s="2026"/>
      <c r="P10" s="2026"/>
      <c r="Q10" s="2026"/>
      <c r="R10" s="2026"/>
      <c r="S10" s="2026"/>
      <c r="T10" s="2026"/>
      <c r="U10" s="2026"/>
      <c r="V10" s="2026"/>
      <c r="W10" s="1886"/>
      <c r="X10" s="1886"/>
    </row>
    <row r="11" spans="1:24" ht="15.75" x14ac:dyDescent="0.25">
      <c r="A11" s="2034"/>
      <c r="B11" s="2033"/>
      <c r="C11" s="1886"/>
      <c r="D11" s="1886"/>
      <c r="E11" s="2029"/>
      <c r="F11" s="2029"/>
      <c r="G11" s="2029"/>
      <c r="H11" s="2029"/>
      <c r="I11" s="2029"/>
      <c r="J11" s="2029"/>
      <c r="K11" s="2029"/>
      <c r="L11" s="2029"/>
      <c r="M11" s="2029"/>
      <c r="N11" s="2026"/>
      <c r="O11" s="2035"/>
      <c r="P11" s="2026"/>
      <c r="Q11" s="2026"/>
      <c r="R11" s="2026"/>
      <c r="S11" s="2026"/>
      <c r="T11" s="2026"/>
      <c r="U11" s="2026"/>
      <c r="V11" s="2026"/>
      <c r="W11" s="1886"/>
      <c r="X11" s="1886"/>
    </row>
    <row r="12" spans="1:24" ht="18" customHeight="1" x14ac:dyDescent="0.2">
      <c r="A12" s="2036" t="s">
        <v>1159</v>
      </c>
      <c r="B12" s="2037" t="s">
        <v>1160</v>
      </c>
      <c r="C12" s="2038" t="s">
        <v>1161</v>
      </c>
      <c r="D12" s="2039"/>
      <c r="E12" s="2040" t="s">
        <v>1162</v>
      </c>
      <c r="F12" s="2041"/>
      <c r="G12" s="2042" t="s">
        <v>1162</v>
      </c>
      <c r="H12" s="2042" t="s">
        <v>1162</v>
      </c>
      <c r="I12" s="2042" t="s">
        <v>1162</v>
      </c>
      <c r="J12" s="2042" t="s">
        <v>1162</v>
      </c>
      <c r="K12" s="2042" t="s">
        <v>1162</v>
      </c>
      <c r="L12" s="2042" t="s">
        <v>1162</v>
      </c>
      <c r="M12" s="2042" t="s">
        <v>1162</v>
      </c>
      <c r="N12" s="2043"/>
      <c r="O12" s="2946"/>
      <c r="P12" s="2946"/>
      <c r="Q12" s="2946"/>
      <c r="R12" s="2946"/>
      <c r="S12" s="2946"/>
      <c r="T12" s="2026"/>
      <c r="U12" s="2026"/>
      <c r="V12" s="2026"/>
      <c r="W12" s="1886"/>
      <c r="X12" s="1886"/>
    </row>
    <row r="13" spans="1:24" ht="18" customHeight="1" x14ac:dyDescent="0.2">
      <c r="A13" s="1886"/>
      <c r="B13" s="2044" t="s">
        <v>1110</v>
      </c>
      <c r="C13" s="2045"/>
      <c r="D13" s="2046"/>
      <c r="E13" s="2047">
        <v>0.1</v>
      </c>
      <c r="F13" s="2029"/>
      <c r="G13" s="2047">
        <v>0.33300000000000002</v>
      </c>
      <c r="H13" s="2047">
        <v>0.33300000000000002</v>
      </c>
      <c r="I13" s="2047">
        <v>0.33300000000000002</v>
      </c>
      <c r="J13" s="2047">
        <v>0.33300000000000002</v>
      </c>
      <c r="K13" s="2047">
        <v>0.33300000000000002</v>
      </c>
      <c r="L13" s="2047">
        <v>0.33300000000000002</v>
      </c>
      <c r="M13" s="2047">
        <v>0.33300000000000002</v>
      </c>
      <c r="N13" s="2026"/>
      <c r="O13" s="2946"/>
      <c r="P13" s="2946"/>
      <c r="Q13" s="2946"/>
      <c r="R13" s="2946"/>
      <c r="S13" s="2946"/>
      <c r="T13" s="2026"/>
      <c r="U13" s="2026"/>
      <c r="V13" s="2026"/>
      <c r="W13" s="1886"/>
      <c r="X13" s="1886"/>
    </row>
    <row r="14" spans="1:24" ht="18" customHeight="1" x14ac:dyDescent="0.2">
      <c r="A14" s="1886"/>
      <c r="B14" s="2044" t="s">
        <v>1111</v>
      </c>
      <c r="C14" s="2045"/>
      <c r="D14" s="2046"/>
      <c r="E14" s="2047">
        <v>0.1</v>
      </c>
      <c r="F14" s="2029"/>
      <c r="G14" s="2047">
        <v>0.22</v>
      </c>
      <c r="H14" s="2047">
        <v>0.22</v>
      </c>
      <c r="I14" s="2047">
        <v>0.22</v>
      </c>
      <c r="J14" s="2047">
        <v>0.22</v>
      </c>
      <c r="K14" s="2047">
        <v>0.22</v>
      </c>
      <c r="L14" s="2047">
        <v>0.22</v>
      </c>
      <c r="M14" s="2047">
        <v>0.22</v>
      </c>
      <c r="N14" s="2026"/>
      <c r="O14" s="2048"/>
      <c r="P14" s="2049"/>
      <c r="Q14" s="2048"/>
      <c r="R14" s="2048"/>
      <c r="S14" s="2048"/>
      <c r="T14" s="2026"/>
      <c r="U14" s="2026"/>
      <c r="V14" s="2026"/>
      <c r="W14" s="1886"/>
      <c r="X14" s="1886"/>
    </row>
    <row r="15" spans="1:24" ht="18" customHeight="1" x14ac:dyDescent="0.2">
      <c r="A15" s="1886"/>
      <c r="B15" s="2044" t="s">
        <v>50</v>
      </c>
      <c r="C15" s="2045"/>
      <c r="D15" s="2046"/>
      <c r="E15" s="2047">
        <v>0</v>
      </c>
      <c r="F15" s="2029"/>
      <c r="G15" s="2047">
        <v>0</v>
      </c>
      <c r="H15" s="2047">
        <v>0</v>
      </c>
      <c r="I15" s="2047">
        <v>0</v>
      </c>
      <c r="J15" s="2047">
        <v>0</v>
      </c>
      <c r="K15" s="2047">
        <v>0</v>
      </c>
      <c r="L15" s="2047">
        <v>0</v>
      </c>
      <c r="M15" s="2047">
        <v>0</v>
      </c>
      <c r="N15" s="2026"/>
      <c r="O15" s="1841"/>
      <c r="P15" s="2050"/>
      <c r="Q15" s="2050"/>
      <c r="R15" s="2049"/>
      <c r="S15" s="2026"/>
      <c r="T15" s="2026"/>
      <c r="U15" s="2026"/>
      <c r="V15" s="2026"/>
      <c r="W15" s="1886"/>
      <c r="X15" s="1886"/>
    </row>
    <row r="16" spans="1:24" ht="18" customHeight="1" x14ac:dyDescent="0.2">
      <c r="A16" s="1886"/>
      <c r="B16" s="2044" t="s">
        <v>1112</v>
      </c>
      <c r="C16" s="2045"/>
      <c r="D16" s="2046"/>
      <c r="E16" s="2047">
        <v>0.2</v>
      </c>
      <c r="F16" s="2029"/>
      <c r="G16" s="2047">
        <v>0.95</v>
      </c>
      <c r="H16" s="2047">
        <v>0.95</v>
      </c>
      <c r="I16" s="2047">
        <v>0.95</v>
      </c>
      <c r="J16" s="2047">
        <v>0.95</v>
      </c>
      <c r="K16" s="2047">
        <v>0.95</v>
      </c>
      <c r="L16" s="2047">
        <v>0.95</v>
      </c>
      <c r="M16" s="2047">
        <v>0.95</v>
      </c>
      <c r="N16" s="2026"/>
      <c r="O16" s="2051"/>
      <c r="P16" s="2052"/>
      <c r="Q16" s="2053"/>
      <c r="R16" s="2054"/>
      <c r="S16" s="2055"/>
      <c r="T16" s="2026"/>
      <c r="U16" s="2026"/>
      <c r="V16" s="2026"/>
      <c r="W16" s="1886"/>
      <c r="X16" s="1886"/>
    </row>
    <row r="17" spans="1:24" ht="18" customHeight="1" x14ac:dyDescent="0.2">
      <c r="A17" s="1886"/>
      <c r="B17" s="2044" t="s">
        <v>1113</v>
      </c>
      <c r="C17" s="2045"/>
      <c r="D17" s="2046"/>
      <c r="E17" s="2047">
        <v>0.2</v>
      </c>
      <c r="F17" s="2029"/>
      <c r="G17" s="2047">
        <v>0.95</v>
      </c>
      <c r="H17" s="2047">
        <v>0.95</v>
      </c>
      <c r="I17" s="2047">
        <v>0.95</v>
      </c>
      <c r="J17" s="2047">
        <v>0.95</v>
      </c>
      <c r="K17" s="2047">
        <v>0.95</v>
      </c>
      <c r="L17" s="2047">
        <v>0.95</v>
      </c>
      <c r="M17" s="2047">
        <v>0.95</v>
      </c>
      <c r="N17" s="2026"/>
      <c r="O17" s="2051"/>
      <c r="P17" s="2052"/>
      <c r="Q17" s="2053"/>
      <c r="R17" s="2054"/>
      <c r="S17" s="2056"/>
      <c r="T17" s="2026"/>
      <c r="U17" s="2026"/>
      <c r="V17" s="2026"/>
      <c r="W17" s="1886"/>
      <c r="X17" s="1886"/>
    </row>
    <row r="18" spans="1:24" x14ac:dyDescent="0.2">
      <c r="A18" s="1886"/>
      <c r="B18" s="1841"/>
      <c r="C18" s="2026"/>
      <c r="D18" s="2026"/>
      <c r="E18" s="2057"/>
      <c r="F18" s="2057"/>
      <c r="G18" s="2057"/>
      <c r="H18" s="2057"/>
      <c r="I18" s="2057"/>
      <c r="J18" s="2057"/>
      <c r="K18" s="2057"/>
      <c r="L18" s="2057"/>
      <c r="M18" s="2057"/>
      <c r="N18" s="2026"/>
      <c r="O18" s="2051"/>
      <c r="P18" s="2052"/>
      <c r="Q18" s="2053"/>
      <c r="R18" s="2054"/>
      <c r="S18" s="2058"/>
      <c r="T18" s="2026"/>
      <c r="U18" s="2026"/>
      <c r="V18" s="2026"/>
      <c r="W18" s="1886"/>
      <c r="X18" s="1886"/>
    </row>
    <row r="19" spans="1:24" x14ac:dyDescent="0.2">
      <c r="A19" s="1886"/>
      <c r="B19" s="1886"/>
      <c r="C19" s="1886"/>
      <c r="D19" s="1886"/>
      <c r="E19" s="1886"/>
      <c r="F19" s="1886"/>
      <c r="G19" s="1886"/>
      <c r="H19" s="1886"/>
      <c r="I19" s="1886"/>
      <c r="J19" s="1886"/>
      <c r="K19" s="1886"/>
      <c r="L19" s="1886"/>
      <c r="M19" s="1886"/>
      <c r="N19" s="2026"/>
      <c r="O19" s="2051"/>
      <c r="P19" s="2052"/>
      <c r="Q19" s="2053"/>
      <c r="R19" s="2054"/>
      <c r="S19" s="2058"/>
      <c r="T19" s="2026"/>
      <c r="U19" s="2026"/>
      <c r="V19" s="2026"/>
      <c r="W19" s="1886"/>
      <c r="X19" s="1886"/>
    </row>
    <row r="20" spans="1:24" ht="26.1" customHeight="1" x14ac:dyDescent="0.2">
      <c r="A20" s="1908" t="s">
        <v>1163</v>
      </c>
      <c r="B20" s="2059"/>
      <c r="C20" s="1886"/>
      <c r="D20" s="1886"/>
      <c r="E20" s="1886"/>
      <c r="F20" s="1886"/>
      <c r="G20" s="1886"/>
      <c r="H20" s="1886"/>
      <c r="I20" s="1886"/>
      <c r="J20" s="1886"/>
      <c r="K20" s="1886"/>
      <c r="L20" s="1886"/>
      <c r="M20" s="1886"/>
      <c r="N20" s="2026"/>
      <c r="O20" s="2051"/>
      <c r="P20" s="2052"/>
      <c r="Q20" s="2053"/>
      <c r="R20" s="2054"/>
      <c r="S20" s="2058"/>
      <c r="T20" s="2026"/>
      <c r="U20" s="2026"/>
      <c r="V20" s="2026"/>
      <c r="W20" s="1886"/>
      <c r="X20" s="1886"/>
    </row>
    <row r="21" spans="1:24" s="2068" customFormat="1" ht="18" customHeight="1" x14ac:dyDescent="0.25">
      <c r="A21" s="2060" t="s">
        <v>1164</v>
      </c>
      <c r="B21" s="2061"/>
      <c r="C21" s="2061"/>
      <c r="D21" s="2061"/>
      <c r="E21" s="2061"/>
      <c r="F21" s="2061"/>
      <c r="G21" s="2061"/>
      <c r="H21" s="2061"/>
      <c r="I21" s="2061"/>
      <c r="J21" s="2061"/>
      <c r="K21" s="2061"/>
      <c r="L21" s="2061"/>
      <c r="M21" s="2061"/>
      <c r="N21" s="2062"/>
      <c r="O21" s="2063"/>
      <c r="P21" s="2064"/>
      <c r="Q21" s="2065"/>
      <c r="R21" s="2066"/>
      <c r="S21" s="2067"/>
      <c r="T21" s="2062"/>
      <c r="U21" s="2062"/>
      <c r="V21" s="2062"/>
      <c r="W21" s="1953"/>
      <c r="X21" s="1953"/>
    </row>
    <row r="22" spans="1:24" s="2068" customFormat="1" ht="18" customHeight="1" x14ac:dyDescent="0.25">
      <c r="A22" s="2061" t="s">
        <v>1165</v>
      </c>
      <c r="B22" s="2061"/>
      <c r="C22" s="2061"/>
      <c r="D22" s="2061"/>
      <c r="E22" s="2061"/>
      <c r="F22" s="2061"/>
      <c r="G22" s="2061"/>
      <c r="H22" s="2061"/>
      <c r="I22" s="2061"/>
      <c r="J22" s="2061"/>
      <c r="K22" s="2061"/>
      <c r="L22" s="2061"/>
      <c r="M22" s="2061"/>
      <c r="N22" s="2062"/>
      <c r="O22" s="2063"/>
      <c r="P22" s="2064"/>
      <c r="Q22" s="2065"/>
      <c r="R22" s="2066"/>
      <c r="S22" s="2069"/>
      <c r="T22" s="2062"/>
      <c r="U22" s="2062"/>
      <c r="V22" s="2062"/>
      <c r="W22" s="1953"/>
      <c r="X22" s="1953"/>
    </row>
    <row r="23" spans="1:24" s="2068" customFormat="1" ht="18" customHeight="1" x14ac:dyDescent="0.25">
      <c r="A23" s="2070" t="s">
        <v>1159</v>
      </c>
      <c r="B23" s="1985" t="s">
        <v>1166</v>
      </c>
      <c r="C23" s="2071" t="s">
        <v>1161</v>
      </c>
      <c r="D23" s="2072"/>
      <c r="E23" s="2073" t="s">
        <v>1162</v>
      </c>
      <c r="F23" s="2074"/>
      <c r="G23" s="2075" t="s">
        <v>1162</v>
      </c>
      <c r="H23" s="2075" t="s">
        <v>1162</v>
      </c>
      <c r="I23" s="2075" t="s">
        <v>1162</v>
      </c>
      <c r="J23" s="2075" t="s">
        <v>1162</v>
      </c>
      <c r="K23" s="2075" t="s">
        <v>1162</v>
      </c>
      <c r="L23" s="2075" t="s">
        <v>1162</v>
      </c>
      <c r="M23" s="2075" t="s">
        <v>1162</v>
      </c>
      <c r="N23" s="2076"/>
      <c r="S23" s="1953"/>
      <c r="T23" s="1953"/>
      <c r="U23" s="1953"/>
      <c r="V23" s="1953"/>
      <c r="W23" s="1953"/>
      <c r="X23" s="1953"/>
    </row>
    <row r="24" spans="1:24" s="2068" customFormat="1" ht="18" customHeight="1" x14ac:dyDescent="0.25">
      <c r="A24" s="1911"/>
      <c r="B24" s="2077" t="s">
        <v>1108</v>
      </c>
      <c r="C24" s="1904"/>
      <c r="D24" s="1905"/>
      <c r="E24" s="2078">
        <v>0</v>
      </c>
      <c r="F24" s="2079"/>
      <c r="G24" s="1966">
        <v>0</v>
      </c>
      <c r="H24" s="1966">
        <v>0</v>
      </c>
      <c r="I24" s="1966">
        <v>0</v>
      </c>
      <c r="J24" s="1966">
        <v>0</v>
      </c>
      <c r="K24" s="1966">
        <v>0</v>
      </c>
      <c r="L24" s="1966">
        <v>0</v>
      </c>
      <c r="M24" s="1966">
        <v>0</v>
      </c>
      <c r="N24" s="1953"/>
      <c r="O24" s="1953"/>
      <c r="P24" s="1953"/>
      <c r="Q24" s="1953"/>
      <c r="R24" s="1953"/>
      <c r="S24" s="1953"/>
      <c r="T24" s="1953"/>
      <c r="U24" s="1953"/>
      <c r="V24" s="1953"/>
      <c r="W24" s="1953"/>
      <c r="X24" s="1953"/>
    </row>
    <row r="25" spans="1:24" s="2068" customFormat="1" ht="18" customHeight="1" x14ac:dyDescent="0.25">
      <c r="A25" s="1911"/>
      <c r="B25" s="2077" t="s">
        <v>1109</v>
      </c>
      <c r="C25" s="1904"/>
      <c r="D25" s="1905"/>
      <c r="E25" s="2078">
        <v>0</v>
      </c>
      <c r="F25" s="2079"/>
      <c r="G25" s="1966">
        <v>0</v>
      </c>
      <c r="H25" s="1966">
        <v>0</v>
      </c>
      <c r="I25" s="1966">
        <v>0</v>
      </c>
      <c r="J25" s="1966">
        <v>0</v>
      </c>
      <c r="K25" s="1966">
        <v>0</v>
      </c>
      <c r="L25" s="1966">
        <v>0</v>
      </c>
      <c r="M25" s="1966">
        <v>0</v>
      </c>
      <c r="N25" s="1953"/>
      <c r="O25" s="1953"/>
      <c r="Q25" s="1953"/>
      <c r="R25" s="1953"/>
      <c r="S25" s="1953"/>
      <c r="T25" s="1953"/>
      <c r="U25" s="1953"/>
      <c r="V25" s="1953"/>
      <c r="W25" s="1953"/>
      <c r="X25" s="1953"/>
    </row>
    <row r="26" spans="1:24" s="2068" customFormat="1" ht="26.1" customHeight="1" x14ac:dyDescent="0.25">
      <c r="A26" s="1911"/>
      <c r="B26" s="2080"/>
      <c r="C26" s="1911"/>
      <c r="D26" s="1911"/>
      <c r="E26" s="1911"/>
      <c r="F26" s="1911"/>
      <c r="G26" s="1911"/>
      <c r="H26" s="1911"/>
      <c r="I26" s="1911"/>
      <c r="J26" s="1911"/>
      <c r="K26" s="1911"/>
      <c r="L26" s="1911"/>
      <c r="M26" s="1911"/>
      <c r="N26" s="1953"/>
      <c r="O26" s="1953"/>
      <c r="P26" s="2947" t="s">
        <v>1167</v>
      </c>
      <c r="Q26" s="2948"/>
      <c r="R26" s="2948"/>
      <c r="S26" s="2948"/>
      <c r="T26" s="2948"/>
      <c r="U26" s="2948"/>
      <c r="V26" s="2949"/>
      <c r="W26" s="1953"/>
      <c r="X26" s="1953"/>
    </row>
    <row r="27" spans="1:24" s="2068" customFormat="1" ht="18" customHeight="1" x14ac:dyDescent="0.25">
      <c r="A27" s="1900" t="s">
        <v>1168</v>
      </c>
      <c r="B27" s="1911"/>
      <c r="C27" s="1911"/>
      <c r="D27" s="1911"/>
      <c r="E27" s="1911"/>
      <c r="F27" s="1911"/>
      <c r="G27" s="1911"/>
      <c r="H27" s="1911"/>
      <c r="I27" s="1911"/>
      <c r="J27" s="1911"/>
      <c r="K27" s="1911"/>
      <c r="L27" s="1911"/>
      <c r="M27" s="1911"/>
      <c r="N27" s="1953"/>
      <c r="O27" s="1953"/>
      <c r="P27" s="2081" t="s">
        <v>740</v>
      </c>
      <c r="Q27" s="2082" t="s">
        <v>1169</v>
      </c>
      <c r="R27" s="2082" t="s">
        <v>1169</v>
      </c>
      <c r="S27" s="2082" t="s">
        <v>1170</v>
      </c>
      <c r="T27" s="2083" t="s">
        <v>1171</v>
      </c>
      <c r="U27" s="2083" t="s">
        <v>1172</v>
      </c>
      <c r="V27" s="2084" t="s">
        <v>217</v>
      </c>
      <c r="W27" s="1953"/>
      <c r="X27" s="1953"/>
    </row>
    <row r="28" spans="1:24" s="2068" customFormat="1" ht="18" customHeight="1" x14ac:dyDescent="0.25">
      <c r="A28" s="1911"/>
      <c r="B28" s="1911"/>
      <c r="C28" s="1911"/>
      <c r="D28" s="1911"/>
      <c r="E28" s="1911"/>
      <c r="F28" s="1911"/>
      <c r="G28" s="1911"/>
      <c r="H28" s="1911"/>
      <c r="I28" s="1911"/>
      <c r="J28" s="1911"/>
      <c r="K28" s="1911"/>
      <c r="L28" s="1911"/>
      <c r="M28" s="1911"/>
      <c r="N28" s="1953"/>
      <c r="O28" s="1953"/>
      <c r="P28" s="2085" t="s">
        <v>1173</v>
      </c>
      <c r="Q28" s="2086" t="s">
        <v>1174</v>
      </c>
      <c r="R28" s="2086" t="s">
        <v>1175</v>
      </c>
      <c r="S28" s="2086" t="s">
        <v>1176</v>
      </c>
      <c r="T28" s="2086" t="s">
        <v>1177</v>
      </c>
      <c r="U28" s="2086" t="s">
        <v>1162</v>
      </c>
      <c r="V28" s="2084"/>
      <c r="W28" s="1953"/>
      <c r="X28" s="1953"/>
    </row>
    <row r="29" spans="1:24" s="2068" customFormat="1" ht="18" customHeight="1" x14ac:dyDescent="0.25">
      <c r="A29" s="2070" t="s">
        <v>1159</v>
      </c>
      <c r="B29" s="2087" t="s">
        <v>1178</v>
      </c>
      <c r="C29" s="2088"/>
      <c r="D29" s="2088"/>
      <c r="E29" s="2089" t="s">
        <v>1162</v>
      </c>
      <c r="F29" s="2074"/>
      <c r="G29" s="2075" t="s">
        <v>1162</v>
      </c>
      <c r="H29" s="2075" t="s">
        <v>1162</v>
      </c>
      <c r="I29" s="2075" t="s">
        <v>1162</v>
      </c>
      <c r="J29" s="2075" t="s">
        <v>1162</v>
      </c>
      <c r="K29" s="2075" t="s">
        <v>1162</v>
      </c>
      <c r="L29" s="2075" t="s">
        <v>1162</v>
      </c>
      <c r="M29" s="2075" t="s">
        <v>1162</v>
      </c>
      <c r="N29" s="2076"/>
      <c r="O29" s="1953"/>
      <c r="P29" s="2090" t="s">
        <v>1179</v>
      </c>
      <c r="Q29" s="2091">
        <v>0</v>
      </c>
      <c r="R29" s="2092">
        <v>12000</v>
      </c>
      <c r="S29" s="2093">
        <f>Q29+R29</f>
        <v>12000</v>
      </c>
      <c r="T29" s="2094">
        <f>'CO2 - Início'!$J$24*'CO2 - Início'!E35</f>
        <v>70664</v>
      </c>
      <c r="U29" s="2095">
        <f>S29/('CO2 - Início'!$J$24*'CO2 - Início'!E35)</f>
        <v>0.16981772897090455</v>
      </c>
      <c r="V29" s="2096" t="s">
        <v>1180</v>
      </c>
      <c r="W29" s="1953"/>
      <c r="X29" s="1953"/>
    </row>
    <row r="30" spans="1:24" s="2068" customFormat="1" ht="18" customHeight="1" x14ac:dyDescent="0.25">
      <c r="A30" s="1911"/>
      <c r="B30" s="1903" t="s">
        <v>131</v>
      </c>
      <c r="C30" s="1904"/>
      <c r="D30" s="1905"/>
      <c r="E30" s="2078">
        <v>0</v>
      </c>
      <c r="F30" s="2097">
        <v>0</v>
      </c>
      <c r="G30" s="2078">
        <v>0</v>
      </c>
      <c r="H30" s="2078">
        <v>0</v>
      </c>
      <c r="I30" s="2078">
        <v>0</v>
      </c>
      <c r="J30" s="2078">
        <v>1</v>
      </c>
      <c r="K30" s="2078">
        <v>0</v>
      </c>
      <c r="L30" s="2078">
        <v>0</v>
      </c>
      <c r="M30" s="2078">
        <v>0</v>
      </c>
      <c r="N30" s="1953"/>
      <c r="O30" s="2098"/>
      <c r="P30" s="2090" t="s">
        <v>1181</v>
      </c>
      <c r="Q30" s="2091">
        <v>0</v>
      </c>
      <c r="R30" s="2099">
        <v>600</v>
      </c>
      <c r="S30" s="2093">
        <f t="shared" ref="S30:S35" si="0">Q30+R30</f>
        <v>600</v>
      </c>
      <c r="T30" s="2094">
        <f>'CO2 - Início'!$J$24*'CO2 - Início'!E36</f>
        <v>4380</v>
      </c>
      <c r="U30" s="2095">
        <f>S30/('CO2 - Início'!$J$24*'CO2 - Início'!E36)</f>
        <v>0.13698630136986301</v>
      </c>
      <c r="V30" s="2100">
        <f>(S29+S30)/(T29+T30)</f>
        <v>0.1679014977879644</v>
      </c>
      <c r="W30" s="1953"/>
      <c r="X30" s="1953"/>
    </row>
    <row r="31" spans="1:24" s="2068" customFormat="1" ht="18" customHeight="1" x14ac:dyDescent="0.25">
      <c r="A31" s="1911"/>
      <c r="B31" s="1903" t="s">
        <v>1182</v>
      </c>
      <c r="C31" s="1904"/>
      <c r="D31" s="1905"/>
      <c r="E31" s="2078">
        <v>0</v>
      </c>
      <c r="F31" s="2079"/>
      <c r="G31" s="2078">
        <v>1</v>
      </c>
      <c r="H31" s="2078">
        <v>1</v>
      </c>
      <c r="I31" s="2078">
        <v>1</v>
      </c>
      <c r="J31" s="2078">
        <v>0</v>
      </c>
      <c r="K31" s="2078">
        <v>0</v>
      </c>
      <c r="L31" s="2078">
        <v>0</v>
      </c>
      <c r="M31" s="2078">
        <v>0</v>
      </c>
      <c r="N31" s="1953"/>
      <c r="O31" s="1953"/>
      <c r="P31" s="2090" t="s">
        <v>1110</v>
      </c>
      <c r="Q31" s="2091">
        <v>500</v>
      </c>
      <c r="R31" s="2099">
        <v>3000</v>
      </c>
      <c r="S31" s="2093">
        <f t="shared" si="0"/>
        <v>3500</v>
      </c>
      <c r="T31" s="2094">
        <f>'CO2 - Início'!$J$24*'CO2 - Início'!E37</f>
        <v>19126</v>
      </c>
      <c r="U31" s="2095">
        <f>S31/('CO2 - Início'!$J$24*'CO2 - Início'!E37)</f>
        <v>0.18299696747882463</v>
      </c>
      <c r="V31" s="2101"/>
      <c r="W31" s="1953"/>
      <c r="X31" s="1953"/>
    </row>
    <row r="32" spans="1:24" s="2068" customFormat="1" ht="18" customHeight="1" x14ac:dyDescent="0.25">
      <c r="A32" s="1911"/>
      <c r="B32" s="2102" t="s">
        <v>42</v>
      </c>
      <c r="C32" s="1986"/>
      <c r="D32" s="1986"/>
      <c r="E32" s="2103">
        <f>+E30+E31</f>
        <v>0</v>
      </c>
      <c r="F32" s="2079"/>
      <c r="G32" s="2103">
        <f t="shared" ref="G32:M32" si="1">+G30+G31</f>
        <v>1</v>
      </c>
      <c r="H32" s="2103">
        <f t="shared" si="1"/>
        <v>1</v>
      </c>
      <c r="I32" s="2103">
        <f t="shared" si="1"/>
        <v>1</v>
      </c>
      <c r="J32" s="2103">
        <f t="shared" si="1"/>
        <v>1</v>
      </c>
      <c r="K32" s="2103">
        <f t="shared" si="1"/>
        <v>0</v>
      </c>
      <c r="L32" s="2103">
        <f t="shared" si="1"/>
        <v>0</v>
      </c>
      <c r="M32" s="2103">
        <f t="shared" si="1"/>
        <v>0</v>
      </c>
      <c r="N32" s="2098"/>
      <c r="O32" s="2104"/>
      <c r="P32" s="2090" t="s">
        <v>1111</v>
      </c>
      <c r="Q32" s="2091">
        <v>300</v>
      </c>
      <c r="R32" s="2092">
        <v>1200</v>
      </c>
      <c r="S32" s="2093">
        <f t="shared" si="0"/>
        <v>1500</v>
      </c>
      <c r="T32" s="2094">
        <f>'CO2 - Início'!$J$24*'CO2 - Início'!E38</f>
        <v>19710</v>
      </c>
      <c r="U32" s="2095">
        <f>S32/('CO2 - Início'!$J$24*'CO2 - Início'!E38)</f>
        <v>7.6103500761035003E-2</v>
      </c>
      <c r="V32" s="2105"/>
      <c r="W32" s="1953"/>
      <c r="X32" s="1953"/>
    </row>
    <row r="33" spans="1:24" s="2068" customFormat="1" ht="18" customHeight="1" x14ac:dyDescent="0.25">
      <c r="A33" s="1911"/>
      <c r="B33" s="2106"/>
      <c r="C33" s="1911"/>
      <c r="D33" s="1911"/>
      <c r="E33" s="2107" t="s">
        <v>1162</v>
      </c>
      <c r="F33" s="2108"/>
      <c r="G33" s="2107" t="s">
        <v>1162</v>
      </c>
      <c r="H33" s="2107" t="s">
        <v>1162</v>
      </c>
      <c r="I33" s="2107" t="s">
        <v>1162</v>
      </c>
      <c r="J33" s="2107" t="s">
        <v>1162</v>
      </c>
      <c r="K33" s="2107" t="s">
        <v>1162</v>
      </c>
      <c r="L33" s="2107" t="s">
        <v>1162</v>
      </c>
      <c r="M33" s="2107" t="s">
        <v>1162</v>
      </c>
      <c r="N33" s="2098"/>
      <c r="O33" s="2109"/>
      <c r="P33" s="2090" t="s">
        <v>50</v>
      </c>
      <c r="Q33" s="2091">
        <v>0</v>
      </c>
      <c r="R33" s="2092">
        <v>70</v>
      </c>
      <c r="S33" s="2093">
        <f t="shared" si="0"/>
        <v>70</v>
      </c>
      <c r="T33" s="2094">
        <f>'CO2 - Início'!$J$24*'CO2 - Início'!E39</f>
        <v>3504</v>
      </c>
      <c r="U33" s="2095">
        <f>S33/('CO2 - Início'!$J$24*'CO2 - Início'!E39)</f>
        <v>1.9977168949771688E-2</v>
      </c>
      <c r="V33" s="2105"/>
      <c r="W33" s="1953"/>
      <c r="X33" s="1953"/>
    </row>
    <row r="34" spans="1:24" s="2068" customFormat="1" ht="18" customHeight="1" x14ac:dyDescent="0.25">
      <c r="A34" s="1911"/>
      <c r="B34" s="2950" t="s">
        <v>1183</v>
      </c>
      <c r="C34" s="2951"/>
      <c r="D34" s="2952"/>
      <c r="E34" s="2078">
        <v>0</v>
      </c>
      <c r="F34" s="2097"/>
      <c r="G34" s="2078">
        <v>1</v>
      </c>
      <c r="H34" s="2078">
        <v>0</v>
      </c>
      <c r="I34" s="2078">
        <v>0</v>
      </c>
      <c r="J34" s="2078">
        <v>0</v>
      </c>
      <c r="K34" s="2078">
        <v>0</v>
      </c>
      <c r="L34" s="2078">
        <v>0</v>
      </c>
      <c r="M34" s="2078">
        <v>0</v>
      </c>
      <c r="N34" s="2098"/>
      <c r="O34" s="1953"/>
      <c r="P34" s="2090" t="s">
        <v>1112</v>
      </c>
      <c r="Q34" s="2091">
        <v>50</v>
      </c>
      <c r="R34" s="2092">
        <v>700</v>
      </c>
      <c r="S34" s="2093">
        <f t="shared" si="0"/>
        <v>750</v>
      </c>
      <c r="T34" s="2094">
        <f>'CO2 - Início'!$J$24*'CO2 - Início'!E40</f>
        <v>3358</v>
      </c>
      <c r="U34" s="2095">
        <f>S34/('CO2 - Início'!$J$24*'CO2 - Início'!E40)</f>
        <v>0.22334723049434188</v>
      </c>
      <c r="V34" s="2110" t="s">
        <v>865</v>
      </c>
      <c r="W34" s="1953"/>
      <c r="X34" s="1953"/>
    </row>
    <row r="35" spans="1:24" s="2068" customFormat="1" ht="18" customHeight="1" x14ac:dyDescent="0.25">
      <c r="A35" s="1911"/>
      <c r="B35" s="2950" t="s">
        <v>1184</v>
      </c>
      <c r="C35" s="2951"/>
      <c r="D35" s="2952"/>
      <c r="E35" s="2078">
        <v>0</v>
      </c>
      <c r="F35" s="2079"/>
      <c r="G35" s="2078">
        <v>0</v>
      </c>
      <c r="H35" s="2078">
        <v>1</v>
      </c>
      <c r="I35" s="2078">
        <v>1</v>
      </c>
      <c r="J35" s="2078">
        <v>0</v>
      </c>
      <c r="K35" s="2078">
        <v>0</v>
      </c>
      <c r="L35" s="2078">
        <v>0</v>
      </c>
      <c r="M35" s="2078">
        <v>0</v>
      </c>
      <c r="N35" s="2098"/>
      <c r="O35" s="1953"/>
      <c r="P35" s="2111" t="s">
        <v>1113</v>
      </c>
      <c r="Q35" s="2112">
        <v>50</v>
      </c>
      <c r="R35" s="2113">
        <v>200</v>
      </c>
      <c r="S35" s="2114">
        <f t="shared" si="0"/>
        <v>250</v>
      </c>
      <c r="T35" s="2115">
        <f>'CO2 - Início'!$J$24*'CO2 - Início'!E41</f>
        <v>876</v>
      </c>
      <c r="U35" s="2116">
        <f>S35/('CO2 - Início'!$J$24*'CO2 - Início'!E41)</f>
        <v>0.28538812785388129</v>
      </c>
      <c r="V35" s="2100">
        <f>SUM(S31:S35)/SUM(T31:T35)</f>
        <v>0.13033022716537124</v>
      </c>
      <c r="W35" s="1953"/>
      <c r="X35" s="1953"/>
    </row>
    <row r="36" spans="1:24" s="2068" customFormat="1" ht="18" customHeight="1" x14ac:dyDescent="0.25">
      <c r="A36" s="1953"/>
      <c r="B36" s="1953"/>
      <c r="C36" s="1953"/>
      <c r="D36" s="1953"/>
      <c r="E36" s="1953"/>
      <c r="F36" s="1953"/>
      <c r="G36" s="1953"/>
      <c r="H36" s="1953"/>
      <c r="I36" s="1953"/>
      <c r="J36" s="1953"/>
      <c r="K36" s="1953"/>
      <c r="L36" s="1953"/>
      <c r="M36" s="1953"/>
      <c r="N36" s="1953"/>
      <c r="O36" s="1953"/>
      <c r="P36" s="1953"/>
      <c r="Q36" s="1953"/>
      <c r="R36" s="1953"/>
      <c r="S36" s="1953"/>
      <c r="T36" s="1953"/>
      <c r="U36" s="1953"/>
      <c r="V36" s="1953"/>
      <c r="W36" s="1953"/>
      <c r="X36" s="1953"/>
    </row>
    <row r="37" spans="1:24" s="2068" customFormat="1" ht="18" customHeight="1" x14ac:dyDescent="0.25">
      <c r="A37" s="1953"/>
      <c r="B37" s="2117" t="s">
        <v>1097</v>
      </c>
      <c r="C37" s="2118"/>
      <c r="D37" s="2118"/>
      <c r="E37" s="2118"/>
      <c r="F37" s="2118"/>
      <c r="G37" s="2118"/>
      <c r="H37" s="2118"/>
      <c r="I37" s="2118"/>
      <c r="J37" s="2118"/>
      <c r="K37" s="2118"/>
      <c r="L37" s="2118"/>
      <c r="M37" s="2118"/>
      <c r="N37" s="2119"/>
      <c r="O37" s="1953"/>
      <c r="P37" s="1953"/>
      <c r="Q37" s="1953"/>
      <c r="R37" s="1953"/>
      <c r="S37" s="1953"/>
      <c r="T37" s="1953"/>
      <c r="U37" s="1953"/>
      <c r="V37" s="1953"/>
      <c r="W37" s="1953"/>
      <c r="X37" s="1953"/>
    </row>
    <row r="38" spans="1:24" s="2068" customFormat="1" ht="18" customHeight="1" x14ac:dyDescent="0.25">
      <c r="A38" s="1953"/>
      <c r="B38" s="1931" t="s">
        <v>1185</v>
      </c>
      <c r="C38" s="1932"/>
      <c r="D38" s="1932"/>
      <c r="E38" s="1932"/>
      <c r="F38" s="1932"/>
      <c r="G38" s="1932"/>
      <c r="H38" s="1932"/>
      <c r="I38" s="1932"/>
      <c r="J38" s="1932"/>
      <c r="K38" s="1932"/>
      <c r="L38" s="1932"/>
      <c r="M38" s="1932"/>
      <c r="N38" s="2120"/>
      <c r="O38" s="1953"/>
      <c r="P38" s="1953"/>
      <c r="Q38" s="1953"/>
      <c r="R38" s="1953"/>
      <c r="S38" s="1953"/>
      <c r="T38" s="1953"/>
      <c r="U38" s="1953"/>
      <c r="V38" s="1953"/>
      <c r="W38" s="1953"/>
      <c r="X38" s="1953"/>
    </row>
    <row r="39" spans="1:24" s="2068" customFormat="1" ht="18" customHeight="1" x14ac:dyDescent="0.25">
      <c r="A39" s="1953"/>
      <c r="B39" s="1931" t="s">
        <v>1186</v>
      </c>
      <c r="C39" s="1932"/>
      <c r="D39" s="1932"/>
      <c r="E39" s="1932"/>
      <c r="F39" s="1932"/>
      <c r="G39" s="1932"/>
      <c r="H39" s="1932"/>
      <c r="I39" s="1932"/>
      <c r="J39" s="1932"/>
      <c r="K39" s="1932"/>
      <c r="L39" s="1932"/>
      <c r="M39" s="1932"/>
      <c r="N39" s="2120"/>
      <c r="O39" s="1953"/>
      <c r="P39" s="1953"/>
      <c r="Q39" s="1953"/>
      <c r="R39" s="1953"/>
      <c r="S39" s="1953"/>
      <c r="T39" s="1953"/>
      <c r="U39" s="1953"/>
      <c r="V39" s="1953"/>
      <c r="W39" s="1953"/>
      <c r="X39" s="1953"/>
    </row>
    <row r="40" spans="1:24" s="2068" customFormat="1" ht="18" customHeight="1" x14ac:dyDescent="0.25">
      <c r="A40" s="1953"/>
      <c r="B40" s="1935"/>
      <c r="C40" s="1932"/>
      <c r="D40" s="1932"/>
      <c r="E40" s="1932"/>
      <c r="F40" s="1932"/>
      <c r="G40" s="1932"/>
      <c r="H40" s="1932"/>
      <c r="I40" s="1932"/>
      <c r="J40" s="1932"/>
      <c r="K40" s="1932"/>
      <c r="L40" s="1932"/>
      <c r="M40" s="1932"/>
      <c r="N40" s="2120"/>
      <c r="O40" s="1953"/>
      <c r="P40" s="1953"/>
      <c r="Q40" s="1953"/>
      <c r="R40" s="1953"/>
      <c r="S40" s="1953"/>
      <c r="T40" s="1953"/>
      <c r="U40" s="1953"/>
      <c r="V40" s="1953"/>
      <c r="W40" s="1953"/>
      <c r="X40" s="1953"/>
    </row>
    <row r="41" spans="1:24" s="2068" customFormat="1" ht="35.1" customHeight="1" x14ac:dyDescent="0.25">
      <c r="A41" s="1953"/>
      <c r="B41" s="2121" t="s">
        <v>1187</v>
      </c>
      <c r="C41" s="2122"/>
      <c r="D41" s="2122"/>
      <c r="E41" s="2123" t="str">
        <f>+E8</f>
        <v>Cenário-Base</v>
      </c>
      <c r="F41" s="1932"/>
      <c r="G41" s="2123" t="str">
        <f t="shared" ref="G41:M41" si="2">+G8</f>
        <v>Biodigestão RT1A + CDR TM</v>
      </c>
      <c r="H41" s="2123" t="str">
        <f t="shared" si="2"/>
        <v>Biodigestão RT1B + CDR TM</v>
      </c>
      <c r="I41" s="2123" t="str">
        <f t="shared" si="2"/>
        <v>Biodigestão RT1C + CDR TM</v>
      </c>
      <c r="J41" s="2123" t="str">
        <f t="shared" si="2"/>
        <v>Compostagem + CDR TM</v>
      </c>
      <c r="K41" s="2123" t="str">
        <f t="shared" si="2"/>
        <v xml:space="preserve">Biosecagem + CDR TMB </v>
      </c>
      <c r="L41" s="2123" t="str">
        <f t="shared" si="2"/>
        <v>Incineração Mass Burning</v>
      </c>
      <c r="M41" s="2123" t="str">
        <f t="shared" si="2"/>
        <v>Incineração Mass Burn. Descentralizada</v>
      </c>
      <c r="N41" s="2120"/>
      <c r="O41" s="1953"/>
      <c r="P41" s="1953"/>
      <c r="Q41" s="1953"/>
      <c r="R41" s="1953"/>
      <c r="S41" s="1953"/>
      <c r="T41" s="1953"/>
      <c r="U41" s="1953"/>
      <c r="V41" s="1953"/>
      <c r="W41" s="1953"/>
      <c r="X41" s="1953"/>
    </row>
    <row r="42" spans="1:24" s="2068" customFormat="1" ht="18" customHeight="1" x14ac:dyDescent="0.25">
      <c r="A42" s="1953"/>
      <c r="B42" s="1931" t="s">
        <v>1132</v>
      </c>
      <c r="C42" s="2124" t="s">
        <v>1133</v>
      </c>
      <c r="D42" s="1932"/>
      <c r="E42" s="2125">
        <f>IF(('CO2 - Início'!$E$55+'CO2 - Início'!$E$56)=1,'CO2 - Cálculos'!D124+'CO2 - Cálculos'!D125,"wrong")</f>
        <v>8.291091360066142</v>
      </c>
      <c r="F42" s="2126"/>
      <c r="G42" s="2125">
        <f>IF(('CO2 - Início'!$E$55+'CO2 - Início'!$E$56)=1,'CO2 - Cálculos'!E124+'CO2 - Cálculos'!E125,"wrong")</f>
        <v>7.9645539506654801</v>
      </c>
      <c r="H42" s="2125">
        <f>IF(('CO2 - Início'!$E$55+'CO2 - Início'!$E$56)=1,'CO2 - Cálculos'!G124+'CO2 - Cálculos'!G125,"wrong")</f>
        <v>7.9645539506654801</v>
      </c>
      <c r="I42" s="2125">
        <f>IF(('CO2 - Início'!$E$55+'CO2 - Início'!$E$56)=1,'CO2 - Cálculos'!H124+'CO2 - Cálculos'!H125,"wrong")</f>
        <v>7.9645539506654801</v>
      </c>
      <c r="J42" s="2125">
        <f>IF(('CO2 - Início'!$E$55+'CO2 - Início'!$E$56)=1,'CO2 - Cálculos'!H124+'CO2 - Cálculos'!H125,"wrong")</f>
        <v>7.9645539506654801</v>
      </c>
      <c r="K42" s="2125">
        <f>IF(('CO2 - Início'!$E$55+'CO2 - Início'!$E$56)=1,'CO2 - Cálculos'!I124+'CO2 - Cálculos'!I125,"wrong")</f>
        <v>7.9645539506654801</v>
      </c>
      <c r="L42" s="2125">
        <f>IF(('CO2 - Início'!$E$55+'CO2 - Início'!$E$56)=1,'CO2 - Cálculos'!I124+'CO2 - Cálculos'!I125,"wrong")</f>
        <v>7.9645539506654801</v>
      </c>
      <c r="M42" s="2125">
        <f>IF(('CO2 - Início'!$E$55+'CO2 - Início'!$E$56)=1,'CO2 - Cálculos'!J124+'CO2 - Cálculos'!J125,"wrong")</f>
        <v>7.9645539506654801</v>
      </c>
      <c r="N42" s="2120"/>
      <c r="O42" s="1953"/>
      <c r="P42" s="1953"/>
      <c r="Q42" s="1953"/>
      <c r="R42" s="1953"/>
      <c r="S42" s="1953"/>
      <c r="T42" s="1953"/>
      <c r="U42" s="1953"/>
      <c r="V42" s="1953"/>
      <c r="W42" s="1953"/>
      <c r="X42" s="1953"/>
    </row>
    <row r="43" spans="1:24" s="2068" customFormat="1" ht="18" customHeight="1" x14ac:dyDescent="0.25">
      <c r="A43" s="1953"/>
      <c r="B43" s="1931" t="s">
        <v>1134</v>
      </c>
      <c r="C43" s="2124" t="s">
        <v>1188</v>
      </c>
      <c r="D43" s="1932"/>
      <c r="E43" s="2127">
        <f>+'CO2 - Cálculos'!D119</f>
        <v>0.26732337742868956</v>
      </c>
      <c r="F43" s="2128"/>
      <c r="G43" s="2127">
        <f>+'CO2 - Cálculos'!E119</f>
        <v>0.26011406397538944</v>
      </c>
      <c r="H43" s="2127">
        <f>+'CO2 - Cálculos'!G119</f>
        <v>0.26011406397538944</v>
      </c>
      <c r="I43" s="2127">
        <f>+'CO2 - Cálculos'!H119</f>
        <v>0.26011406397538944</v>
      </c>
      <c r="J43" s="2127">
        <f>+'CO2 - Cálculos'!H119</f>
        <v>0.26011406397538944</v>
      </c>
      <c r="K43" s="2127">
        <f>+'CO2 - Cálculos'!I119</f>
        <v>0.26011406397538944</v>
      </c>
      <c r="L43" s="2127">
        <f>+'CO2 - Cálculos'!I119</f>
        <v>0.26011406397538944</v>
      </c>
      <c r="M43" s="2127">
        <f>+'CO2 - Cálculos'!J119</f>
        <v>0.26011406397538944</v>
      </c>
      <c r="N43" s="2120"/>
      <c r="O43" s="1953"/>
      <c r="P43" s="1953"/>
      <c r="Q43" s="1953"/>
      <c r="R43" s="1953"/>
      <c r="S43" s="1953"/>
      <c r="T43" s="1953"/>
      <c r="U43" s="1953"/>
      <c r="V43" s="1953"/>
      <c r="W43" s="1953"/>
      <c r="X43" s="1953"/>
    </row>
    <row r="44" spans="1:24" s="2068" customFormat="1" ht="18" customHeight="1" x14ac:dyDescent="0.25">
      <c r="A44" s="1953"/>
      <c r="B44" s="1931" t="s">
        <v>1135</v>
      </c>
      <c r="C44" s="2124" t="s">
        <v>1188</v>
      </c>
      <c r="D44" s="1932"/>
      <c r="E44" s="2127">
        <f>+'CO2 - Cálculos'!D120</f>
        <v>0.10246513642000825</v>
      </c>
      <c r="F44" s="2128"/>
      <c r="G44" s="2127">
        <f>+'CO2 - Cálculos'!E120</f>
        <v>9.6614717142294707E-2</v>
      </c>
      <c r="H44" s="2127">
        <f>+'CO2 - Cálculos'!G120</f>
        <v>9.6614717142294707E-2</v>
      </c>
      <c r="I44" s="2127">
        <f>+'CO2 - Cálculos'!H120</f>
        <v>9.6614717142294707E-2</v>
      </c>
      <c r="J44" s="2127">
        <f>+'CO2 - Cálculos'!H120</f>
        <v>9.6614717142294707E-2</v>
      </c>
      <c r="K44" s="2127">
        <f>+'CO2 - Cálculos'!I120</f>
        <v>9.6614717142294707E-2</v>
      </c>
      <c r="L44" s="2127">
        <f>+'CO2 - Cálculos'!I120</f>
        <v>9.6614717142294707E-2</v>
      </c>
      <c r="M44" s="2127">
        <f>+'CO2 - Cálculos'!J120</f>
        <v>9.6614717142294707E-2</v>
      </c>
      <c r="N44" s="2120"/>
      <c r="O44" s="1953"/>
      <c r="P44" s="1953"/>
      <c r="Q44" s="1953"/>
      <c r="R44" s="1953"/>
      <c r="S44" s="1953"/>
      <c r="T44" s="1953"/>
      <c r="U44" s="1953"/>
      <c r="V44" s="1953"/>
      <c r="W44" s="1953"/>
      <c r="X44" s="1953"/>
    </row>
    <row r="45" spans="1:24" s="2068" customFormat="1" ht="18" customHeight="1" x14ac:dyDescent="0.25">
      <c r="A45" s="1953"/>
      <c r="B45" s="1931" t="s">
        <v>1136</v>
      </c>
      <c r="C45" s="2124" t="s">
        <v>1188</v>
      </c>
      <c r="D45" s="1932"/>
      <c r="E45" s="2127">
        <f>+'CO2 - Cálculos'!D121</f>
        <v>0.16485824100868129</v>
      </c>
      <c r="F45" s="2128"/>
      <c r="G45" s="2127">
        <f>+'CO2 - Cálculos'!E121</f>
        <v>0.16349934683309475</v>
      </c>
      <c r="H45" s="2127">
        <f>+'CO2 - Cálculos'!G121</f>
        <v>0.16349934683309475</v>
      </c>
      <c r="I45" s="2127">
        <f>+'CO2 - Cálculos'!H121</f>
        <v>0.16349934683309475</v>
      </c>
      <c r="J45" s="2127">
        <f>+'CO2 - Cálculos'!H121</f>
        <v>0.16349934683309475</v>
      </c>
      <c r="K45" s="2127">
        <f>+'CO2 - Cálculos'!I121</f>
        <v>0.16349934683309475</v>
      </c>
      <c r="L45" s="2127">
        <f>+'CO2 - Cálculos'!I121</f>
        <v>0.16349934683309475</v>
      </c>
      <c r="M45" s="2127">
        <f>+'CO2 - Cálculos'!J121</f>
        <v>0.16349934683309475</v>
      </c>
      <c r="N45" s="2120"/>
      <c r="O45" s="1953"/>
      <c r="P45" s="1953"/>
      <c r="Q45" s="1953"/>
      <c r="R45" s="1953"/>
      <c r="S45" s="1953"/>
      <c r="T45" s="1953"/>
      <c r="U45" s="1953"/>
      <c r="V45" s="1953"/>
      <c r="W45" s="1953"/>
      <c r="X45" s="1953"/>
    </row>
    <row r="46" spans="1:24" s="2068" customFormat="1" ht="18" customHeight="1" x14ac:dyDescent="0.25">
      <c r="A46" s="1953"/>
      <c r="B46" s="1947"/>
      <c r="C46" s="1948"/>
      <c r="D46" s="1948"/>
      <c r="E46" s="1948"/>
      <c r="F46" s="1948"/>
      <c r="G46" s="1948"/>
      <c r="H46" s="1948"/>
      <c r="I46" s="1948"/>
      <c r="J46" s="1948"/>
      <c r="K46" s="1948"/>
      <c r="L46" s="1948"/>
      <c r="M46" s="1948"/>
      <c r="N46" s="2129"/>
      <c r="O46" s="1953"/>
      <c r="P46" s="1953"/>
      <c r="Q46" s="1953"/>
      <c r="R46" s="1953"/>
      <c r="S46" s="1953"/>
      <c r="T46" s="1953"/>
      <c r="U46" s="1953"/>
      <c r="V46" s="1953"/>
      <c r="W46" s="1953"/>
      <c r="X46" s="1953"/>
    </row>
    <row r="47" spans="1:24" x14ac:dyDescent="0.2">
      <c r="A47" s="1886"/>
      <c r="B47" s="1886"/>
      <c r="C47" s="1886"/>
      <c r="D47" s="1886"/>
      <c r="E47" s="1886"/>
      <c r="F47" s="1886"/>
      <c r="G47" s="1886"/>
      <c r="H47" s="1886"/>
      <c r="I47" s="1886"/>
      <c r="J47" s="1886"/>
      <c r="K47" s="1886"/>
      <c r="L47" s="1886"/>
      <c r="M47" s="1886"/>
      <c r="N47" s="1886"/>
      <c r="O47" s="1886"/>
      <c r="P47" s="1886"/>
      <c r="Q47" s="1886"/>
      <c r="R47" s="1886"/>
      <c r="S47" s="1886"/>
      <c r="T47" s="1886"/>
      <c r="U47" s="1886"/>
      <c r="V47" s="1886"/>
      <c r="W47" s="1886"/>
      <c r="X47" s="1886"/>
    </row>
    <row r="48" spans="1:24" x14ac:dyDescent="0.2">
      <c r="A48" s="1886"/>
      <c r="B48" s="1886"/>
      <c r="C48" s="1886"/>
      <c r="D48" s="1886"/>
      <c r="E48" s="1886"/>
      <c r="F48" s="1886"/>
      <c r="G48" s="1886"/>
      <c r="H48" s="1886"/>
      <c r="I48" s="1886"/>
      <c r="J48" s="1886"/>
      <c r="K48" s="1886"/>
      <c r="L48" s="1886"/>
      <c r="M48" s="1886"/>
      <c r="N48" s="1886"/>
      <c r="O48" s="1886"/>
      <c r="P48" s="1886"/>
      <c r="Q48" s="1886"/>
      <c r="R48" s="1886"/>
      <c r="S48" s="1886"/>
      <c r="T48" s="1886"/>
      <c r="U48" s="1886"/>
      <c r="V48" s="1886"/>
      <c r="W48" s="1886"/>
      <c r="X48" s="1886"/>
    </row>
    <row r="49" spans="1:24" x14ac:dyDescent="0.2">
      <c r="A49" s="1886"/>
      <c r="B49" s="1886"/>
      <c r="C49" s="1886"/>
      <c r="D49" s="1886"/>
      <c r="E49" s="1886"/>
      <c r="F49" s="1886"/>
      <c r="G49" s="1886"/>
      <c r="H49" s="1886"/>
      <c r="I49" s="1886"/>
      <c r="J49" s="1886"/>
      <c r="K49" s="1886"/>
      <c r="L49" s="1886"/>
      <c r="M49" s="1886"/>
      <c r="N49" s="1886"/>
      <c r="O49" s="1886"/>
      <c r="P49" s="1886"/>
      <c r="Q49" s="1886"/>
      <c r="R49" s="1886"/>
      <c r="S49" s="1886"/>
      <c r="T49" s="1886"/>
      <c r="U49" s="1886"/>
      <c r="V49" s="1886"/>
      <c r="W49" s="1886"/>
      <c r="X49" s="1886"/>
    </row>
    <row r="50" spans="1:24" x14ac:dyDescent="0.2">
      <c r="A50" s="1886"/>
      <c r="B50" s="1886"/>
      <c r="C50" s="1886"/>
      <c r="D50" s="1886"/>
      <c r="E50" s="1886"/>
      <c r="F50" s="1886"/>
      <c r="G50" s="1886"/>
      <c r="H50" s="1886"/>
      <c r="I50" s="1886"/>
      <c r="J50" s="1886"/>
      <c r="K50" s="1886"/>
      <c r="L50" s="1886"/>
      <c r="M50" s="1886"/>
      <c r="N50" s="1886"/>
      <c r="O50" s="1886"/>
      <c r="P50" s="1886"/>
      <c r="Q50" s="1886"/>
      <c r="R50" s="1886"/>
      <c r="S50" s="1886"/>
      <c r="T50" s="1886"/>
      <c r="U50" s="1886"/>
      <c r="V50" s="1886"/>
      <c r="W50" s="1886"/>
      <c r="X50" s="1886"/>
    </row>
    <row r="51" spans="1:24" x14ac:dyDescent="0.2">
      <c r="A51" s="1886"/>
      <c r="B51" s="1886"/>
      <c r="C51" s="1886"/>
      <c r="D51" s="1886"/>
      <c r="E51" s="1886"/>
      <c r="F51" s="1886"/>
      <c r="G51" s="1886"/>
      <c r="H51" s="1886"/>
      <c r="I51" s="1886"/>
      <c r="J51" s="1886"/>
      <c r="K51" s="1886"/>
      <c r="L51" s="1886"/>
      <c r="M51" s="1886"/>
      <c r="N51" s="1886"/>
      <c r="O51" s="1886"/>
      <c r="P51" s="1886"/>
      <c r="Q51" s="1886"/>
      <c r="R51" s="1886"/>
      <c r="S51" s="1886"/>
      <c r="T51" s="1886"/>
      <c r="U51" s="1886"/>
      <c r="V51" s="1886"/>
      <c r="W51" s="1886"/>
      <c r="X51" s="1886"/>
    </row>
    <row r="52" spans="1:24" x14ac:dyDescent="0.2">
      <c r="A52" s="1886"/>
      <c r="B52" s="1886"/>
      <c r="C52" s="1886"/>
      <c r="D52" s="1886"/>
      <c r="E52" s="1886"/>
      <c r="F52" s="1886"/>
      <c r="G52" s="1886"/>
      <c r="H52" s="1886"/>
      <c r="I52" s="1886"/>
      <c r="J52" s="1886"/>
      <c r="K52" s="1886"/>
      <c r="L52" s="1886"/>
      <c r="M52" s="1886"/>
      <c r="N52" s="1886"/>
      <c r="O52" s="1886"/>
      <c r="P52" s="1886"/>
      <c r="Q52" s="1886"/>
      <c r="R52" s="1886"/>
      <c r="S52" s="1886"/>
      <c r="T52" s="1886"/>
      <c r="U52" s="1886"/>
      <c r="V52" s="1886"/>
      <c r="W52" s="1886"/>
      <c r="X52" s="1886"/>
    </row>
    <row r="53" spans="1:24" x14ac:dyDescent="0.2">
      <c r="A53" s="1886"/>
      <c r="B53" s="1886"/>
      <c r="C53" s="1886"/>
      <c r="D53" s="1886"/>
      <c r="E53" s="1886"/>
      <c r="F53" s="1886"/>
      <c r="G53" s="1886"/>
      <c r="H53" s="1886"/>
      <c r="I53" s="1886"/>
      <c r="J53" s="1886"/>
      <c r="K53" s="1886"/>
      <c r="L53" s="1886"/>
      <c r="M53" s="1886"/>
      <c r="N53" s="1886"/>
      <c r="O53" s="1886"/>
      <c r="P53" s="1886"/>
      <c r="Q53" s="1886"/>
      <c r="R53" s="1886"/>
      <c r="S53" s="1886"/>
      <c r="T53" s="1886"/>
      <c r="U53" s="1886"/>
      <c r="V53" s="1886"/>
      <c r="W53" s="1886"/>
      <c r="X53" s="1886"/>
    </row>
    <row r="54" spans="1:24" x14ac:dyDescent="0.2">
      <c r="A54" s="1886"/>
      <c r="B54" s="1886"/>
      <c r="C54" s="1886"/>
      <c r="D54" s="1886"/>
      <c r="E54" s="1886"/>
      <c r="F54" s="1886"/>
      <c r="G54" s="1886"/>
      <c r="H54" s="1886"/>
      <c r="I54" s="1886"/>
      <c r="J54" s="1886"/>
      <c r="K54" s="1886"/>
      <c r="L54" s="1886"/>
      <c r="M54" s="1886"/>
      <c r="N54" s="1886"/>
      <c r="O54" s="1886"/>
      <c r="P54" s="1886"/>
      <c r="Q54" s="1886"/>
      <c r="R54" s="1886"/>
      <c r="S54" s="1886"/>
      <c r="T54" s="1886"/>
      <c r="U54" s="1886"/>
      <c r="V54" s="1886"/>
      <c r="W54" s="1886"/>
      <c r="X54" s="1886"/>
    </row>
    <row r="55" spans="1:24" x14ac:dyDescent="0.2">
      <c r="A55" s="1886"/>
      <c r="B55" s="1886"/>
      <c r="C55" s="1886"/>
      <c r="D55" s="1886"/>
      <c r="E55" s="1886"/>
      <c r="F55" s="1886"/>
      <c r="G55" s="1886"/>
      <c r="H55" s="1886"/>
      <c r="I55" s="1886"/>
      <c r="J55" s="1886"/>
      <c r="K55" s="1886"/>
      <c r="L55" s="1886"/>
      <c r="M55" s="1886"/>
      <c r="N55" s="1886"/>
      <c r="O55" s="1886"/>
      <c r="P55" s="1886"/>
      <c r="Q55" s="1886"/>
      <c r="R55" s="1886"/>
      <c r="S55" s="1886"/>
      <c r="T55" s="1886"/>
      <c r="U55" s="1886"/>
      <c r="V55" s="1886"/>
      <c r="W55" s="1886"/>
      <c r="X55" s="1886"/>
    </row>
    <row r="56" spans="1:24" x14ac:dyDescent="0.2">
      <c r="A56" s="1886"/>
      <c r="B56" s="1886"/>
      <c r="C56" s="1886"/>
      <c r="D56" s="1886"/>
      <c r="E56" s="1886"/>
      <c r="F56" s="1886"/>
      <c r="G56" s="1886"/>
      <c r="H56" s="1886"/>
      <c r="I56" s="1886"/>
      <c r="J56" s="1886"/>
      <c r="K56" s="1886"/>
      <c r="L56" s="1886"/>
      <c r="M56" s="1886"/>
      <c r="N56" s="1886"/>
      <c r="O56" s="1886"/>
      <c r="P56" s="1886"/>
      <c r="Q56" s="1886"/>
      <c r="R56" s="1886"/>
      <c r="S56" s="1886"/>
      <c r="T56" s="1886"/>
      <c r="U56" s="1886"/>
      <c r="V56" s="1886"/>
      <c r="W56" s="1886"/>
      <c r="X56" s="1886"/>
    </row>
    <row r="57" spans="1:24" x14ac:dyDescent="0.2">
      <c r="A57" s="1886"/>
      <c r="B57" s="1886"/>
      <c r="C57" s="1886"/>
      <c r="D57" s="1886"/>
      <c r="E57" s="1886"/>
      <c r="F57" s="1886"/>
      <c r="G57" s="1886"/>
      <c r="H57" s="1886"/>
      <c r="I57" s="1886"/>
      <c r="J57" s="1886"/>
      <c r="K57" s="1886"/>
      <c r="L57" s="1886"/>
      <c r="M57" s="1886"/>
      <c r="N57" s="1886"/>
      <c r="O57" s="1886"/>
      <c r="P57" s="1886"/>
      <c r="Q57" s="1886"/>
      <c r="R57" s="1886"/>
      <c r="S57" s="1886"/>
      <c r="T57" s="1886"/>
      <c r="U57" s="1886"/>
      <c r="V57" s="1886"/>
      <c r="W57" s="1886"/>
      <c r="X57" s="1886"/>
    </row>
    <row r="58" spans="1:24" x14ac:dyDescent="0.2">
      <c r="A58" s="1886"/>
      <c r="B58" s="1886"/>
      <c r="C58" s="1886"/>
      <c r="D58" s="1886"/>
      <c r="E58" s="1886"/>
      <c r="F58" s="1886"/>
      <c r="G58" s="1886"/>
      <c r="H58" s="1886"/>
      <c r="I58" s="1886"/>
      <c r="J58" s="1886"/>
      <c r="K58" s="1886"/>
      <c r="L58" s="1886"/>
      <c r="M58" s="1886"/>
      <c r="N58" s="1886"/>
      <c r="O58" s="1886"/>
      <c r="P58" s="1886"/>
      <c r="Q58" s="1886"/>
      <c r="R58" s="1886"/>
      <c r="S58" s="1886"/>
      <c r="T58" s="1886"/>
      <c r="U58" s="1886"/>
      <c r="V58" s="1886"/>
      <c r="W58" s="1886"/>
      <c r="X58" s="1886"/>
    </row>
    <row r="59" spans="1:24" x14ac:dyDescent="0.2">
      <c r="A59" s="1886"/>
      <c r="B59" s="1886"/>
      <c r="C59" s="1886"/>
      <c r="D59" s="1886"/>
      <c r="E59" s="1886"/>
      <c r="F59" s="1886"/>
      <c r="G59" s="1886"/>
      <c r="H59" s="1886"/>
      <c r="I59" s="1886"/>
      <c r="J59" s="1886"/>
      <c r="K59" s="1886"/>
      <c r="L59" s="1886"/>
      <c r="M59" s="1886"/>
      <c r="N59" s="1886"/>
      <c r="O59" s="1886"/>
      <c r="P59" s="1886"/>
      <c r="Q59" s="1886"/>
      <c r="R59" s="1886"/>
      <c r="S59" s="1886"/>
      <c r="T59" s="1886"/>
      <c r="U59" s="1886"/>
      <c r="V59" s="1886"/>
      <c r="W59" s="1886"/>
      <c r="X59" s="1886"/>
    </row>
    <row r="60" spans="1:24" x14ac:dyDescent="0.2">
      <c r="A60" s="1886"/>
      <c r="B60" s="1886"/>
      <c r="C60" s="1886"/>
      <c r="D60" s="1886"/>
      <c r="E60" s="1886"/>
      <c r="F60" s="1886"/>
      <c r="G60" s="1886"/>
      <c r="H60" s="1886"/>
      <c r="I60" s="1886"/>
      <c r="J60" s="1886"/>
      <c r="K60" s="1886"/>
      <c r="L60" s="1886"/>
      <c r="M60" s="1886"/>
      <c r="N60" s="1886"/>
      <c r="O60" s="1886"/>
      <c r="P60" s="1886"/>
      <c r="Q60" s="1886"/>
      <c r="R60" s="1886"/>
      <c r="S60" s="1886"/>
      <c r="T60" s="1886"/>
      <c r="U60" s="1886"/>
      <c r="V60" s="1886"/>
      <c r="W60" s="1886"/>
      <c r="X60" s="1886"/>
    </row>
    <row r="61" spans="1:24" x14ac:dyDescent="0.2">
      <c r="A61" s="1886"/>
      <c r="B61" s="1886"/>
      <c r="C61" s="1886"/>
      <c r="D61" s="1886"/>
      <c r="E61" s="1886"/>
      <c r="F61" s="1886"/>
      <c r="G61" s="1886"/>
      <c r="H61" s="1886"/>
      <c r="I61" s="1886"/>
      <c r="J61" s="1886"/>
      <c r="K61" s="1886"/>
      <c r="L61" s="1886"/>
      <c r="M61" s="1886"/>
      <c r="N61" s="1886"/>
      <c r="O61" s="1886"/>
      <c r="P61" s="1886"/>
      <c r="Q61" s="1886"/>
      <c r="R61" s="1886"/>
      <c r="S61" s="1886"/>
      <c r="T61" s="1886"/>
      <c r="U61" s="1886"/>
      <c r="V61" s="1886"/>
      <c r="W61" s="1886"/>
      <c r="X61" s="1886"/>
    </row>
    <row r="62" spans="1:24" x14ac:dyDescent="0.2">
      <c r="A62" s="1886"/>
      <c r="B62" s="1886"/>
      <c r="C62" s="1886"/>
      <c r="D62" s="1886"/>
      <c r="E62" s="1886"/>
      <c r="F62" s="1886"/>
      <c r="G62" s="1886"/>
      <c r="H62" s="1886"/>
      <c r="I62" s="1886"/>
      <c r="J62" s="1886"/>
      <c r="K62" s="1886"/>
      <c r="L62" s="1886"/>
      <c r="M62" s="1886"/>
      <c r="N62" s="1886"/>
      <c r="O62" s="1886"/>
      <c r="P62" s="1886"/>
      <c r="Q62" s="1886"/>
      <c r="R62" s="1886"/>
      <c r="S62" s="1886"/>
      <c r="T62" s="1886"/>
      <c r="U62" s="1886"/>
      <c r="V62" s="1886"/>
      <c r="W62" s="1886"/>
      <c r="X62" s="1886"/>
    </row>
    <row r="63" spans="1:24" x14ac:dyDescent="0.2">
      <c r="A63" s="1886"/>
      <c r="B63" s="1886"/>
      <c r="C63" s="1886"/>
      <c r="D63" s="1886"/>
      <c r="E63" s="1886"/>
      <c r="F63" s="1886"/>
      <c r="G63" s="1886"/>
      <c r="H63" s="1886"/>
      <c r="I63" s="1886"/>
      <c r="J63" s="1886"/>
      <c r="K63" s="1886"/>
      <c r="L63" s="1886"/>
      <c r="M63" s="1886"/>
      <c r="N63" s="1886"/>
      <c r="O63" s="1886"/>
      <c r="P63" s="1886"/>
      <c r="Q63" s="1886"/>
      <c r="R63" s="1886"/>
      <c r="S63" s="1886"/>
      <c r="T63" s="1886"/>
      <c r="U63" s="1886"/>
      <c r="V63" s="1886"/>
      <c r="W63" s="1886"/>
      <c r="X63" s="1886"/>
    </row>
    <row r="64" spans="1:24" x14ac:dyDescent="0.2">
      <c r="A64" s="1886"/>
      <c r="B64" s="1886"/>
      <c r="C64" s="1886"/>
      <c r="D64" s="1886"/>
      <c r="E64" s="1886"/>
      <c r="F64" s="1886"/>
      <c r="G64" s="1886"/>
      <c r="H64" s="1886"/>
      <c r="I64" s="1886"/>
      <c r="J64" s="1886"/>
      <c r="K64" s="1886"/>
      <c r="L64" s="1886"/>
      <c r="M64" s="1886"/>
      <c r="N64" s="1886"/>
      <c r="O64" s="1886"/>
      <c r="P64" s="1886"/>
      <c r="Q64" s="1886"/>
      <c r="R64" s="1886"/>
      <c r="S64" s="1886"/>
      <c r="T64" s="1886"/>
      <c r="U64" s="1886"/>
      <c r="V64" s="1886"/>
      <c r="W64" s="1886"/>
      <c r="X64" s="1886"/>
    </row>
    <row r="65" spans="1:24" x14ac:dyDescent="0.2">
      <c r="A65" s="1886"/>
      <c r="B65" s="1886"/>
      <c r="C65" s="1886"/>
      <c r="D65" s="1886"/>
      <c r="E65" s="1886"/>
      <c r="F65" s="1886"/>
      <c r="G65" s="1886"/>
      <c r="H65" s="1886"/>
      <c r="I65" s="1886"/>
      <c r="J65" s="1886"/>
      <c r="K65" s="1886"/>
      <c r="L65" s="1886"/>
      <c r="M65" s="1886"/>
      <c r="N65" s="1886"/>
      <c r="O65" s="1886"/>
      <c r="P65" s="1886"/>
      <c r="Q65" s="1886"/>
      <c r="R65" s="1886"/>
      <c r="S65" s="1886"/>
      <c r="T65" s="1886"/>
      <c r="U65" s="1886"/>
      <c r="V65" s="1886"/>
      <c r="W65" s="1886"/>
      <c r="X65" s="1886"/>
    </row>
    <row r="66" spans="1:24" x14ac:dyDescent="0.2">
      <c r="A66" s="1886"/>
      <c r="B66" s="1886"/>
      <c r="C66" s="1886"/>
      <c r="D66" s="1886"/>
      <c r="E66" s="1886"/>
      <c r="F66" s="1886"/>
      <c r="G66" s="1886"/>
      <c r="H66" s="1886"/>
      <c r="I66" s="1886"/>
      <c r="J66" s="1886"/>
      <c r="K66" s="1886"/>
      <c r="L66" s="1886"/>
      <c r="M66" s="1886"/>
      <c r="N66" s="1886"/>
      <c r="O66" s="1886"/>
      <c r="P66" s="1886"/>
      <c r="Q66" s="1886"/>
      <c r="R66" s="1886"/>
      <c r="S66" s="1886"/>
      <c r="T66" s="1886"/>
      <c r="U66" s="1886"/>
      <c r="V66" s="1886"/>
      <c r="W66" s="1886"/>
      <c r="X66" s="1886"/>
    </row>
    <row r="67" spans="1:24" x14ac:dyDescent="0.2">
      <c r="A67" s="1886"/>
      <c r="B67" s="1886"/>
      <c r="C67" s="1886"/>
      <c r="D67" s="1886"/>
      <c r="E67" s="1886"/>
      <c r="F67" s="1886"/>
      <c r="G67" s="1886"/>
      <c r="H67" s="1886"/>
      <c r="I67" s="1886"/>
      <c r="J67" s="1886"/>
      <c r="K67" s="1886"/>
      <c r="L67" s="1886"/>
      <c r="M67" s="1886"/>
      <c r="N67" s="1886"/>
      <c r="O67" s="1886"/>
      <c r="P67" s="1886"/>
      <c r="Q67" s="1886"/>
      <c r="R67" s="1886"/>
      <c r="S67" s="1886"/>
      <c r="T67" s="1886"/>
      <c r="U67" s="1886"/>
      <c r="V67" s="1886"/>
      <c r="W67" s="1886"/>
      <c r="X67" s="1886"/>
    </row>
    <row r="68" spans="1:24" x14ac:dyDescent="0.2">
      <c r="A68" s="1886"/>
      <c r="B68" s="1886"/>
      <c r="C68" s="1886"/>
      <c r="D68" s="1886"/>
      <c r="E68" s="1886"/>
      <c r="F68" s="1886"/>
      <c r="G68" s="1886"/>
      <c r="H68" s="1886"/>
      <c r="I68" s="1886"/>
      <c r="J68" s="1886"/>
      <c r="K68" s="1886"/>
      <c r="L68" s="1886"/>
      <c r="M68" s="1886"/>
      <c r="N68" s="1886"/>
      <c r="O68" s="1886"/>
      <c r="P68" s="1886"/>
      <c r="Q68" s="1886"/>
      <c r="R68" s="1886"/>
      <c r="S68" s="1886"/>
      <c r="T68" s="1886"/>
      <c r="U68" s="1886"/>
      <c r="V68" s="1886"/>
      <c r="W68" s="1886"/>
      <c r="X68" s="1886"/>
    </row>
    <row r="69" spans="1:24" x14ac:dyDescent="0.2">
      <c r="A69" s="1886"/>
      <c r="B69" s="1886"/>
      <c r="C69" s="1886"/>
      <c r="D69" s="1886"/>
      <c r="E69" s="1886"/>
      <c r="F69" s="1886"/>
      <c r="G69" s="1886"/>
      <c r="H69" s="1886"/>
      <c r="I69" s="1886"/>
      <c r="J69" s="1886"/>
      <c r="K69" s="1886"/>
      <c r="L69" s="1886"/>
      <c r="M69" s="1886"/>
      <c r="N69" s="1886"/>
      <c r="O69" s="1886"/>
      <c r="P69" s="1886"/>
      <c r="Q69" s="1886"/>
      <c r="R69" s="1886"/>
      <c r="S69" s="1886"/>
      <c r="T69" s="1886"/>
      <c r="U69" s="1886"/>
      <c r="V69" s="1886"/>
      <c r="W69" s="1886"/>
      <c r="X69" s="1886"/>
    </row>
    <row r="70" spans="1:24" x14ac:dyDescent="0.2">
      <c r="A70" s="1886"/>
      <c r="B70" s="1886"/>
      <c r="C70" s="1886"/>
      <c r="D70" s="1886"/>
      <c r="E70" s="1886"/>
      <c r="F70" s="1886"/>
      <c r="G70" s="1886"/>
      <c r="H70" s="1886"/>
      <c r="I70" s="1886"/>
      <c r="J70" s="1886"/>
      <c r="K70" s="1886"/>
      <c r="L70" s="1886"/>
      <c r="M70" s="1886"/>
      <c r="N70" s="1886"/>
      <c r="O70" s="1886"/>
      <c r="P70" s="1886"/>
      <c r="Q70" s="1886"/>
      <c r="R70" s="1886"/>
      <c r="S70" s="1886"/>
      <c r="T70" s="1886"/>
      <c r="U70" s="1886"/>
      <c r="V70" s="1886"/>
      <c r="W70" s="1886"/>
      <c r="X70" s="1886"/>
    </row>
    <row r="71" spans="1:24" x14ac:dyDescent="0.2">
      <c r="A71" s="1886"/>
      <c r="B71" s="1886"/>
      <c r="C71" s="1886"/>
      <c r="D71" s="1886"/>
      <c r="E71" s="1886"/>
      <c r="F71" s="1886"/>
      <c r="G71" s="1886"/>
      <c r="H71" s="1886"/>
      <c r="I71" s="1886"/>
      <c r="J71" s="1886"/>
      <c r="K71" s="1886"/>
      <c r="L71" s="1886"/>
      <c r="M71" s="1886"/>
      <c r="N71" s="1886"/>
      <c r="O71" s="1886"/>
      <c r="P71" s="1886"/>
      <c r="Q71" s="1886"/>
      <c r="R71" s="1886"/>
      <c r="S71" s="1886"/>
      <c r="T71" s="1886"/>
      <c r="U71" s="1886"/>
      <c r="V71" s="1886"/>
      <c r="W71" s="1886"/>
      <c r="X71" s="1886"/>
    </row>
    <row r="72" spans="1:24" x14ac:dyDescent="0.2">
      <c r="A72" s="1886"/>
      <c r="B72" s="1886"/>
      <c r="C72" s="1886"/>
      <c r="D72" s="1886"/>
      <c r="E72" s="1886"/>
      <c r="F72" s="1886"/>
      <c r="G72" s="1886"/>
      <c r="H72" s="1886"/>
      <c r="I72" s="1886"/>
      <c r="J72" s="1886"/>
      <c r="K72" s="1886"/>
      <c r="L72" s="1886"/>
      <c r="M72" s="1886"/>
      <c r="N72" s="1886"/>
      <c r="O72" s="1886"/>
      <c r="P72" s="1886"/>
      <c r="Q72" s="1886"/>
      <c r="R72" s="1886"/>
      <c r="S72" s="1886"/>
      <c r="T72" s="1886"/>
      <c r="U72" s="1886"/>
      <c r="V72" s="1886"/>
      <c r="W72" s="1886"/>
      <c r="X72" s="1886"/>
    </row>
    <row r="73" spans="1:24" x14ac:dyDescent="0.2">
      <c r="A73" s="1886"/>
      <c r="B73" s="1886"/>
      <c r="C73" s="1886"/>
      <c r="D73" s="1886"/>
      <c r="E73" s="1886"/>
      <c r="F73" s="1886"/>
      <c r="G73" s="1886"/>
      <c r="H73" s="1886"/>
      <c r="I73" s="1886"/>
      <c r="J73" s="1886"/>
      <c r="K73" s="1886"/>
      <c r="L73" s="1886"/>
      <c r="M73" s="1886"/>
      <c r="N73" s="1886"/>
      <c r="O73" s="1886"/>
      <c r="P73" s="1886"/>
      <c r="Q73" s="1886"/>
      <c r="R73" s="1886"/>
      <c r="S73" s="1886"/>
      <c r="T73" s="1886"/>
      <c r="U73" s="1886"/>
      <c r="V73" s="1886"/>
      <c r="W73" s="1886"/>
      <c r="X73" s="1886"/>
    </row>
    <row r="74" spans="1:24" x14ac:dyDescent="0.2">
      <c r="A74" s="1886"/>
      <c r="B74" s="1886"/>
      <c r="C74" s="1886"/>
      <c r="D74" s="1886"/>
      <c r="E74" s="1886"/>
      <c r="F74" s="1886"/>
      <c r="G74" s="1886"/>
      <c r="H74" s="1886"/>
      <c r="I74" s="1886"/>
      <c r="J74" s="1886"/>
      <c r="K74" s="1886"/>
      <c r="L74" s="1886"/>
      <c r="M74" s="1886"/>
      <c r="N74" s="1886"/>
      <c r="O74" s="1886"/>
      <c r="P74" s="1886"/>
      <c r="Q74" s="1886"/>
      <c r="R74" s="1886"/>
      <c r="S74" s="1886"/>
      <c r="T74" s="1886"/>
      <c r="U74" s="1886"/>
      <c r="V74" s="1886"/>
      <c r="W74" s="1886"/>
      <c r="X74" s="1886"/>
    </row>
    <row r="75" spans="1:24" x14ac:dyDescent="0.2">
      <c r="A75" s="1886"/>
      <c r="B75" s="1886"/>
      <c r="C75" s="1886"/>
      <c r="D75" s="1886"/>
      <c r="E75" s="1886"/>
      <c r="F75" s="1886"/>
      <c r="G75" s="1886"/>
      <c r="H75" s="1886"/>
      <c r="I75" s="1886"/>
      <c r="J75" s="1886"/>
      <c r="K75" s="1886"/>
      <c r="L75" s="1886"/>
      <c r="M75" s="1886"/>
      <c r="N75" s="1886"/>
      <c r="O75" s="1886"/>
      <c r="P75" s="1886"/>
      <c r="Q75" s="1886"/>
      <c r="R75" s="1886"/>
      <c r="S75" s="1886"/>
      <c r="T75" s="1886"/>
      <c r="U75" s="1886"/>
      <c r="V75" s="1886"/>
      <c r="W75" s="1886"/>
      <c r="X75" s="1886"/>
    </row>
    <row r="76" spans="1:24" x14ac:dyDescent="0.2">
      <c r="A76" s="1886"/>
      <c r="B76" s="1886"/>
      <c r="C76" s="1886"/>
      <c r="D76" s="1886"/>
      <c r="E76" s="1886"/>
      <c r="F76" s="1886"/>
      <c r="G76" s="1886"/>
      <c r="H76" s="1886"/>
      <c r="I76" s="1886"/>
      <c r="J76" s="1886"/>
      <c r="K76" s="1886"/>
      <c r="L76" s="1886"/>
      <c r="M76" s="1886"/>
      <c r="N76" s="1886"/>
      <c r="O76" s="1886"/>
      <c r="P76" s="1886"/>
      <c r="Q76" s="1886"/>
      <c r="R76" s="1886"/>
      <c r="S76" s="1886"/>
      <c r="T76" s="1886"/>
      <c r="U76" s="1886"/>
      <c r="V76" s="1886"/>
      <c r="W76" s="1886"/>
      <c r="X76" s="1886"/>
    </row>
    <row r="77" spans="1:24" x14ac:dyDescent="0.2">
      <c r="A77" s="1886"/>
      <c r="B77" s="1886"/>
      <c r="C77" s="1886"/>
      <c r="D77" s="1886"/>
      <c r="E77" s="1886"/>
      <c r="F77" s="1886"/>
      <c r="G77" s="1886"/>
      <c r="H77" s="1886"/>
      <c r="I77" s="1886"/>
      <c r="J77" s="1886"/>
      <c r="K77" s="1886"/>
      <c r="L77" s="1886"/>
      <c r="M77" s="1886"/>
      <c r="N77" s="1886"/>
      <c r="O77" s="1886"/>
      <c r="P77" s="1886"/>
      <c r="Q77" s="1886"/>
      <c r="R77" s="1886"/>
      <c r="S77" s="1886"/>
      <c r="T77" s="1886"/>
      <c r="U77" s="1886"/>
      <c r="V77" s="1886"/>
      <c r="W77" s="1886"/>
      <c r="X77" s="1886"/>
    </row>
    <row r="78" spans="1:24" x14ac:dyDescent="0.2">
      <c r="A78" s="1886"/>
      <c r="B78" s="1886"/>
      <c r="C78" s="1886"/>
      <c r="D78" s="1886"/>
      <c r="E78" s="1886"/>
      <c r="F78" s="1886"/>
      <c r="G78" s="1886"/>
      <c r="H78" s="1886"/>
      <c r="I78" s="1886"/>
      <c r="J78" s="1886"/>
      <c r="K78" s="1886"/>
      <c r="L78" s="1886"/>
      <c r="M78" s="1886"/>
      <c r="N78" s="1886"/>
      <c r="O78" s="1886"/>
      <c r="P78" s="1886"/>
      <c r="Q78" s="1886"/>
      <c r="R78" s="1886"/>
      <c r="S78" s="1886"/>
      <c r="T78" s="1886"/>
      <c r="U78" s="1886"/>
      <c r="V78" s="1886"/>
      <c r="W78" s="1886"/>
      <c r="X78" s="1886"/>
    </row>
    <row r="79" spans="1:24" x14ac:dyDescent="0.2">
      <c r="A79" s="1886"/>
      <c r="B79" s="1886"/>
      <c r="C79" s="1886"/>
      <c r="D79" s="1886"/>
      <c r="E79" s="1886"/>
      <c r="F79" s="1886"/>
      <c r="G79" s="1886"/>
      <c r="H79" s="1886"/>
      <c r="I79" s="1886"/>
      <c r="J79" s="1886"/>
      <c r="K79" s="1886"/>
      <c r="L79" s="1886"/>
      <c r="M79" s="1886"/>
      <c r="N79" s="1886"/>
      <c r="O79" s="1886"/>
      <c r="P79" s="1886"/>
      <c r="Q79" s="1886"/>
      <c r="R79" s="1886"/>
      <c r="S79" s="1886"/>
      <c r="T79" s="1886"/>
      <c r="U79" s="1886"/>
      <c r="V79" s="1886"/>
      <c r="W79" s="1886"/>
      <c r="X79" s="1886"/>
    </row>
    <row r="80" spans="1:24" x14ac:dyDescent="0.2">
      <c r="A80" s="1886"/>
      <c r="B80" s="1886"/>
      <c r="C80" s="1886"/>
      <c r="D80" s="1886"/>
      <c r="E80" s="1886"/>
      <c r="F80" s="1886"/>
      <c r="G80" s="1886"/>
      <c r="H80" s="1886"/>
      <c r="I80" s="1886"/>
      <c r="J80" s="1886"/>
      <c r="K80" s="1886"/>
      <c r="L80" s="1886"/>
      <c r="M80" s="1886"/>
      <c r="N80" s="1886"/>
      <c r="O80" s="1886"/>
      <c r="P80" s="1886"/>
      <c r="Q80" s="1886"/>
      <c r="R80" s="1886"/>
      <c r="S80" s="1886"/>
      <c r="T80" s="1886"/>
      <c r="U80" s="1886"/>
      <c r="V80" s="1886"/>
      <c r="W80" s="1886"/>
      <c r="X80" s="1886"/>
    </row>
    <row r="81" spans="1:24" x14ac:dyDescent="0.2">
      <c r="A81" s="1886"/>
      <c r="B81" s="1886"/>
      <c r="C81" s="1886"/>
      <c r="D81" s="1886"/>
      <c r="E81" s="1886"/>
      <c r="F81" s="1886"/>
      <c r="G81" s="1886"/>
      <c r="H81" s="1886"/>
      <c r="I81" s="1886"/>
      <c r="J81" s="1886"/>
      <c r="K81" s="1886"/>
      <c r="L81" s="1886"/>
      <c r="M81" s="1886"/>
      <c r="N81" s="1886"/>
      <c r="O81" s="1886"/>
      <c r="P81" s="1886"/>
      <c r="Q81" s="1886"/>
      <c r="R81" s="1886"/>
      <c r="S81" s="1886"/>
      <c r="T81" s="1886"/>
      <c r="U81" s="1886"/>
      <c r="V81" s="1886"/>
      <c r="W81" s="1886"/>
      <c r="X81" s="1886"/>
    </row>
    <row r="82" spans="1:24" x14ac:dyDescent="0.2">
      <c r="A82" s="1886"/>
      <c r="B82" s="1886"/>
      <c r="C82" s="1886"/>
      <c r="D82" s="1886"/>
      <c r="E82" s="1886"/>
      <c r="F82" s="1886"/>
      <c r="G82" s="1886"/>
      <c r="H82" s="1886"/>
      <c r="I82" s="1886"/>
      <c r="J82" s="1886"/>
      <c r="K82" s="1886"/>
      <c r="L82" s="1886"/>
      <c r="M82" s="1886"/>
      <c r="N82" s="1886"/>
      <c r="O82" s="1886"/>
      <c r="P82" s="1886"/>
      <c r="Q82" s="1886"/>
      <c r="R82" s="1886"/>
      <c r="S82" s="1886"/>
      <c r="T82" s="1886"/>
      <c r="U82" s="1886"/>
      <c r="V82" s="1886"/>
      <c r="W82" s="1886"/>
      <c r="X82" s="1886"/>
    </row>
    <row r="83" spans="1:24" x14ac:dyDescent="0.2">
      <c r="A83" s="1886"/>
      <c r="B83" s="1886"/>
      <c r="C83" s="1886"/>
      <c r="D83" s="1886"/>
      <c r="E83" s="1886"/>
      <c r="F83" s="1886"/>
      <c r="G83" s="1886"/>
      <c r="H83" s="1886"/>
      <c r="I83" s="1886"/>
      <c r="J83" s="1886"/>
      <c r="K83" s="1886"/>
      <c r="L83" s="1886"/>
      <c r="M83" s="1886"/>
      <c r="N83" s="1886"/>
      <c r="O83" s="1886"/>
      <c r="P83" s="1886"/>
      <c r="Q83" s="1886"/>
      <c r="R83" s="1886"/>
      <c r="S83" s="1886"/>
      <c r="T83" s="1886"/>
      <c r="U83" s="1886"/>
      <c r="V83" s="1886"/>
      <c r="W83" s="1886"/>
      <c r="X83" s="1886"/>
    </row>
    <row r="84" spans="1:24" x14ac:dyDescent="0.2">
      <c r="A84" s="1886"/>
      <c r="B84" s="1886"/>
      <c r="C84" s="1886"/>
      <c r="D84" s="1886"/>
      <c r="E84" s="1886"/>
      <c r="F84" s="1886"/>
      <c r="G84" s="1886"/>
      <c r="H84" s="1886"/>
      <c r="I84" s="1886"/>
      <c r="J84" s="1886"/>
      <c r="K84" s="1886"/>
      <c r="L84" s="1886"/>
      <c r="M84" s="1886"/>
      <c r="N84" s="1886"/>
      <c r="O84" s="1886"/>
      <c r="P84" s="1886"/>
      <c r="Q84" s="1886"/>
      <c r="R84" s="1886"/>
      <c r="S84" s="1886"/>
      <c r="T84" s="1886"/>
      <c r="U84" s="1886"/>
      <c r="V84" s="1886"/>
      <c r="W84" s="1886"/>
      <c r="X84" s="1886"/>
    </row>
    <row r="85" spans="1:24" x14ac:dyDescent="0.2">
      <c r="A85" s="1886"/>
      <c r="B85" s="1886"/>
      <c r="C85" s="1886"/>
      <c r="D85" s="1886"/>
      <c r="E85" s="1886"/>
      <c r="F85" s="1886"/>
      <c r="G85" s="1886"/>
      <c r="H85" s="1886"/>
      <c r="I85" s="1886"/>
      <c r="J85" s="1886"/>
      <c r="K85" s="1886"/>
      <c r="L85" s="1886"/>
      <c r="M85" s="1886"/>
      <c r="N85" s="1886"/>
      <c r="O85" s="1886"/>
      <c r="P85" s="1886"/>
      <c r="Q85" s="1886"/>
      <c r="R85" s="1886"/>
      <c r="S85" s="1886"/>
      <c r="T85" s="1886"/>
      <c r="U85" s="1886"/>
      <c r="V85" s="1886"/>
      <c r="W85" s="1886"/>
      <c r="X85" s="1886"/>
    </row>
    <row r="86" spans="1:24" x14ac:dyDescent="0.2">
      <c r="A86" s="1886"/>
      <c r="B86" s="1886"/>
      <c r="C86" s="1886"/>
      <c r="D86" s="1886"/>
      <c r="E86" s="1886"/>
      <c r="F86" s="1886"/>
      <c r="G86" s="1886"/>
      <c r="H86" s="1886"/>
      <c r="I86" s="1886"/>
      <c r="J86" s="1886"/>
      <c r="K86" s="1886"/>
      <c r="L86" s="1886"/>
      <c r="M86" s="1886"/>
      <c r="N86" s="1886"/>
      <c r="O86" s="1886"/>
      <c r="P86" s="1886"/>
      <c r="Q86" s="1886"/>
      <c r="R86" s="1886"/>
      <c r="S86" s="1886"/>
      <c r="T86" s="1886"/>
      <c r="U86" s="1886"/>
      <c r="V86" s="1886"/>
      <c r="W86" s="1886"/>
      <c r="X86" s="1886"/>
    </row>
    <row r="87" spans="1:24" x14ac:dyDescent="0.2">
      <c r="A87" s="1886"/>
      <c r="B87" s="1886"/>
      <c r="C87" s="1886"/>
      <c r="D87" s="1886"/>
      <c r="E87" s="1886"/>
      <c r="F87" s="1886"/>
      <c r="G87" s="1886"/>
      <c r="H87" s="1886"/>
      <c r="I87" s="1886"/>
      <c r="J87" s="1886"/>
      <c r="K87" s="1886"/>
      <c r="L87" s="1886"/>
      <c r="M87" s="1886"/>
      <c r="N87" s="1886"/>
      <c r="O87" s="1886"/>
      <c r="P87" s="1886"/>
      <c r="Q87" s="1886"/>
      <c r="R87" s="1886"/>
      <c r="S87" s="1886"/>
      <c r="T87" s="1886"/>
      <c r="U87" s="1886"/>
      <c r="V87" s="1886"/>
      <c r="W87" s="1886"/>
      <c r="X87" s="1886"/>
    </row>
    <row r="88" spans="1:24" x14ac:dyDescent="0.2">
      <c r="A88" s="1886"/>
      <c r="B88" s="1886"/>
      <c r="C88" s="1886"/>
      <c r="D88" s="1886"/>
      <c r="E88" s="1886"/>
      <c r="F88" s="1886"/>
      <c r="G88" s="1886"/>
      <c r="H88" s="1886"/>
      <c r="I88" s="1886"/>
      <c r="J88" s="1886"/>
      <c r="K88" s="1886"/>
      <c r="L88" s="1886"/>
      <c r="M88" s="1886"/>
      <c r="N88" s="1886"/>
      <c r="O88" s="1886"/>
      <c r="P88" s="1886"/>
      <c r="Q88" s="1886"/>
      <c r="R88" s="1886"/>
      <c r="S88" s="1886"/>
      <c r="T88" s="1886"/>
      <c r="U88" s="1886"/>
      <c r="V88" s="1886"/>
      <c r="W88" s="1886"/>
      <c r="X88" s="1886"/>
    </row>
    <row r="89" spans="1:24" x14ac:dyDescent="0.2">
      <c r="A89" s="1886"/>
      <c r="B89" s="1886"/>
      <c r="C89" s="1886"/>
      <c r="D89" s="1886"/>
      <c r="E89" s="1886"/>
      <c r="F89" s="1886"/>
      <c r="G89" s="1886"/>
      <c r="H89" s="1886"/>
      <c r="I89" s="1886"/>
      <c r="J89" s="1886"/>
      <c r="K89" s="1886"/>
      <c r="L89" s="1886"/>
      <c r="M89" s="1886"/>
      <c r="N89" s="1886"/>
      <c r="O89" s="1886"/>
      <c r="P89" s="1886"/>
      <c r="Q89" s="1886"/>
      <c r="R89" s="1886"/>
      <c r="S89" s="1886"/>
      <c r="T89" s="1886"/>
      <c r="U89" s="1886"/>
      <c r="V89" s="1886"/>
      <c r="W89" s="1886"/>
      <c r="X89" s="1886"/>
    </row>
    <row r="90" spans="1:24" x14ac:dyDescent="0.2">
      <c r="A90" s="1886"/>
      <c r="B90" s="1886"/>
      <c r="C90" s="1886"/>
      <c r="D90" s="1886"/>
      <c r="E90" s="1886"/>
      <c r="F90" s="1886"/>
      <c r="G90" s="1886"/>
      <c r="H90" s="1886"/>
      <c r="I90" s="1886"/>
      <c r="J90" s="1886"/>
      <c r="K90" s="1886"/>
      <c r="L90" s="1886"/>
      <c r="M90" s="1886"/>
      <c r="N90" s="1886"/>
      <c r="O90" s="1886"/>
      <c r="P90" s="1886"/>
      <c r="Q90" s="1886"/>
      <c r="R90" s="1886"/>
      <c r="S90" s="1886"/>
      <c r="T90" s="1886"/>
      <c r="U90" s="1886"/>
      <c r="V90" s="1886"/>
      <c r="W90" s="1886"/>
      <c r="X90" s="1886"/>
    </row>
    <row r="91" spans="1:24" x14ac:dyDescent="0.2">
      <c r="A91" s="1886"/>
      <c r="B91" s="1886"/>
      <c r="C91" s="1886"/>
      <c r="D91" s="1886"/>
      <c r="E91" s="1886"/>
      <c r="F91" s="1886"/>
      <c r="G91" s="1886"/>
      <c r="H91" s="1886"/>
      <c r="I91" s="1886"/>
      <c r="J91" s="1886"/>
      <c r="K91" s="1886"/>
      <c r="L91" s="1886"/>
      <c r="M91" s="1886"/>
      <c r="N91" s="1886"/>
      <c r="O91" s="1886"/>
      <c r="P91" s="1886"/>
      <c r="Q91" s="1886"/>
      <c r="R91" s="1886"/>
      <c r="S91" s="1886"/>
      <c r="T91" s="1886"/>
      <c r="U91" s="1886"/>
      <c r="V91" s="1886"/>
      <c r="W91" s="1886"/>
      <c r="X91" s="1886"/>
    </row>
    <row r="92" spans="1:24" x14ac:dyDescent="0.2">
      <c r="A92" s="1886"/>
      <c r="B92" s="1886"/>
      <c r="C92" s="1886"/>
      <c r="D92" s="1886"/>
      <c r="E92" s="1886"/>
      <c r="F92" s="1886"/>
      <c r="G92" s="1886"/>
      <c r="H92" s="1886"/>
      <c r="I92" s="1886"/>
      <c r="J92" s="1886"/>
      <c r="K92" s="1886"/>
      <c r="L92" s="1886"/>
      <c r="M92" s="1886"/>
      <c r="N92" s="1886"/>
      <c r="O92" s="1886"/>
      <c r="P92" s="1886"/>
      <c r="Q92" s="1886"/>
      <c r="R92" s="1886"/>
      <c r="S92" s="1886"/>
      <c r="T92" s="1886"/>
      <c r="U92" s="1886"/>
      <c r="V92" s="1886"/>
      <c r="W92" s="1886"/>
      <c r="X92" s="1886"/>
    </row>
    <row r="93" spans="1:24" x14ac:dyDescent="0.2">
      <c r="A93" s="1886"/>
      <c r="B93" s="1886"/>
      <c r="C93" s="1886"/>
      <c r="D93" s="1886"/>
      <c r="E93" s="1886"/>
      <c r="F93" s="1886"/>
      <c r="G93" s="1886"/>
      <c r="H93" s="1886"/>
      <c r="I93" s="1886"/>
      <c r="J93" s="1886"/>
      <c r="K93" s="1886"/>
      <c r="L93" s="1886"/>
      <c r="M93" s="1886"/>
      <c r="N93" s="1886"/>
      <c r="O93" s="1886"/>
      <c r="P93" s="1886"/>
      <c r="Q93" s="1886"/>
      <c r="R93" s="1886"/>
      <c r="S93" s="1886"/>
      <c r="T93" s="1886"/>
      <c r="U93" s="1886"/>
      <c r="V93" s="1886"/>
      <c r="W93" s="1886"/>
      <c r="X93" s="1886"/>
    </row>
    <row r="94" spans="1:24" x14ac:dyDescent="0.2">
      <c r="A94" s="1886"/>
      <c r="B94" s="1886"/>
      <c r="C94" s="1886"/>
      <c r="D94" s="1886"/>
      <c r="E94" s="1886"/>
      <c r="F94" s="1886"/>
      <c r="G94" s="1886"/>
      <c r="H94" s="1886"/>
      <c r="I94" s="1886"/>
      <c r="J94" s="1886"/>
      <c r="K94" s="1886"/>
      <c r="L94" s="1886"/>
      <c r="M94" s="1886"/>
      <c r="N94" s="1886"/>
      <c r="O94" s="1886"/>
      <c r="P94" s="1886"/>
      <c r="Q94" s="1886"/>
      <c r="R94" s="1886"/>
      <c r="S94" s="1886"/>
      <c r="T94" s="1886"/>
      <c r="U94" s="1886"/>
      <c r="V94" s="1886"/>
      <c r="W94" s="1886"/>
      <c r="X94" s="1886"/>
    </row>
    <row r="95" spans="1:24" x14ac:dyDescent="0.2">
      <c r="A95" s="1886"/>
      <c r="B95" s="1886"/>
      <c r="C95" s="1886"/>
      <c r="D95" s="1886"/>
      <c r="E95" s="1886"/>
      <c r="F95" s="1886"/>
      <c r="G95" s="1886"/>
      <c r="H95" s="1886"/>
      <c r="I95" s="1886"/>
      <c r="J95" s="1886"/>
      <c r="K95" s="1886"/>
      <c r="L95" s="1886"/>
      <c r="M95" s="1886"/>
      <c r="N95" s="1886"/>
      <c r="O95" s="1886"/>
      <c r="P95" s="1886"/>
      <c r="Q95" s="1886"/>
      <c r="R95" s="1886"/>
      <c r="S95" s="1886"/>
      <c r="T95" s="1886"/>
      <c r="U95" s="1886"/>
      <c r="V95" s="1886"/>
      <c r="W95" s="1886"/>
      <c r="X95" s="1886"/>
    </row>
    <row r="96" spans="1:24" x14ac:dyDescent="0.2">
      <c r="A96" s="1886"/>
      <c r="B96" s="1886"/>
      <c r="C96" s="1886"/>
      <c r="D96" s="1886"/>
      <c r="E96" s="1886"/>
      <c r="F96" s="1886"/>
      <c r="G96" s="1886"/>
      <c r="H96" s="1886"/>
      <c r="I96" s="1886"/>
      <c r="J96" s="1886"/>
      <c r="K96" s="1886"/>
      <c r="L96" s="1886"/>
      <c r="M96" s="1886"/>
      <c r="N96" s="1886"/>
      <c r="O96" s="1886"/>
      <c r="P96" s="1886"/>
      <c r="Q96" s="1886"/>
      <c r="R96" s="1886"/>
      <c r="S96" s="1886"/>
      <c r="T96" s="1886"/>
      <c r="U96" s="1886"/>
      <c r="V96" s="1886"/>
      <c r="W96" s="1886"/>
      <c r="X96" s="1886"/>
    </row>
    <row r="97" spans="1:24" x14ac:dyDescent="0.2">
      <c r="A97" s="1886"/>
      <c r="B97" s="1886"/>
      <c r="C97" s="1886"/>
      <c r="D97" s="1886"/>
      <c r="E97" s="1886"/>
      <c r="F97" s="1886"/>
      <c r="G97" s="1886"/>
      <c r="H97" s="1886"/>
      <c r="I97" s="1886"/>
      <c r="J97" s="1886"/>
      <c r="K97" s="1886"/>
      <c r="L97" s="1886"/>
      <c r="M97" s="1886"/>
      <c r="N97" s="1886"/>
      <c r="O97" s="1886"/>
      <c r="P97" s="1886"/>
      <c r="Q97" s="1886"/>
      <c r="R97" s="1886"/>
      <c r="S97" s="1886"/>
      <c r="T97" s="1886"/>
      <c r="U97" s="1886"/>
      <c r="V97" s="1886"/>
      <c r="W97" s="1886"/>
      <c r="X97" s="1886"/>
    </row>
    <row r="98" spans="1:24" x14ac:dyDescent="0.2">
      <c r="A98" s="1886"/>
      <c r="B98" s="1886"/>
      <c r="C98" s="1886"/>
      <c r="D98" s="1886"/>
      <c r="E98" s="1886"/>
      <c r="F98" s="1886"/>
      <c r="G98" s="1886"/>
      <c r="H98" s="1886"/>
      <c r="I98" s="1886"/>
      <c r="J98" s="1886"/>
      <c r="K98" s="1886"/>
      <c r="L98" s="1886"/>
      <c r="M98" s="1886"/>
      <c r="N98" s="1886"/>
      <c r="O98" s="1886"/>
      <c r="P98" s="1886"/>
      <c r="Q98" s="1886"/>
      <c r="R98" s="1886"/>
      <c r="S98" s="1886"/>
      <c r="T98" s="1886"/>
      <c r="U98" s="1886"/>
      <c r="V98" s="1886"/>
      <c r="W98" s="1886"/>
      <c r="X98" s="1886"/>
    </row>
    <row r="99" spans="1:24" x14ac:dyDescent="0.2">
      <c r="A99" s="1886"/>
      <c r="B99" s="1886"/>
      <c r="C99" s="1886"/>
      <c r="D99" s="1886"/>
      <c r="E99" s="1886"/>
      <c r="F99" s="1886"/>
      <c r="G99" s="1886"/>
      <c r="H99" s="1886"/>
      <c r="I99" s="1886"/>
      <c r="J99" s="1886"/>
      <c r="K99" s="1886"/>
      <c r="L99" s="1886"/>
      <c r="M99" s="1886"/>
      <c r="N99" s="1886"/>
      <c r="O99" s="1886"/>
      <c r="P99" s="1886"/>
      <c r="Q99" s="1886"/>
      <c r="R99" s="1886"/>
      <c r="S99" s="1886"/>
      <c r="T99" s="1886"/>
      <c r="U99" s="1886"/>
      <c r="V99" s="1886"/>
      <c r="W99" s="1886"/>
      <c r="X99" s="1886"/>
    </row>
    <row r="100" spans="1:24"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c r="U100" s="1886"/>
      <c r="V100" s="1886"/>
      <c r="W100" s="1886"/>
      <c r="X100" s="1886"/>
    </row>
    <row r="101" spans="1:24"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c r="U101" s="1886"/>
      <c r="V101" s="1886"/>
      <c r="W101" s="1886"/>
      <c r="X101" s="1886"/>
    </row>
    <row r="102" spans="1:24"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c r="U102" s="1886"/>
      <c r="V102" s="1886"/>
      <c r="W102" s="1886"/>
      <c r="X102" s="1886"/>
    </row>
    <row r="103" spans="1:24"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c r="U103" s="1886"/>
      <c r="V103" s="1886"/>
      <c r="W103" s="1886"/>
      <c r="X103" s="1886"/>
    </row>
    <row r="104" spans="1:24"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c r="U104" s="1886"/>
      <c r="V104" s="1886"/>
      <c r="W104" s="1886"/>
      <c r="X104" s="1886"/>
    </row>
    <row r="105" spans="1:24"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c r="U105" s="1886"/>
      <c r="V105" s="1886"/>
      <c r="W105" s="1886"/>
      <c r="X105" s="1886"/>
    </row>
    <row r="106" spans="1:24"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c r="U106" s="1886"/>
      <c r="V106" s="1886"/>
      <c r="W106" s="1886"/>
      <c r="X106" s="1886"/>
    </row>
    <row r="107" spans="1:24"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c r="U107" s="1886"/>
      <c r="V107" s="1886"/>
      <c r="W107" s="1886"/>
      <c r="X107" s="1886"/>
    </row>
    <row r="108" spans="1:24"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c r="U108" s="1886"/>
      <c r="V108" s="1886"/>
      <c r="W108" s="1886"/>
      <c r="X108" s="1886"/>
    </row>
    <row r="109" spans="1:24"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c r="U109" s="1886"/>
      <c r="V109" s="1886"/>
      <c r="W109" s="1886"/>
      <c r="X109" s="1886"/>
    </row>
    <row r="110" spans="1:24"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c r="U110" s="1886"/>
      <c r="V110" s="1886"/>
      <c r="W110" s="1886"/>
      <c r="X110" s="1886"/>
    </row>
    <row r="111" spans="1:24"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c r="U111" s="1886"/>
      <c r="V111" s="1886"/>
      <c r="W111" s="1886"/>
      <c r="X111" s="1886"/>
    </row>
    <row r="112" spans="1:24"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c r="U112" s="1886"/>
      <c r="V112" s="1886"/>
      <c r="W112" s="1886"/>
      <c r="X112" s="1886"/>
    </row>
    <row r="113" spans="1:24"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c r="U113" s="1886"/>
      <c r="V113" s="1886"/>
      <c r="W113" s="1886"/>
      <c r="X113" s="1886"/>
    </row>
    <row r="114" spans="1:24"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c r="U114" s="1886"/>
      <c r="V114" s="1886"/>
      <c r="W114" s="1886"/>
      <c r="X114" s="1886"/>
    </row>
    <row r="115" spans="1:24"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c r="U115" s="1886"/>
      <c r="V115" s="1886"/>
      <c r="W115" s="1886"/>
      <c r="X115" s="1886"/>
    </row>
    <row r="116" spans="1:24"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c r="U116" s="1886"/>
      <c r="V116" s="1886"/>
      <c r="W116" s="1886"/>
      <c r="X116" s="1886"/>
    </row>
    <row r="117" spans="1:24"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c r="U117" s="1886"/>
      <c r="V117" s="1886"/>
      <c r="W117" s="1886"/>
      <c r="X117" s="1886"/>
    </row>
    <row r="118" spans="1:24"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c r="U118" s="1886"/>
      <c r="V118" s="1886"/>
      <c r="W118" s="1886"/>
      <c r="X118" s="1886"/>
    </row>
    <row r="119" spans="1:24"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c r="U119" s="1886"/>
      <c r="V119" s="1886"/>
      <c r="W119" s="1886"/>
      <c r="X119" s="1886"/>
    </row>
    <row r="120" spans="1:24"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c r="U120" s="1886"/>
      <c r="V120" s="1886"/>
      <c r="W120" s="1886"/>
      <c r="X120" s="1886"/>
    </row>
    <row r="121" spans="1:24" x14ac:dyDescent="0.2">
      <c r="A121" s="1886"/>
      <c r="B121" s="1886"/>
      <c r="C121" s="1886"/>
      <c r="D121" s="1886"/>
      <c r="E121" s="1886"/>
      <c r="F121" s="1886"/>
      <c r="G121" s="1886"/>
      <c r="H121" s="1886"/>
      <c r="I121" s="1886"/>
      <c r="J121" s="1886"/>
      <c r="K121" s="1886"/>
      <c r="L121" s="1886"/>
      <c r="M121" s="1886"/>
      <c r="N121" s="1886"/>
      <c r="O121" s="1886"/>
      <c r="P121" s="1886"/>
      <c r="Q121" s="1886"/>
      <c r="R121" s="1886"/>
      <c r="S121" s="1886"/>
      <c r="T121" s="1886"/>
      <c r="U121" s="1886"/>
      <c r="V121" s="1886"/>
      <c r="W121" s="1886"/>
      <c r="X121" s="1886"/>
    </row>
    <row r="122" spans="1:24" x14ac:dyDescent="0.2">
      <c r="A122" s="1886"/>
      <c r="B122" s="1886"/>
      <c r="C122" s="1886"/>
      <c r="D122" s="1886"/>
      <c r="E122" s="1886"/>
      <c r="F122" s="1886"/>
      <c r="G122" s="1886"/>
      <c r="H122" s="1886"/>
      <c r="I122" s="1886"/>
      <c r="J122" s="1886"/>
      <c r="K122" s="1886"/>
      <c r="L122" s="1886"/>
      <c r="M122" s="1886"/>
      <c r="N122" s="1886"/>
      <c r="O122" s="1886"/>
      <c r="P122" s="1886"/>
      <c r="Q122" s="1886"/>
      <c r="R122" s="1886"/>
      <c r="S122" s="1886"/>
      <c r="T122" s="1886"/>
      <c r="U122" s="1886"/>
      <c r="V122" s="1886"/>
      <c r="W122" s="1886"/>
      <c r="X122" s="1886"/>
    </row>
    <row r="123" spans="1:24" x14ac:dyDescent="0.2">
      <c r="A123" s="1886"/>
      <c r="B123" s="1886"/>
      <c r="C123" s="1886"/>
      <c r="D123" s="1886"/>
      <c r="E123" s="1886"/>
      <c r="F123" s="1886"/>
      <c r="G123" s="1886"/>
      <c r="H123" s="1886"/>
      <c r="I123" s="1886"/>
      <c r="J123" s="1886"/>
      <c r="K123" s="1886"/>
      <c r="L123" s="1886"/>
      <c r="M123" s="1886"/>
      <c r="N123" s="1886"/>
      <c r="O123" s="1886"/>
      <c r="P123" s="1886"/>
      <c r="Q123" s="1886"/>
      <c r="R123" s="1886"/>
      <c r="S123" s="1886"/>
      <c r="T123" s="1886"/>
      <c r="U123" s="1886"/>
      <c r="V123" s="1886"/>
      <c r="W123" s="1886"/>
      <c r="X123" s="1886"/>
    </row>
    <row r="124" spans="1:24" x14ac:dyDescent="0.2">
      <c r="A124" s="1886"/>
      <c r="B124" s="1886"/>
      <c r="C124" s="1886"/>
      <c r="D124" s="1886"/>
      <c r="E124" s="1886"/>
      <c r="F124" s="1886"/>
      <c r="G124" s="1886"/>
      <c r="H124" s="1886"/>
      <c r="I124" s="1886"/>
      <c r="J124" s="1886"/>
      <c r="K124" s="1886"/>
      <c r="L124" s="1886"/>
      <c r="M124" s="1886"/>
      <c r="N124" s="1886"/>
      <c r="O124" s="1886"/>
      <c r="P124" s="1886"/>
      <c r="Q124" s="1886"/>
      <c r="R124" s="1886"/>
      <c r="S124" s="1886"/>
      <c r="T124" s="1886"/>
      <c r="U124" s="1886"/>
      <c r="V124" s="1886"/>
      <c r="W124" s="1886"/>
      <c r="X124" s="1886"/>
    </row>
    <row r="125" spans="1:24" x14ac:dyDescent="0.2">
      <c r="A125" s="1886"/>
      <c r="B125" s="1886"/>
      <c r="C125" s="1886"/>
      <c r="D125" s="1886"/>
      <c r="E125" s="1886"/>
      <c r="F125" s="1886"/>
      <c r="G125" s="1886"/>
      <c r="H125" s="1886"/>
      <c r="I125" s="1886"/>
      <c r="J125" s="1886"/>
      <c r="K125" s="1886"/>
      <c r="L125" s="1886"/>
      <c r="M125" s="1886"/>
      <c r="N125" s="1886"/>
      <c r="O125" s="1886"/>
      <c r="P125" s="1886"/>
      <c r="Q125" s="1886"/>
      <c r="R125" s="1886"/>
      <c r="S125" s="1886"/>
      <c r="T125" s="1886"/>
      <c r="U125" s="1886"/>
      <c r="V125" s="1886"/>
      <c r="W125" s="1886"/>
      <c r="X125" s="1886"/>
    </row>
    <row r="126" spans="1:24" x14ac:dyDescent="0.2">
      <c r="A126" s="1886"/>
      <c r="B126" s="1886"/>
      <c r="C126" s="1886"/>
      <c r="D126" s="1886"/>
      <c r="E126" s="1886"/>
      <c r="F126" s="1886"/>
      <c r="G126" s="1886"/>
      <c r="H126" s="1886"/>
      <c r="I126" s="1886"/>
      <c r="J126" s="1886"/>
      <c r="K126" s="1886"/>
      <c r="L126" s="1886"/>
      <c r="M126" s="1886"/>
      <c r="N126" s="1886"/>
      <c r="O126" s="1886"/>
      <c r="P126" s="1886"/>
      <c r="Q126" s="1886"/>
      <c r="R126" s="1886"/>
      <c r="S126" s="1886"/>
      <c r="T126" s="1886"/>
      <c r="U126" s="1886"/>
      <c r="V126" s="1886"/>
      <c r="W126" s="1886"/>
      <c r="X126" s="1886"/>
    </row>
    <row r="127" spans="1:24" x14ac:dyDescent="0.2">
      <c r="A127" s="1886"/>
      <c r="B127" s="1886"/>
      <c r="C127" s="1886"/>
      <c r="D127" s="1886"/>
      <c r="E127" s="1886"/>
      <c r="F127" s="1886"/>
      <c r="G127" s="1886"/>
      <c r="H127" s="1886"/>
      <c r="I127" s="1886"/>
      <c r="J127" s="1886"/>
      <c r="K127" s="1886"/>
      <c r="L127" s="1886"/>
      <c r="M127" s="1886"/>
      <c r="N127" s="1886"/>
      <c r="O127" s="1886"/>
      <c r="P127" s="1886"/>
      <c r="Q127" s="1886"/>
      <c r="R127" s="1886"/>
      <c r="S127" s="1886"/>
      <c r="T127" s="1886"/>
      <c r="U127" s="1886"/>
      <c r="V127" s="1886"/>
      <c r="W127" s="1886"/>
      <c r="X127" s="1886"/>
    </row>
    <row r="128" spans="1:24" x14ac:dyDescent="0.2">
      <c r="A128" s="1886"/>
      <c r="B128" s="1886"/>
      <c r="C128" s="1886"/>
      <c r="D128" s="1886"/>
      <c r="E128" s="1886"/>
      <c r="F128" s="1886"/>
      <c r="G128" s="1886"/>
      <c r="H128" s="1886"/>
      <c r="I128" s="1886"/>
      <c r="J128" s="1886"/>
      <c r="K128" s="1886"/>
      <c r="L128" s="1886"/>
      <c r="M128" s="1886"/>
      <c r="N128" s="1886"/>
      <c r="O128" s="1886"/>
      <c r="P128" s="1886"/>
      <c r="Q128" s="1886"/>
      <c r="R128" s="1886"/>
      <c r="S128" s="1886"/>
      <c r="T128" s="1886"/>
      <c r="U128" s="1886"/>
      <c r="V128" s="1886"/>
      <c r="W128" s="1886"/>
      <c r="X128" s="1886"/>
    </row>
    <row r="129" spans="1:24" x14ac:dyDescent="0.2">
      <c r="A129" s="1886"/>
      <c r="B129" s="1886"/>
      <c r="C129" s="1886"/>
      <c r="D129" s="1886"/>
      <c r="E129" s="1886"/>
      <c r="F129" s="1886"/>
      <c r="G129" s="1886"/>
      <c r="H129" s="1886"/>
      <c r="I129" s="1886"/>
      <c r="J129" s="1886"/>
      <c r="K129" s="1886"/>
      <c r="L129" s="1886"/>
      <c r="M129" s="1886"/>
      <c r="N129" s="1886"/>
      <c r="O129" s="1886"/>
      <c r="P129" s="1886"/>
      <c r="Q129" s="1886"/>
      <c r="R129" s="1886"/>
      <c r="S129" s="1886"/>
      <c r="T129" s="1886"/>
      <c r="U129" s="1886"/>
      <c r="V129" s="1886"/>
      <c r="W129" s="1886"/>
      <c r="X129" s="1886"/>
    </row>
    <row r="130" spans="1:24" x14ac:dyDescent="0.2">
      <c r="A130" s="1886"/>
      <c r="B130" s="1886"/>
      <c r="C130" s="1886"/>
      <c r="D130" s="1886"/>
      <c r="E130" s="1886"/>
      <c r="F130" s="1886"/>
      <c r="G130" s="1886"/>
      <c r="H130" s="1886"/>
      <c r="I130" s="1886"/>
      <c r="J130" s="1886"/>
      <c r="K130" s="1886"/>
      <c r="L130" s="1886"/>
      <c r="M130" s="1886"/>
      <c r="N130" s="1886"/>
      <c r="O130" s="1886"/>
      <c r="P130" s="1886"/>
      <c r="Q130" s="1886"/>
      <c r="R130" s="1886"/>
      <c r="S130" s="1886"/>
      <c r="T130" s="1886"/>
      <c r="U130" s="1886"/>
      <c r="V130" s="1886"/>
      <c r="W130" s="1886"/>
      <c r="X130" s="1886"/>
    </row>
    <row r="131" spans="1:24" x14ac:dyDescent="0.2">
      <c r="A131" s="1886"/>
      <c r="B131" s="1886"/>
      <c r="C131" s="1886"/>
      <c r="D131" s="1886"/>
      <c r="E131" s="1886"/>
      <c r="F131" s="1886"/>
      <c r="G131" s="1886"/>
      <c r="H131" s="1886"/>
      <c r="I131" s="1886"/>
      <c r="J131" s="1886"/>
      <c r="K131" s="1886"/>
      <c r="L131" s="1886"/>
      <c r="M131" s="1886"/>
      <c r="N131" s="1886"/>
      <c r="O131" s="1886"/>
      <c r="P131" s="1886"/>
      <c r="Q131" s="1886"/>
      <c r="R131" s="1886"/>
      <c r="S131" s="1886"/>
      <c r="T131" s="1886"/>
      <c r="U131" s="1886"/>
      <c r="V131" s="1886"/>
      <c r="W131" s="1886"/>
      <c r="X131" s="1886"/>
    </row>
    <row r="132" spans="1:24" x14ac:dyDescent="0.2">
      <c r="A132" s="1886"/>
      <c r="B132" s="1886"/>
      <c r="C132" s="1886"/>
      <c r="D132" s="1886"/>
      <c r="E132" s="1886"/>
      <c r="F132" s="1886"/>
      <c r="G132" s="1886"/>
      <c r="H132" s="1886"/>
      <c r="I132" s="1886"/>
      <c r="J132" s="1886"/>
      <c r="K132" s="1886"/>
      <c r="L132" s="1886"/>
      <c r="M132" s="1886"/>
      <c r="N132" s="1886"/>
      <c r="O132" s="1886"/>
      <c r="P132" s="1886"/>
      <c r="Q132" s="1886"/>
      <c r="R132" s="1886"/>
      <c r="S132" s="1886"/>
      <c r="T132" s="1886"/>
      <c r="U132" s="1886"/>
      <c r="V132" s="1886"/>
      <c r="W132" s="1886"/>
      <c r="X132" s="1886"/>
    </row>
    <row r="133" spans="1:24" x14ac:dyDescent="0.2">
      <c r="A133" s="1886"/>
      <c r="B133" s="1886"/>
      <c r="C133" s="1886"/>
      <c r="D133" s="1886"/>
      <c r="E133" s="1886"/>
      <c r="F133" s="1886"/>
      <c r="G133" s="1886"/>
      <c r="H133" s="1886"/>
      <c r="I133" s="1886"/>
      <c r="J133" s="1886"/>
      <c r="K133" s="1886"/>
      <c r="L133" s="1886"/>
      <c r="M133" s="1886"/>
      <c r="N133" s="1886"/>
      <c r="T133" s="1886"/>
      <c r="U133" s="1886"/>
      <c r="V133" s="1886"/>
      <c r="W133" s="1886"/>
      <c r="X133" s="1886"/>
    </row>
    <row r="134" spans="1:24" x14ac:dyDescent="0.2">
      <c r="A134" s="1886"/>
      <c r="B134" s="1886"/>
      <c r="C134" s="1886"/>
      <c r="D134" s="1886"/>
      <c r="E134" s="1886"/>
      <c r="F134" s="1886"/>
      <c r="G134" s="1886"/>
      <c r="H134" s="1886"/>
      <c r="I134" s="1886"/>
      <c r="J134" s="1886"/>
      <c r="K134" s="1886"/>
      <c r="L134" s="1886"/>
      <c r="M134" s="1886"/>
      <c r="N134" s="1886"/>
      <c r="T134" s="1886"/>
      <c r="U134" s="1886"/>
      <c r="V134" s="1886"/>
      <c r="W134" s="1886"/>
      <c r="X134" s="1886"/>
    </row>
    <row r="135" spans="1:24" x14ac:dyDescent="0.2">
      <c r="A135" s="1886"/>
      <c r="B135" s="1886"/>
      <c r="C135" s="1886"/>
      <c r="D135" s="1886"/>
      <c r="E135" s="1886"/>
      <c r="F135" s="1886"/>
      <c r="G135" s="1886"/>
      <c r="H135" s="1886"/>
      <c r="I135" s="1886"/>
      <c r="J135" s="1886"/>
      <c r="K135" s="1886"/>
      <c r="L135" s="1886"/>
      <c r="M135" s="1886"/>
      <c r="N135" s="1886"/>
      <c r="T135" s="1886"/>
      <c r="U135" s="1886"/>
      <c r="V135" s="1886"/>
      <c r="W135" s="1886"/>
      <c r="X135" s="1886"/>
    </row>
    <row r="136" spans="1:24" x14ac:dyDescent="0.2">
      <c r="A136" s="1886"/>
      <c r="B136" s="1886"/>
      <c r="C136" s="1886"/>
      <c r="D136" s="1886"/>
      <c r="E136" s="1886"/>
      <c r="F136" s="1886"/>
      <c r="G136" s="1886"/>
      <c r="H136" s="1886"/>
      <c r="I136" s="1886"/>
      <c r="J136" s="1886"/>
      <c r="K136" s="1886"/>
      <c r="L136" s="1886"/>
      <c r="M136" s="1886"/>
      <c r="N136" s="1886"/>
      <c r="T136" s="1886"/>
      <c r="U136" s="1886"/>
      <c r="V136" s="1886"/>
      <c r="W136" s="1886"/>
      <c r="X136" s="1886"/>
    </row>
    <row r="137" spans="1:24" x14ac:dyDescent="0.2">
      <c r="A137" s="1886"/>
      <c r="B137" s="1886"/>
      <c r="C137" s="1886"/>
      <c r="D137" s="1886"/>
      <c r="E137" s="1886"/>
      <c r="F137" s="1886"/>
      <c r="G137" s="1886"/>
      <c r="H137" s="1886"/>
      <c r="I137" s="1886"/>
      <c r="J137" s="1886"/>
      <c r="K137" s="1886"/>
      <c r="L137" s="1886"/>
      <c r="M137" s="1886"/>
      <c r="N137" s="1886"/>
      <c r="T137" s="1886"/>
      <c r="U137" s="1886"/>
      <c r="V137" s="1886"/>
      <c r="W137" s="1886"/>
      <c r="X137" s="1886"/>
    </row>
    <row r="138" spans="1:24" x14ac:dyDescent="0.2">
      <c r="A138" s="1886"/>
      <c r="B138" s="1886"/>
      <c r="C138" s="1886"/>
      <c r="D138" s="1886"/>
      <c r="E138" s="1886"/>
      <c r="F138" s="1886"/>
      <c r="G138" s="1886"/>
      <c r="H138" s="1886"/>
      <c r="I138" s="1886"/>
      <c r="J138" s="1886"/>
      <c r="K138" s="1886"/>
      <c r="L138" s="1886"/>
      <c r="M138" s="1886"/>
      <c r="N138" s="1886"/>
      <c r="T138" s="1886"/>
      <c r="U138" s="1886"/>
      <c r="V138" s="1886"/>
      <c r="W138" s="1886"/>
      <c r="X138" s="1886"/>
    </row>
    <row r="139" spans="1:24" x14ac:dyDescent="0.2">
      <c r="A139" s="1886"/>
      <c r="B139" s="1886"/>
      <c r="C139" s="1886"/>
      <c r="D139" s="1886"/>
      <c r="E139" s="1886"/>
      <c r="F139" s="1886"/>
      <c r="G139" s="1886"/>
      <c r="H139" s="1886"/>
      <c r="I139" s="1886"/>
      <c r="J139" s="1886"/>
      <c r="K139" s="1886"/>
      <c r="L139" s="1886"/>
      <c r="M139" s="1886"/>
      <c r="N139" s="1886"/>
      <c r="T139" s="1886"/>
      <c r="U139" s="1886"/>
      <c r="V139" s="1886"/>
      <c r="W139" s="1886"/>
      <c r="X139" s="1886"/>
    </row>
    <row r="140" spans="1:24" x14ac:dyDescent="0.2">
      <c r="A140" s="1886"/>
      <c r="B140" s="1886"/>
      <c r="C140" s="1886"/>
      <c r="D140" s="1886"/>
      <c r="E140" s="1886"/>
      <c r="F140" s="1886"/>
      <c r="G140" s="1886"/>
      <c r="H140" s="1886"/>
      <c r="I140" s="1886"/>
      <c r="J140" s="1886"/>
      <c r="K140" s="1886"/>
      <c r="L140" s="1886"/>
      <c r="M140" s="1886"/>
      <c r="N140" s="1886"/>
      <c r="T140" s="1886"/>
      <c r="U140" s="1886"/>
      <c r="V140" s="1886"/>
      <c r="W140" s="1886"/>
      <c r="X140" s="1886"/>
    </row>
    <row r="141" spans="1:24" x14ac:dyDescent="0.2">
      <c r="A141" s="1886"/>
      <c r="B141" s="1886"/>
      <c r="C141" s="1886"/>
      <c r="D141" s="1886"/>
      <c r="E141" s="1886"/>
      <c r="F141" s="1886"/>
      <c r="G141" s="1886"/>
      <c r="H141" s="1886"/>
      <c r="I141" s="1886"/>
      <c r="J141" s="1886"/>
      <c r="K141" s="1886"/>
      <c r="L141" s="1886"/>
      <c r="M141" s="1886"/>
      <c r="N141" s="1886"/>
      <c r="T141" s="1886"/>
      <c r="U141" s="1886"/>
      <c r="V141" s="1886"/>
      <c r="W141" s="1886"/>
      <c r="X141" s="1886"/>
    </row>
    <row r="142" spans="1:24" x14ac:dyDescent="0.2">
      <c r="A142" s="1886"/>
      <c r="B142" s="1886"/>
      <c r="C142" s="1886"/>
      <c r="D142" s="1886"/>
      <c r="E142" s="1886"/>
      <c r="F142" s="1886"/>
      <c r="G142" s="1886"/>
      <c r="H142" s="1886"/>
      <c r="I142" s="1886"/>
      <c r="J142" s="1886"/>
      <c r="K142" s="1886"/>
      <c r="L142" s="1886"/>
      <c r="M142" s="1886"/>
      <c r="N142" s="1886"/>
      <c r="T142" s="1886"/>
      <c r="U142" s="1886"/>
      <c r="V142" s="1886"/>
      <c r="W142" s="1886"/>
      <c r="X142" s="1886"/>
    </row>
    <row r="143" spans="1:24" x14ac:dyDescent="0.2">
      <c r="A143" s="1886"/>
      <c r="B143" s="1886"/>
      <c r="C143" s="1886"/>
      <c r="D143" s="1886"/>
      <c r="E143" s="1886"/>
      <c r="F143" s="1886"/>
      <c r="G143" s="1886"/>
      <c r="H143" s="1886"/>
      <c r="I143" s="1886"/>
      <c r="J143" s="1886"/>
      <c r="K143" s="1886"/>
      <c r="L143" s="1886"/>
      <c r="M143" s="1886"/>
      <c r="N143" s="1886"/>
      <c r="T143" s="1886"/>
      <c r="U143" s="1886"/>
      <c r="V143" s="1886"/>
      <c r="W143" s="1886"/>
      <c r="X143" s="1886"/>
    </row>
    <row r="144" spans="1:24" x14ac:dyDescent="0.2">
      <c r="A144" s="1886"/>
      <c r="B144" s="1886"/>
      <c r="C144" s="1886"/>
      <c r="D144" s="1886"/>
      <c r="E144" s="1886"/>
      <c r="F144" s="1886"/>
      <c r="G144" s="1886"/>
      <c r="H144" s="1886"/>
      <c r="I144" s="1886"/>
      <c r="J144" s="1886"/>
      <c r="K144" s="1886"/>
      <c r="L144" s="1886"/>
      <c r="M144" s="1886"/>
      <c r="N144" s="1886"/>
      <c r="T144" s="1886"/>
      <c r="U144" s="1886"/>
      <c r="V144" s="1886"/>
      <c r="W144" s="1886"/>
      <c r="X144" s="1886"/>
    </row>
  </sheetData>
  <sheetProtection selectLockedCells="1" selectUnlockedCells="1"/>
  <mergeCells count="4">
    <mergeCell ref="O12:S13"/>
    <mergeCell ref="P26:V26"/>
    <mergeCell ref="B34:D34"/>
    <mergeCell ref="B35:D35"/>
  </mergeCells>
  <pageMargins left="0.78740157499999996" right="0.78740157499999996" top="0.984251969" bottom="0.984251969" header="0.4921259845" footer="0.4921259845"/>
  <pageSetup paperSize="9" orientation="portrait" r:id="rId1"/>
  <headerFooter alignWithMargins="0"/>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8A3D9-4869-4B3D-944E-BFA63F15DE31}">
  <dimension ref="A1:X162"/>
  <sheetViews>
    <sheetView showGridLines="0" zoomScale="90" zoomScaleNormal="90" workbookViewId="0">
      <selection activeCell="L13" sqref="L13"/>
    </sheetView>
  </sheetViews>
  <sheetFormatPr defaultColWidth="11.42578125" defaultRowHeight="12.75" x14ac:dyDescent="0.2"/>
  <cols>
    <col min="1" max="1" width="13.42578125" style="1842" customWidth="1"/>
    <col min="2" max="2" width="45.85546875" style="1842" customWidth="1"/>
    <col min="3" max="3" width="11.42578125" style="1842" customWidth="1"/>
    <col min="4" max="4" width="12.140625" style="1842" customWidth="1"/>
    <col min="5" max="5" width="15.85546875" style="1842" customWidth="1"/>
    <col min="6" max="6" width="1.42578125" style="2223" customWidth="1"/>
    <col min="7" max="13" width="14" style="1842" customWidth="1"/>
    <col min="14" max="16384" width="11.42578125" style="1842"/>
  </cols>
  <sheetData>
    <row r="1" spans="1:24" ht="39.950000000000003" customHeight="1" x14ac:dyDescent="0.25">
      <c r="A1" s="2010" t="s">
        <v>1189</v>
      </c>
      <c r="B1" s="2130"/>
      <c r="C1" s="2130"/>
      <c r="D1" s="1886"/>
      <c r="E1" s="1886"/>
      <c r="F1" s="2131"/>
      <c r="G1" s="2012"/>
      <c r="H1" s="2012"/>
      <c r="I1" s="2012"/>
      <c r="J1" s="1886"/>
      <c r="K1" s="1886"/>
      <c r="L1" s="1886"/>
      <c r="M1" s="1886"/>
      <c r="N1" s="1886"/>
      <c r="O1" s="2132"/>
      <c r="P1" s="1886"/>
      <c r="Q1" s="1886"/>
      <c r="R1" s="1886"/>
      <c r="S1" s="1886"/>
      <c r="T1" s="1886"/>
      <c r="U1" s="1886"/>
      <c r="V1" s="1886"/>
      <c r="W1" s="1886"/>
      <c r="X1" s="1886"/>
    </row>
    <row r="2" spans="1:24" ht="18" x14ac:dyDescent="0.25">
      <c r="A2" s="2133"/>
      <c r="B2" s="1886"/>
      <c r="C2" s="1886"/>
      <c r="D2" s="1886"/>
      <c r="E2" s="1886"/>
      <c r="F2" s="2131"/>
      <c r="G2" s="2012"/>
      <c r="H2" s="2012"/>
      <c r="I2" s="2012"/>
      <c r="J2" s="1886"/>
      <c r="K2" s="1886"/>
      <c r="L2" s="1886"/>
      <c r="M2" s="1886"/>
      <c r="N2" s="1886"/>
      <c r="O2" s="2132"/>
      <c r="P2" s="1886"/>
      <c r="Q2" s="1886"/>
      <c r="R2" s="1886"/>
      <c r="S2" s="1886"/>
      <c r="T2" s="1886"/>
      <c r="U2" s="1886"/>
      <c r="V2" s="1886"/>
      <c r="W2" s="1886"/>
      <c r="X2" s="1886"/>
    </row>
    <row r="3" spans="1:24" ht="14.25" x14ac:dyDescent="0.25">
      <c r="A3" s="1893" t="s">
        <v>1190</v>
      </c>
      <c r="B3" s="1894"/>
      <c r="C3" s="1894"/>
      <c r="D3" s="1894"/>
      <c r="E3" s="2134"/>
      <c r="F3" s="2134"/>
      <c r="G3" s="1894"/>
      <c r="H3" s="1894"/>
      <c r="I3" s="1894"/>
      <c r="J3" s="1894"/>
      <c r="K3" s="1894"/>
      <c r="L3" s="1894"/>
      <c r="M3" s="1894"/>
      <c r="N3" s="1886"/>
      <c r="O3" s="1886"/>
      <c r="P3" s="1886"/>
      <c r="Q3" s="1886"/>
      <c r="R3" s="1886"/>
      <c r="S3" s="1886"/>
      <c r="T3" s="1886"/>
      <c r="U3" s="1886"/>
      <c r="V3" s="1886"/>
      <c r="W3" s="1886"/>
      <c r="X3" s="1886"/>
    </row>
    <row r="4" spans="1:24" ht="14.25" x14ac:dyDescent="0.2">
      <c r="A4" s="1900" t="s">
        <v>1191</v>
      </c>
      <c r="B4" s="1911"/>
      <c r="C4" s="1911"/>
      <c r="D4" s="1911"/>
      <c r="E4" s="1911"/>
      <c r="F4" s="1911"/>
      <c r="G4" s="1911"/>
      <c r="H4" s="1911"/>
      <c r="I4" s="1911"/>
      <c r="J4" s="2135"/>
      <c r="K4" s="1911"/>
      <c r="L4" s="1911"/>
      <c r="M4" s="1911"/>
      <c r="N4" s="2136"/>
      <c r="O4" s="1886"/>
      <c r="P4" s="1886"/>
      <c r="Q4" s="1886"/>
      <c r="R4" s="1886"/>
      <c r="S4" s="1886"/>
      <c r="T4" s="1886"/>
      <c r="U4" s="1886"/>
      <c r="V4" s="1886"/>
      <c r="W4" s="1886"/>
      <c r="X4" s="1886"/>
    </row>
    <row r="5" spans="1:24" ht="39" customHeight="1" x14ac:dyDescent="0.2">
      <c r="A5" s="2135"/>
      <c r="B5" s="1911"/>
      <c r="C5" s="1911"/>
      <c r="D5" s="1911"/>
      <c r="E5" s="2075" t="str">
        <f>+'CO2 - Reciclagem'!E8</f>
        <v>Cenário-Base</v>
      </c>
      <c r="F5" s="2135"/>
      <c r="G5" s="2137" t="str">
        <f>+'CO2 - Reciclagem'!G8</f>
        <v>Biodigestão RT1A + CDR TM</v>
      </c>
      <c r="H5" s="2137" t="str">
        <f>+'CO2 - Reciclagem'!H8</f>
        <v>Biodigestão RT1B + CDR TM</v>
      </c>
      <c r="I5" s="2137" t="str">
        <f>+'CO2 - Reciclagem'!I8</f>
        <v>Biodigestão RT1C + CDR TM</v>
      </c>
      <c r="J5" s="2137" t="str">
        <f>+'CO2 - Reciclagem'!J8</f>
        <v>Compostagem + CDR TM</v>
      </c>
      <c r="K5" s="2137" t="str">
        <f>+'CO2 - Reciclagem'!K8</f>
        <v xml:space="preserve">Biosecagem + CDR TMB </v>
      </c>
      <c r="L5" s="2137" t="str">
        <f>+'CO2 - Reciclagem'!L8</f>
        <v>Incineração Mass Burning</v>
      </c>
      <c r="M5" s="2137" t="str">
        <f>+'CO2 - Reciclagem'!M8</f>
        <v>Incineração Mass Burn. Descentralizada</v>
      </c>
      <c r="N5" s="2136"/>
      <c r="O5" s="2138"/>
      <c r="P5" s="1886"/>
      <c r="Q5" s="1886"/>
      <c r="R5" s="1886"/>
      <c r="S5" s="1886"/>
      <c r="T5" s="1886"/>
      <c r="U5" s="1886"/>
      <c r="V5" s="1886"/>
      <c r="W5" s="1886"/>
      <c r="X5" s="1886"/>
    </row>
    <row r="6" spans="1:24" ht="18" customHeight="1" x14ac:dyDescent="0.2">
      <c r="A6" s="2139"/>
      <c r="B6" s="1957" t="s">
        <v>1192</v>
      </c>
      <c r="C6" s="1913"/>
      <c r="D6" s="1913"/>
      <c r="E6" s="2140" t="s">
        <v>1162</v>
      </c>
      <c r="F6" s="2074"/>
      <c r="G6" s="2140" t="s">
        <v>1162</v>
      </c>
      <c r="H6" s="2140" t="s">
        <v>1162</v>
      </c>
      <c r="I6" s="2140" t="s">
        <v>1162</v>
      </c>
      <c r="J6" s="2140" t="s">
        <v>1162</v>
      </c>
      <c r="K6" s="2140" t="s">
        <v>1162</v>
      </c>
      <c r="L6" s="2140" t="s">
        <v>1162</v>
      </c>
      <c r="M6" s="2140" t="s">
        <v>1162</v>
      </c>
      <c r="N6" s="2141"/>
      <c r="O6" s="2142"/>
      <c r="P6" s="1886"/>
      <c r="Q6" s="1886"/>
      <c r="R6" s="1886"/>
      <c r="S6" s="1886"/>
      <c r="T6" s="1886"/>
      <c r="U6" s="1886"/>
      <c r="V6" s="1886"/>
      <c r="W6" s="1886"/>
      <c r="X6" s="1886"/>
    </row>
    <row r="7" spans="1:24" ht="18" customHeight="1" x14ac:dyDescent="0.2">
      <c r="A7" s="2953" t="s">
        <v>1193</v>
      </c>
      <c r="B7" s="2143" t="s">
        <v>1194</v>
      </c>
      <c r="C7" s="1904"/>
      <c r="D7" s="1905"/>
      <c r="E7" s="1966"/>
      <c r="F7" s="2144"/>
      <c r="G7" s="1966"/>
      <c r="H7" s="1966"/>
      <c r="I7" s="1966"/>
      <c r="J7" s="1966"/>
      <c r="K7" s="1966"/>
      <c r="L7" s="1966"/>
      <c r="M7" s="1966"/>
      <c r="N7" s="1980"/>
      <c r="O7" s="1886"/>
      <c r="P7" s="1886"/>
      <c r="Q7" s="1886"/>
      <c r="R7" s="1886"/>
      <c r="S7" s="1886"/>
      <c r="T7" s="1886"/>
      <c r="U7" s="1886"/>
      <c r="V7" s="1886"/>
      <c r="W7" s="1886"/>
      <c r="X7" s="1886"/>
    </row>
    <row r="8" spans="1:24" ht="18" customHeight="1" x14ac:dyDescent="0.2">
      <c r="A8" s="2954"/>
      <c r="B8" s="2145" t="s">
        <v>1195</v>
      </c>
      <c r="C8" s="2146"/>
      <c r="D8" s="2147"/>
      <c r="E8" s="2148"/>
      <c r="F8" s="2144"/>
      <c r="G8" s="2148"/>
      <c r="H8" s="2148"/>
      <c r="I8" s="2148"/>
      <c r="J8" s="2148"/>
      <c r="K8" s="2148"/>
      <c r="L8" s="2148"/>
      <c r="M8" s="2148"/>
      <c r="N8" s="1886"/>
      <c r="O8" s="1886"/>
      <c r="P8" s="1886"/>
      <c r="Q8" s="1886"/>
      <c r="R8" s="1886"/>
      <c r="S8" s="1886"/>
      <c r="T8" s="1886"/>
      <c r="U8" s="1886"/>
      <c r="V8" s="1886"/>
      <c r="W8" s="1886"/>
      <c r="X8" s="1886"/>
    </row>
    <row r="9" spans="1:24" ht="18" customHeight="1" x14ac:dyDescent="0.2">
      <c r="A9" s="2149"/>
      <c r="B9" s="1900"/>
      <c r="C9" s="2150"/>
      <c r="D9" s="1911"/>
      <c r="E9" s="2151"/>
      <c r="F9" s="2144"/>
      <c r="G9" s="2151"/>
      <c r="H9" s="2151"/>
      <c r="I9" s="2151"/>
      <c r="J9" s="2151"/>
      <c r="K9" s="2151"/>
      <c r="L9" s="2151"/>
      <c r="M9" s="2151"/>
      <c r="N9" s="1886"/>
      <c r="O9" s="1886"/>
      <c r="P9" s="1886"/>
      <c r="Q9" s="1886"/>
      <c r="R9" s="1886"/>
      <c r="S9" s="1886"/>
      <c r="T9" s="1886"/>
      <c r="U9" s="1886"/>
      <c r="V9" s="1886"/>
      <c r="W9" s="1886"/>
      <c r="X9" s="1886"/>
    </row>
    <row r="10" spans="1:24" ht="18" customHeight="1" x14ac:dyDescent="0.2">
      <c r="A10" s="2955" t="s">
        <v>1196</v>
      </c>
      <c r="B10" s="2077" t="s">
        <v>1197</v>
      </c>
      <c r="C10" s="1904"/>
      <c r="D10" s="1905"/>
      <c r="E10" s="2148">
        <v>0</v>
      </c>
      <c r="F10" s="2144"/>
      <c r="G10" s="2148"/>
      <c r="H10" s="2148"/>
      <c r="I10" s="2148"/>
      <c r="J10" s="2148"/>
      <c r="K10" s="2148"/>
      <c r="L10" s="2148"/>
      <c r="M10" s="2148"/>
      <c r="N10" s="1980"/>
      <c r="O10" s="2152"/>
      <c r="P10" s="1886"/>
      <c r="Q10" s="1886"/>
      <c r="R10" s="1886"/>
      <c r="S10" s="1886"/>
      <c r="T10" s="1886"/>
      <c r="U10" s="1886"/>
      <c r="V10" s="1886"/>
      <c r="W10" s="1886"/>
      <c r="X10" s="1886"/>
    </row>
    <row r="11" spans="1:24" ht="18" customHeight="1" x14ac:dyDescent="0.2">
      <c r="A11" s="2955"/>
      <c r="B11" s="2077" t="s">
        <v>1198</v>
      </c>
      <c r="C11" s="2153"/>
      <c r="D11" s="1905"/>
      <c r="E11" s="2148">
        <v>0</v>
      </c>
      <c r="F11" s="2144"/>
      <c r="G11" s="2148">
        <v>0</v>
      </c>
      <c r="H11" s="2148">
        <v>0</v>
      </c>
      <c r="I11" s="2148">
        <v>0</v>
      </c>
      <c r="J11" s="2148">
        <v>0</v>
      </c>
      <c r="K11" s="2148">
        <v>0.3</v>
      </c>
      <c r="L11" s="2148">
        <v>0.15</v>
      </c>
      <c r="M11" s="2148">
        <v>0.15</v>
      </c>
      <c r="N11" s="1886"/>
      <c r="O11" s="1886"/>
      <c r="P11" s="1886"/>
      <c r="Q11" s="1886"/>
      <c r="R11" s="1886"/>
      <c r="S11" s="1886"/>
      <c r="T11" s="1886"/>
      <c r="U11" s="1886"/>
      <c r="V11" s="1886"/>
      <c r="W11" s="1886"/>
      <c r="X11" s="1886"/>
    </row>
    <row r="12" spans="1:24" ht="18" customHeight="1" x14ac:dyDescent="0.2">
      <c r="A12" s="2956"/>
      <c r="B12" s="2077" t="s">
        <v>1199</v>
      </c>
      <c r="C12" s="1904"/>
      <c r="D12" s="1905"/>
      <c r="E12" s="2148">
        <v>1</v>
      </c>
      <c r="F12" s="2144"/>
      <c r="G12" s="1966">
        <v>0.35</v>
      </c>
      <c r="H12" s="1966">
        <v>0.35</v>
      </c>
      <c r="I12" s="1966">
        <v>0.35</v>
      </c>
      <c r="J12" s="1966">
        <v>0.375</v>
      </c>
      <c r="K12" s="1966"/>
      <c r="L12" s="1966"/>
      <c r="M12" s="1966"/>
      <c r="N12" s="1886"/>
      <c r="O12" s="1886"/>
      <c r="P12" s="1886"/>
      <c r="Q12" s="1886"/>
      <c r="R12" s="1886"/>
      <c r="S12" s="1886"/>
      <c r="T12" s="1886"/>
      <c r="U12" s="1886"/>
      <c r="V12" s="1886"/>
      <c r="W12" s="1886"/>
      <c r="X12" s="1886"/>
    </row>
    <row r="13" spans="1:24" ht="18" customHeight="1" x14ac:dyDescent="0.2">
      <c r="A13" s="2957" t="s">
        <v>1200</v>
      </c>
      <c r="B13" s="2154"/>
      <c r="C13" s="2155"/>
      <c r="D13" s="2156" t="s">
        <v>1201</v>
      </c>
      <c r="E13" s="2151"/>
      <c r="F13" s="2144"/>
      <c r="G13" s="2151"/>
      <c r="H13" s="2151"/>
      <c r="I13" s="2151"/>
      <c r="J13" s="2151"/>
      <c r="K13" s="2151"/>
      <c r="L13" s="2151"/>
      <c r="M13" s="2151"/>
      <c r="N13" s="1886"/>
      <c r="O13" s="2157"/>
      <c r="P13" s="1886"/>
      <c r="Q13" s="1886"/>
      <c r="R13" s="1886"/>
      <c r="S13" s="1886"/>
      <c r="T13" s="1886"/>
      <c r="U13" s="1886"/>
      <c r="V13" s="1886"/>
      <c r="W13" s="1886"/>
      <c r="X13" s="1886"/>
    </row>
    <row r="14" spans="1:24" ht="18" customHeight="1" x14ac:dyDescent="0.2">
      <c r="A14" s="2955"/>
      <c r="B14" s="2158" t="s">
        <v>1202</v>
      </c>
      <c r="C14" s="2159"/>
      <c r="D14" s="2160" t="s">
        <v>1203</v>
      </c>
      <c r="E14" s="2148"/>
      <c r="F14" s="2144"/>
      <c r="G14" s="2148"/>
      <c r="H14" s="2148"/>
      <c r="I14" s="2148"/>
      <c r="J14" s="2148">
        <v>0.625</v>
      </c>
      <c r="K14" s="2148"/>
      <c r="L14" s="2148"/>
      <c r="M14" s="2148"/>
      <c r="N14" s="1980"/>
      <c r="O14" s="2161"/>
      <c r="P14" s="2161"/>
      <c r="Q14" s="1886"/>
      <c r="R14" s="1886"/>
      <c r="S14" s="1886"/>
      <c r="T14" s="1886"/>
      <c r="U14" s="1886"/>
      <c r="V14" s="1886"/>
      <c r="W14" s="1886"/>
      <c r="X14" s="1886"/>
    </row>
    <row r="15" spans="1:24" ht="18" customHeight="1" x14ac:dyDescent="0.2">
      <c r="A15" s="2955"/>
      <c r="B15" s="2077" t="s">
        <v>1204</v>
      </c>
      <c r="C15" s="2162"/>
      <c r="D15" s="2163"/>
      <c r="E15" s="2148"/>
      <c r="F15" s="2144"/>
      <c r="G15" s="2148">
        <v>0.125</v>
      </c>
      <c r="H15" s="2148">
        <v>0.125</v>
      </c>
      <c r="I15" s="2148">
        <v>0.125</v>
      </c>
      <c r="J15" s="2148"/>
      <c r="K15" s="2148"/>
      <c r="L15" s="2148"/>
      <c r="M15" s="2148"/>
      <c r="N15" s="1886"/>
      <c r="O15" s="2161"/>
      <c r="P15" s="2161"/>
      <c r="Q15" s="1886"/>
      <c r="R15" s="1886"/>
      <c r="S15" s="1886"/>
      <c r="T15" s="1886"/>
      <c r="U15" s="1886"/>
      <c r="V15" s="1886"/>
      <c r="W15" s="1886"/>
      <c r="X15" s="1886"/>
    </row>
    <row r="16" spans="1:24" ht="18" customHeight="1" x14ac:dyDescent="0.2">
      <c r="A16" s="2955"/>
      <c r="B16" s="2158" t="s">
        <v>1205</v>
      </c>
      <c r="C16" s="2159"/>
      <c r="D16" s="2160" t="s">
        <v>1206</v>
      </c>
      <c r="E16" s="2148"/>
      <c r="F16" s="2144"/>
      <c r="G16" s="2148">
        <v>0.52500000000000002</v>
      </c>
      <c r="H16" s="2148">
        <v>0.52500000000000002</v>
      </c>
      <c r="I16" s="2148">
        <v>0.52500000000000002</v>
      </c>
      <c r="J16" s="2148"/>
      <c r="K16" s="2148"/>
      <c r="L16" s="2148"/>
      <c r="M16" s="2148"/>
      <c r="N16" s="1980"/>
      <c r="O16" s="2161"/>
      <c r="P16" s="2161"/>
      <c r="Q16" s="1886"/>
      <c r="R16" s="1886"/>
      <c r="S16" s="1886"/>
      <c r="T16" s="1886"/>
      <c r="U16" s="1886"/>
      <c r="V16" s="1886"/>
      <c r="W16" s="1886"/>
      <c r="X16" s="1886"/>
    </row>
    <row r="17" spans="1:24" ht="18" customHeight="1" x14ac:dyDescent="0.2">
      <c r="A17" s="2955"/>
      <c r="B17" s="2077" t="s">
        <v>1207</v>
      </c>
      <c r="C17" s="2162"/>
      <c r="D17" s="2163"/>
      <c r="E17" s="2148"/>
      <c r="F17" s="2144"/>
      <c r="G17" s="2148"/>
      <c r="H17" s="2148"/>
      <c r="I17" s="2148"/>
      <c r="J17" s="2148"/>
      <c r="K17" s="2148">
        <v>0.7</v>
      </c>
      <c r="L17" s="2148"/>
      <c r="M17" s="2148"/>
      <c r="N17" s="1980"/>
      <c r="O17" s="2161"/>
      <c r="P17" s="2161"/>
      <c r="Q17" s="1886"/>
      <c r="R17" s="1886"/>
      <c r="S17" s="1886"/>
      <c r="T17" s="1886"/>
      <c r="U17" s="1886"/>
      <c r="V17" s="1886"/>
      <c r="W17" s="1886"/>
      <c r="X17" s="1886"/>
    </row>
    <row r="18" spans="1:24" ht="18" customHeight="1" x14ac:dyDescent="0.2">
      <c r="A18" s="2955"/>
      <c r="B18" s="1900"/>
      <c r="C18" s="1911"/>
      <c r="D18" s="1911"/>
      <c r="E18" s="2151"/>
      <c r="F18" s="2144"/>
      <c r="G18" s="2151"/>
      <c r="H18" s="2151"/>
      <c r="I18" s="2151"/>
      <c r="J18" s="2151"/>
      <c r="K18" s="2151"/>
      <c r="L18" s="2151"/>
      <c r="M18" s="2151"/>
      <c r="N18" s="1980"/>
      <c r="O18" s="2164"/>
      <c r="P18" s="2164"/>
      <c r="Q18" s="1886"/>
      <c r="R18" s="1886"/>
      <c r="S18" s="1886"/>
      <c r="T18" s="1886"/>
      <c r="U18" s="1886"/>
      <c r="V18" s="1886"/>
      <c r="W18" s="1886"/>
      <c r="X18" s="1886"/>
    </row>
    <row r="19" spans="1:24" ht="18" customHeight="1" x14ac:dyDescent="0.2">
      <c r="A19" s="2956"/>
      <c r="B19" s="2165" t="s">
        <v>1208</v>
      </c>
      <c r="C19" s="2166"/>
      <c r="D19" s="2167"/>
      <c r="E19" s="2168"/>
      <c r="F19" s="2144"/>
      <c r="G19" s="2168"/>
      <c r="H19" s="2168"/>
      <c r="I19" s="2168"/>
      <c r="J19" s="2168"/>
      <c r="K19" s="2168"/>
      <c r="L19" s="2168">
        <v>0.85</v>
      </c>
      <c r="M19" s="2168">
        <v>0.85</v>
      </c>
      <c r="N19" s="1886"/>
      <c r="O19" s="1980"/>
      <c r="P19" s="1886"/>
      <c r="Q19" s="1886"/>
      <c r="R19" s="1886"/>
      <c r="S19" s="1886"/>
      <c r="T19" s="1886"/>
      <c r="U19" s="1886"/>
      <c r="V19" s="1886"/>
      <c r="W19" s="1886"/>
      <c r="X19" s="1886"/>
    </row>
    <row r="20" spans="1:24" ht="14.25" x14ac:dyDescent="0.25">
      <c r="A20" s="1894"/>
      <c r="B20" s="2169" t="s">
        <v>42</v>
      </c>
      <c r="C20" s="2170"/>
      <c r="D20" s="2171"/>
      <c r="E20" s="2172">
        <f>SUM(E7:E19)</f>
        <v>1</v>
      </c>
      <c r="F20" s="2173"/>
      <c r="G20" s="2172">
        <f t="shared" ref="G20:M20" si="0">SUM(G7:G19)</f>
        <v>1</v>
      </c>
      <c r="H20" s="2172">
        <f t="shared" si="0"/>
        <v>1</v>
      </c>
      <c r="I20" s="2172">
        <f t="shared" si="0"/>
        <v>1</v>
      </c>
      <c r="J20" s="2172">
        <f t="shared" si="0"/>
        <v>1</v>
      </c>
      <c r="K20" s="2172">
        <f t="shared" si="0"/>
        <v>1</v>
      </c>
      <c r="L20" s="2172">
        <f t="shared" si="0"/>
        <v>1</v>
      </c>
      <c r="M20" s="2172">
        <f t="shared" si="0"/>
        <v>1</v>
      </c>
      <c r="N20" s="2174"/>
      <c r="O20" s="1886"/>
      <c r="P20" s="1886"/>
      <c r="Q20" s="1886"/>
      <c r="R20" s="1886"/>
      <c r="S20" s="1886"/>
      <c r="T20" s="1886"/>
      <c r="U20" s="1886"/>
      <c r="V20" s="1886"/>
      <c r="W20" s="1886"/>
      <c r="X20" s="1886"/>
    </row>
    <row r="21" spans="1:24" x14ac:dyDescent="0.2">
      <c r="A21" s="1886"/>
      <c r="B21" s="1886"/>
      <c r="C21" s="1886"/>
      <c r="D21" s="1886"/>
      <c r="E21" s="1886"/>
      <c r="F21" s="2131"/>
      <c r="G21" s="1886"/>
      <c r="H21" s="1886"/>
      <c r="I21" s="1886"/>
      <c r="J21" s="1886"/>
      <c r="K21" s="1886"/>
      <c r="L21" s="1886"/>
      <c r="M21" s="1886"/>
      <c r="N21" s="1886"/>
      <c r="O21" s="2152"/>
      <c r="P21" s="1886"/>
      <c r="Q21" s="1886"/>
      <c r="R21" s="1886"/>
      <c r="S21" s="1886"/>
      <c r="T21" s="1886"/>
      <c r="U21" s="1886"/>
      <c r="V21" s="1886"/>
      <c r="W21" s="1886"/>
      <c r="X21" s="1886"/>
    </row>
    <row r="22" spans="1:24" ht="26.1" customHeight="1" x14ac:dyDescent="0.25">
      <c r="A22" s="2175" t="s">
        <v>1209</v>
      </c>
      <c r="B22" s="2176"/>
      <c r="C22" s="2176"/>
      <c r="D22" s="1894"/>
      <c r="E22" s="1894"/>
      <c r="F22" s="1894"/>
      <c r="G22" s="1894"/>
      <c r="H22" s="1894"/>
      <c r="I22" s="1894"/>
      <c r="J22" s="1894"/>
      <c r="K22" s="1894"/>
      <c r="L22" s="1894"/>
      <c r="M22" s="1894"/>
      <c r="N22" s="1894"/>
      <c r="O22" s="1886"/>
      <c r="P22" s="1886"/>
      <c r="Q22" s="1886"/>
      <c r="R22" s="1886"/>
      <c r="S22" s="1886"/>
      <c r="T22" s="1886"/>
      <c r="U22" s="1886"/>
      <c r="V22" s="1886"/>
      <c r="W22" s="1886"/>
      <c r="X22" s="1886"/>
    </row>
    <row r="23" spans="1:24" ht="18" customHeight="1" x14ac:dyDescent="0.25">
      <c r="A23" s="1893" t="s">
        <v>1210</v>
      </c>
      <c r="B23" s="2177"/>
      <c r="C23" s="1894"/>
      <c r="D23" s="1894"/>
      <c r="E23" s="1894"/>
      <c r="F23" s="1894"/>
      <c r="G23" s="1894"/>
      <c r="H23" s="1894"/>
      <c r="I23" s="1894"/>
      <c r="J23" s="1894"/>
      <c r="K23" s="1894"/>
      <c r="L23" s="1894"/>
      <c r="M23" s="1894"/>
      <c r="N23" s="1894"/>
      <c r="O23" s="1886"/>
      <c r="P23" s="1886"/>
      <c r="Q23" s="1886"/>
      <c r="R23" s="1886"/>
      <c r="S23" s="1886"/>
      <c r="T23" s="1886"/>
      <c r="U23" s="1886"/>
      <c r="V23" s="1886"/>
      <c r="W23" s="1886"/>
      <c r="X23" s="1886"/>
    </row>
    <row r="24" spans="1:24" ht="18" customHeight="1" x14ac:dyDescent="0.25">
      <c r="A24" s="1893" t="s">
        <v>1211</v>
      </c>
      <c r="B24" s="1939"/>
      <c r="C24" s="1894"/>
      <c r="D24" s="1894"/>
      <c r="E24" s="1894"/>
      <c r="F24" s="1894"/>
      <c r="G24" s="1894"/>
      <c r="H24" s="1894"/>
      <c r="I24" s="1894"/>
      <c r="J24" s="1894"/>
      <c r="K24" s="1894"/>
      <c r="L24" s="1894"/>
      <c r="M24" s="1894"/>
      <c r="N24" s="1894"/>
      <c r="O24" s="1886"/>
      <c r="P24" s="1886"/>
      <c r="Q24" s="1886"/>
      <c r="R24" s="1886"/>
      <c r="S24" s="1886"/>
      <c r="T24" s="1886"/>
      <c r="U24" s="1886"/>
      <c r="V24" s="1886"/>
      <c r="W24" s="1886"/>
      <c r="X24" s="1886"/>
    </row>
    <row r="25" spans="1:24" ht="18" customHeight="1" x14ac:dyDescent="0.25">
      <c r="A25" s="1897"/>
      <c r="B25" s="1939"/>
      <c r="C25" s="1894"/>
      <c r="D25" s="1894"/>
      <c r="E25" s="1894"/>
      <c r="F25" s="1894"/>
      <c r="G25" s="1894"/>
      <c r="H25" s="1894"/>
      <c r="I25" s="1894"/>
      <c r="J25" s="1894"/>
      <c r="K25" s="1894"/>
      <c r="L25" s="1894"/>
      <c r="M25" s="1894"/>
      <c r="N25" s="1894"/>
      <c r="O25" s="1886"/>
      <c r="P25" s="1886"/>
      <c r="Q25" s="1886"/>
      <c r="R25" s="1886"/>
      <c r="S25" s="1886"/>
      <c r="T25" s="1886"/>
      <c r="U25" s="1886"/>
      <c r="V25" s="1886"/>
      <c r="W25" s="1886"/>
      <c r="X25" s="1886"/>
    </row>
    <row r="26" spans="1:24" ht="23.1" customHeight="1" x14ac:dyDescent="0.25">
      <c r="A26" s="2178" t="s">
        <v>1212</v>
      </c>
      <c r="B26" s="1939"/>
      <c r="C26" s="1894"/>
      <c r="D26" s="1894"/>
      <c r="E26" s="1894"/>
      <c r="F26" s="1894"/>
      <c r="G26" s="1894"/>
      <c r="H26" s="1894"/>
      <c r="I26" s="1894"/>
      <c r="J26" s="1894"/>
      <c r="K26" s="1894"/>
      <c r="L26" s="1894"/>
      <c r="M26" s="1894"/>
      <c r="N26" s="1894"/>
      <c r="O26" s="1886"/>
      <c r="P26" s="1886"/>
      <c r="Q26" s="1886"/>
      <c r="R26" s="1886"/>
      <c r="S26" s="1886"/>
      <c r="T26" s="1886"/>
      <c r="U26" s="1886"/>
      <c r="V26" s="1886"/>
      <c r="W26" s="1886"/>
      <c r="X26" s="1886"/>
    </row>
    <row r="27" spans="1:24" ht="18" customHeight="1" x14ac:dyDescent="0.25">
      <c r="A27" s="1894"/>
      <c r="B27" s="2179"/>
      <c r="C27" s="2070" t="s">
        <v>1213</v>
      </c>
      <c r="D27" s="2070" t="s">
        <v>1214</v>
      </c>
      <c r="E27" s="2180"/>
      <c r="F27" s="1894"/>
      <c r="G27" s="1894"/>
      <c r="H27" s="1894"/>
      <c r="I27" s="1894"/>
      <c r="J27" s="1894"/>
      <c r="K27" s="1894"/>
      <c r="L27" s="1894"/>
      <c r="M27" s="1894"/>
      <c r="N27" s="1894"/>
      <c r="O27" s="1886"/>
      <c r="P27" s="1886"/>
      <c r="Q27" s="1886"/>
      <c r="R27" s="1886"/>
      <c r="S27" s="1886"/>
      <c r="T27" s="1886"/>
      <c r="U27" s="1886"/>
      <c r="V27" s="1886"/>
      <c r="W27" s="1886"/>
      <c r="X27" s="1886"/>
    </row>
    <row r="28" spans="1:24" ht="18" customHeight="1" x14ac:dyDescent="0.25">
      <c r="A28" s="1894"/>
      <c r="B28" s="1963" t="s">
        <v>1215</v>
      </c>
      <c r="C28" s="2181">
        <v>0.1</v>
      </c>
      <c r="D28" s="2181">
        <v>0.5</v>
      </c>
      <c r="E28" s="2078">
        <v>0.22500000000000001</v>
      </c>
      <c r="F28" s="2182"/>
      <c r="G28" s="2183">
        <v>0.22500000000000001</v>
      </c>
      <c r="H28" s="2183">
        <v>0.22500000000000001</v>
      </c>
      <c r="I28" s="2183">
        <v>0.22500000000000001</v>
      </c>
      <c r="J28" s="2183">
        <v>0.22500000000000001</v>
      </c>
      <c r="K28" s="2183">
        <v>0.22500000000000001</v>
      </c>
      <c r="L28" s="2183">
        <v>0.22500000000000001</v>
      </c>
      <c r="M28" s="2183">
        <v>0.22500000000000001</v>
      </c>
      <c r="N28" s="1894"/>
      <c r="O28" s="2152"/>
      <c r="P28" s="1886"/>
      <c r="Q28" s="1886"/>
      <c r="R28" s="1886"/>
      <c r="S28" s="1886"/>
      <c r="T28" s="1886"/>
      <c r="U28" s="1886"/>
      <c r="V28" s="1886"/>
      <c r="W28" s="1886"/>
      <c r="X28" s="1886"/>
    </row>
    <row r="29" spans="1:24" ht="18" customHeight="1" x14ac:dyDescent="0.25">
      <c r="A29" s="1894"/>
      <c r="B29" s="1894"/>
      <c r="C29" s="2184"/>
      <c r="D29" s="2184"/>
      <c r="E29" s="2182"/>
      <c r="F29" s="2182"/>
      <c r="G29" s="1894"/>
      <c r="H29" s="1894"/>
      <c r="I29" s="1894"/>
      <c r="J29" s="1894"/>
      <c r="K29" s="1894"/>
      <c r="L29" s="1894"/>
      <c r="M29" s="1894"/>
      <c r="N29" s="1894"/>
      <c r="O29" s="2185"/>
      <c r="P29" s="1886"/>
      <c r="Q29" s="1886"/>
      <c r="R29" s="1886"/>
      <c r="S29" s="1886"/>
      <c r="T29" s="1886"/>
      <c r="U29" s="1886"/>
      <c r="V29" s="1886"/>
      <c r="W29" s="1886"/>
      <c r="X29" s="1886"/>
    </row>
    <row r="30" spans="1:24" ht="23.1" customHeight="1" x14ac:dyDescent="0.25">
      <c r="A30" s="2178" t="s">
        <v>1216</v>
      </c>
      <c r="B30" s="1894"/>
      <c r="C30" s="2184"/>
      <c r="D30" s="2184"/>
      <c r="E30" s="2182"/>
      <c r="F30" s="2182"/>
      <c r="G30" s="1894"/>
      <c r="H30" s="1894"/>
      <c r="I30" s="1894"/>
      <c r="J30" s="1894"/>
      <c r="K30" s="1894"/>
      <c r="L30" s="1894"/>
      <c r="M30" s="1894"/>
      <c r="N30" s="1894"/>
      <c r="O30" s="2186"/>
      <c r="P30" s="1886"/>
      <c r="Q30" s="1886"/>
      <c r="R30" s="1886"/>
      <c r="S30" s="1886"/>
      <c r="T30" s="1886"/>
      <c r="U30" s="1886"/>
      <c r="V30" s="1886"/>
      <c r="W30" s="1886"/>
      <c r="X30" s="1886"/>
    </row>
    <row r="31" spans="1:24" ht="18" customHeight="1" x14ac:dyDescent="0.25">
      <c r="A31" s="1894"/>
      <c r="B31" s="1985" t="s">
        <v>1217</v>
      </c>
      <c r="C31" s="2187"/>
      <c r="D31" s="2187"/>
      <c r="E31" s="2188"/>
      <c r="F31" s="2182"/>
      <c r="G31" s="2189"/>
      <c r="H31" s="2189"/>
      <c r="I31" s="2189"/>
      <c r="J31" s="2189"/>
      <c r="K31" s="2189"/>
      <c r="L31" s="2189"/>
      <c r="M31" s="2189"/>
      <c r="N31" s="1894"/>
      <c r="O31" s="1886"/>
      <c r="P31" s="1886"/>
      <c r="Q31" s="1886"/>
      <c r="R31" s="1886"/>
      <c r="S31" s="1886"/>
      <c r="T31" s="1886"/>
      <c r="U31" s="1886"/>
      <c r="V31" s="1886"/>
      <c r="W31" s="1886"/>
      <c r="X31" s="1886"/>
    </row>
    <row r="32" spans="1:24" ht="18" customHeight="1" x14ac:dyDescent="0.25">
      <c r="A32" s="1894"/>
      <c r="B32" s="2190" t="s">
        <v>1218</v>
      </c>
      <c r="C32" s="2191"/>
      <c r="D32" s="2192"/>
      <c r="E32" s="2078"/>
      <c r="F32" s="2079"/>
      <c r="G32" s="2078"/>
      <c r="H32" s="2078"/>
      <c r="I32" s="2078"/>
      <c r="J32" s="2078"/>
      <c r="K32" s="2078"/>
      <c r="L32" s="2078"/>
      <c r="M32" s="2078"/>
      <c r="N32" s="1893" t="s">
        <v>1162</v>
      </c>
      <c r="O32" s="1886"/>
      <c r="P32" s="1886"/>
      <c r="Q32" s="1886"/>
      <c r="R32" s="1886"/>
      <c r="S32" s="1886"/>
      <c r="T32" s="1886"/>
      <c r="U32" s="1886"/>
      <c r="V32" s="1886"/>
      <c r="W32" s="1886"/>
      <c r="X32" s="1886"/>
    </row>
    <row r="33" spans="1:24" ht="18" customHeight="1" x14ac:dyDescent="0.25">
      <c r="A33" s="1894"/>
      <c r="B33" s="2193" t="s">
        <v>1219</v>
      </c>
      <c r="C33" s="1904"/>
      <c r="D33" s="1905"/>
      <c r="E33" s="2194">
        <v>1</v>
      </c>
      <c r="F33" s="2079"/>
      <c r="G33" s="2194">
        <v>1</v>
      </c>
      <c r="H33" s="2194">
        <v>1</v>
      </c>
      <c r="I33" s="2194">
        <v>1</v>
      </c>
      <c r="J33" s="2194">
        <v>1</v>
      </c>
      <c r="K33" s="2194">
        <v>1</v>
      </c>
      <c r="L33" s="2194">
        <v>1</v>
      </c>
      <c r="M33" s="2194">
        <v>1</v>
      </c>
      <c r="N33" s="1893" t="s">
        <v>1162</v>
      </c>
      <c r="O33" s="1886"/>
      <c r="P33" s="1886"/>
      <c r="Q33" s="1886"/>
      <c r="R33" s="1886"/>
      <c r="S33" s="1886"/>
      <c r="T33" s="1886"/>
      <c r="U33" s="1886"/>
      <c r="V33" s="1886"/>
      <c r="W33" s="1886"/>
      <c r="X33" s="1886"/>
    </row>
    <row r="34" spans="1:24" ht="18" customHeight="1" x14ac:dyDescent="0.25">
      <c r="A34" s="1894"/>
      <c r="B34" s="2193" t="s">
        <v>1220</v>
      </c>
      <c r="C34" s="1904"/>
      <c r="D34" s="1905"/>
      <c r="E34" s="2078"/>
      <c r="F34" s="2079"/>
      <c r="G34" s="2078"/>
      <c r="H34" s="2078"/>
      <c r="I34" s="2078"/>
      <c r="J34" s="2078"/>
      <c r="K34" s="2078"/>
      <c r="L34" s="2078"/>
      <c r="M34" s="2078"/>
      <c r="N34" s="1893" t="s">
        <v>1162</v>
      </c>
      <c r="O34" s="1886"/>
      <c r="P34" s="1886"/>
      <c r="Q34" s="1886"/>
      <c r="R34" s="1886"/>
      <c r="S34" s="1886"/>
      <c r="T34" s="1886"/>
      <c r="U34" s="1886"/>
      <c r="V34" s="1886"/>
      <c r="W34" s="1886"/>
      <c r="X34" s="1886"/>
    </row>
    <row r="35" spans="1:24" ht="18" customHeight="1" x14ac:dyDescent="0.25">
      <c r="A35" s="1894"/>
      <c r="B35" s="2190" t="s">
        <v>1221</v>
      </c>
      <c r="C35" s="1904"/>
      <c r="D35" s="1905"/>
      <c r="E35" s="2078"/>
      <c r="F35" s="2079"/>
      <c r="G35" s="2078"/>
      <c r="H35" s="2078"/>
      <c r="I35" s="2078"/>
      <c r="J35" s="2078"/>
      <c r="K35" s="2078"/>
      <c r="L35" s="2078"/>
      <c r="M35" s="2078"/>
      <c r="N35" s="1893" t="s">
        <v>1162</v>
      </c>
      <c r="O35" s="1886"/>
      <c r="P35" s="1886"/>
      <c r="Q35" s="1886"/>
      <c r="R35" s="1886"/>
      <c r="S35" s="1886"/>
      <c r="T35" s="1886"/>
      <c r="U35" s="1886"/>
      <c r="V35" s="1886"/>
      <c r="W35" s="1886"/>
      <c r="X35" s="1886"/>
    </row>
    <row r="36" spans="1:24" ht="18" customHeight="1" x14ac:dyDescent="0.25">
      <c r="A36" s="1894"/>
      <c r="B36" s="2102" t="s">
        <v>42</v>
      </c>
      <c r="C36" s="1986"/>
      <c r="D36" s="2195"/>
      <c r="E36" s="2103">
        <f>SUM(E32:E35)</f>
        <v>1</v>
      </c>
      <c r="F36" s="2196"/>
      <c r="G36" s="2103">
        <f t="shared" ref="G36:M36" si="1">SUM(G32:G35)</f>
        <v>1</v>
      </c>
      <c r="H36" s="2103">
        <f t="shared" si="1"/>
        <v>1</v>
      </c>
      <c r="I36" s="2103">
        <f t="shared" si="1"/>
        <v>1</v>
      </c>
      <c r="J36" s="2103">
        <f t="shared" si="1"/>
        <v>1</v>
      </c>
      <c r="K36" s="2103">
        <f t="shared" si="1"/>
        <v>1</v>
      </c>
      <c r="L36" s="2103">
        <f t="shared" si="1"/>
        <v>1</v>
      </c>
      <c r="M36" s="2103">
        <f t="shared" si="1"/>
        <v>1</v>
      </c>
      <c r="N36" s="1894"/>
      <c r="O36" s="1886"/>
      <c r="P36" s="1886"/>
      <c r="Q36" s="1886"/>
      <c r="R36" s="1886"/>
      <c r="S36" s="1886"/>
      <c r="T36" s="1886"/>
      <c r="U36" s="1886"/>
      <c r="V36" s="1886"/>
      <c r="W36" s="1886"/>
      <c r="X36" s="1886"/>
    </row>
    <row r="37" spans="1:24" ht="18" customHeight="1" x14ac:dyDescent="0.25">
      <c r="A37" s="1894"/>
      <c r="B37" s="2197"/>
      <c r="C37" s="1894"/>
      <c r="D37" s="1894"/>
      <c r="E37" s="2198"/>
      <c r="F37" s="2199"/>
      <c r="G37" s="2198"/>
      <c r="H37" s="2198"/>
      <c r="I37" s="2198"/>
      <c r="J37" s="2198"/>
      <c r="K37" s="2198"/>
      <c r="L37" s="2198"/>
      <c r="M37" s="2198"/>
      <c r="N37" s="1894"/>
      <c r="O37" s="1886"/>
      <c r="P37" s="1886"/>
      <c r="Q37" s="1886"/>
      <c r="R37" s="1886"/>
      <c r="S37" s="1886"/>
      <c r="T37" s="1886"/>
      <c r="U37" s="1886"/>
      <c r="V37" s="1886"/>
      <c r="W37" s="1886"/>
      <c r="X37" s="1886"/>
    </row>
    <row r="38" spans="1:24" s="2204" customFormat="1" ht="23.1" customHeight="1" x14ac:dyDescent="0.25">
      <c r="A38" s="2200" t="s">
        <v>1222</v>
      </c>
      <c r="B38" s="2201"/>
      <c r="C38" s="2201"/>
      <c r="D38" s="2201"/>
      <c r="E38" s="2202"/>
      <c r="F38" s="2202"/>
      <c r="G38" s="2202"/>
      <c r="H38" s="2202"/>
      <c r="I38" s="2202"/>
      <c r="J38" s="2202"/>
      <c r="K38" s="2202"/>
      <c r="L38" s="2202"/>
      <c r="M38" s="2202"/>
      <c r="N38" s="2202"/>
      <c r="O38" s="2203"/>
      <c r="P38" s="2203"/>
      <c r="Q38" s="2203"/>
      <c r="R38" s="2203"/>
      <c r="S38" s="2203"/>
      <c r="T38" s="2203"/>
      <c r="U38" s="2203"/>
      <c r="V38" s="2203"/>
      <c r="W38" s="2203"/>
      <c r="X38" s="2203"/>
    </row>
    <row r="39" spans="1:24" ht="18" customHeight="1" x14ac:dyDescent="0.25">
      <c r="A39" s="1939"/>
      <c r="B39" s="2190" t="s">
        <v>1223</v>
      </c>
      <c r="C39" s="2205"/>
      <c r="D39" s="2206" t="s">
        <v>1224</v>
      </c>
      <c r="E39" s="2167"/>
      <c r="F39" s="1911"/>
      <c r="G39" s="1911"/>
      <c r="H39" s="1911"/>
      <c r="I39" s="1911"/>
      <c r="J39" s="1911"/>
      <c r="K39" s="1911"/>
      <c r="L39" s="1911"/>
      <c r="M39" s="1911"/>
      <c r="N39" s="1894"/>
      <c r="O39" s="1886"/>
      <c r="P39" s="1886"/>
      <c r="Q39" s="1886"/>
      <c r="R39" s="1886"/>
      <c r="S39" s="1886"/>
      <c r="T39" s="1886"/>
      <c r="U39" s="1886"/>
      <c r="V39" s="1886"/>
      <c r="W39" s="1886"/>
      <c r="X39" s="1886"/>
    </row>
    <row r="40" spans="1:24" ht="18" customHeight="1" x14ac:dyDescent="0.25">
      <c r="A40" s="1939"/>
      <c r="B40" s="2207" t="s">
        <v>1225</v>
      </c>
      <c r="C40" s="2208"/>
      <c r="D40" s="2208"/>
      <c r="E40" s="2209">
        <v>0.1</v>
      </c>
      <c r="F40" s="2210"/>
      <c r="G40" s="2209">
        <v>0.1</v>
      </c>
      <c r="H40" s="2209">
        <v>0.1</v>
      </c>
      <c r="I40" s="2209">
        <v>0.1</v>
      </c>
      <c r="J40" s="2209">
        <v>0.1</v>
      </c>
      <c r="K40" s="2209">
        <v>0.1</v>
      </c>
      <c r="L40" s="2209">
        <v>0.1</v>
      </c>
      <c r="M40" s="2209">
        <v>0.1</v>
      </c>
      <c r="N40" s="1893" t="s">
        <v>1162</v>
      </c>
      <c r="O40" s="1886"/>
      <c r="P40" s="1886"/>
      <c r="Q40" s="1886"/>
      <c r="R40" s="1886"/>
      <c r="S40" s="1886"/>
      <c r="T40" s="1886"/>
      <c r="U40" s="1886"/>
      <c r="V40" s="1886"/>
      <c r="W40" s="1886"/>
      <c r="X40" s="1886"/>
    </row>
    <row r="41" spans="1:24" ht="18" customHeight="1" x14ac:dyDescent="0.25">
      <c r="A41" s="1939"/>
      <c r="B41" s="2211"/>
      <c r="C41" s="1939"/>
      <c r="D41" s="1939"/>
      <c r="E41" s="2198"/>
      <c r="F41" s="2199"/>
      <c r="G41" s="2198"/>
      <c r="H41" s="2198"/>
      <c r="I41" s="2198"/>
      <c r="J41" s="2198"/>
      <c r="K41" s="2198"/>
      <c r="L41" s="2198"/>
      <c r="M41" s="2198"/>
      <c r="N41" s="1894"/>
      <c r="O41" s="1886"/>
      <c r="P41" s="1886"/>
      <c r="Q41" s="1886"/>
      <c r="R41" s="1886"/>
      <c r="S41" s="1886"/>
      <c r="T41" s="1886"/>
      <c r="U41" s="1886"/>
      <c r="V41" s="1886"/>
      <c r="W41" s="1886"/>
      <c r="X41" s="1886"/>
    </row>
    <row r="42" spans="1:24" ht="26.1" customHeight="1" x14ac:dyDescent="0.25">
      <c r="A42" s="2175" t="s">
        <v>1226</v>
      </c>
      <c r="B42" s="2212"/>
      <c r="C42" s="2213"/>
      <c r="D42" s="1939"/>
      <c r="E42" s="2198"/>
      <c r="F42" s="2199"/>
      <c r="G42" s="2198"/>
      <c r="H42" s="2198"/>
      <c r="I42" s="2198"/>
      <c r="J42" s="2198"/>
      <c r="K42" s="2198"/>
      <c r="L42" s="2198"/>
      <c r="M42" s="2198"/>
      <c r="N42" s="1894"/>
      <c r="O42" s="1886"/>
      <c r="P42" s="1886"/>
      <c r="Q42" s="1886"/>
      <c r="R42" s="1886"/>
      <c r="S42" s="1886"/>
      <c r="T42" s="1886"/>
      <c r="U42" s="1886"/>
      <c r="V42" s="1886"/>
      <c r="W42" s="1886"/>
      <c r="X42" s="1886"/>
    </row>
    <row r="43" spans="1:24" ht="18" customHeight="1" x14ac:dyDescent="0.25">
      <c r="A43" s="1939" t="s">
        <v>1227</v>
      </c>
      <c r="B43" s="2214"/>
      <c r="C43" s="1939"/>
      <c r="D43" s="1939"/>
      <c r="E43" s="1893"/>
      <c r="F43" s="2199"/>
      <c r="G43" s="2198"/>
      <c r="H43" s="2198"/>
      <c r="I43" s="2198"/>
      <c r="J43" s="2198"/>
      <c r="K43" s="2198"/>
      <c r="L43" s="2198"/>
      <c r="M43" s="2198"/>
      <c r="N43" s="1894"/>
      <c r="O43" s="1886"/>
      <c r="P43" s="1886"/>
      <c r="Q43" s="1886"/>
      <c r="R43" s="1886"/>
      <c r="S43" s="1886"/>
      <c r="T43" s="1886"/>
      <c r="U43" s="1886"/>
      <c r="V43" s="1886"/>
      <c r="W43" s="1886"/>
      <c r="X43" s="1886"/>
    </row>
    <row r="44" spans="1:24" ht="18" customHeight="1" x14ac:dyDescent="0.25">
      <c r="A44" s="1939"/>
      <c r="B44" s="2211"/>
      <c r="C44" s="1939"/>
      <c r="D44" s="1939"/>
      <c r="E44" s="2198"/>
      <c r="F44" s="2199"/>
      <c r="G44" s="2198"/>
      <c r="H44" s="2198"/>
      <c r="I44" s="2198"/>
      <c r="J44" s="2198"/>
      <c r="K44" s="2198"/>
      <c r="L44" s="2198"/>
      <c r="M44" s="2198"/>
      <c r="N44" s="1894"/>
      <c r="O44" s="1886"/>
      <c r="P44" s="1886"/>
      <c r="Q44" s="1886"/>
      <c r="R44" s="1886"/>
      <c r="S44" s="1886"/>
      <c r="T44" s="1886"/>
      <c r="U44" s="1886"/>
      <c r="V44" s="1886"/>
      <c r="W44" s="1886"/>
      <c r="X44" s="1886"/>
    </row>
    <row r="45" spans="1:24" ht="18" customHeight="1" x14ac:dyDescent="0.25">
      <c r="A45" s="1939"/>
      <c r="B45" s="1985" t="s">
        <v>1202</v>
      </c>
      <c r="C45" s="2215"/>
      <c r="D45" s="2215"/>
      <c r="E45" s="2216"/>
      <c r="F45" s="2079"/>
      <c r="G45" s="1911"/>
      <c r="H45" s="1911"/>
      <c r="I45" s="1911"/>
      <c r="J45" s="1911"/>
      <c r="K45" s="1911"/>
      <c r="L45" s="1911"/>
      <c r="M45" s="1911"/>
      <c r="N45" s="1894"/>
      <c r="O45" s="1886"/>
      <c r="P45" s="1886"/>
      <c r="Q45" s="1886"/>
      <c r="R45" s="1886"/>
      <c r="S45" s="1886"/>
      <c r="T45" s="1886"/>
      <c r="U45" s="1886"/>
      <c r="V45" s="1886"/>
      <c r="W45" s="1886"/>
      <c r="X45" s="1886"/>
    </row>
    <row r="46" spans="1:24" ht="18" customHeight="1" x14ac:dyDescent="0.25">
      <c r="A46" s="1939"/>
      <c r="B46" s="2217" t="s">
        <v>1228</v>
      </c>
      <c r="C46" s="2218"/>
      <c r="D46" s="2219"/>
      <c r="E46" s="2078"/>
      <c r="F46" s="2079"/>
      <c r="G46" s="2078"/>
      <c r="H46" s="2078"/>
      <c r="I46" s="2078"/>
      <c r="J46" s="2078"/>
      <c r="K46" s="2078"/>
      <c r="L46" s="2078"/>
      <c r="M46" s="2078"/>
      <c r="N46" s="1893" t="s">
        <v>1162</v>
      </c>
      <c r="O46" s="1886"/>
      <c r="P46" s="1886"/>
      <c r="Q46" s="1886"/>
      <c r="R46" s="1886"/>
      <c r="S46" s="1886"/>
      <c r="T46" s="1886"/>
      <c r="U46" s="1886"/>
      <c r="V46" s="1886"/>
      <c r="W46" s="1886"/>
      <c r="X46" s="1886"/>
    </row>
    <row r="47" spans="1:24" ht="18" customHeight="1" x14ac:dyDescent="0.25">
      <c r="A47" s="1939"/>
      <c r="B47" s="2190" t="s">
        <v>1229</v>
      </c>
      <c r="C47" s="2162"/>
      <c r="D47" s="2163"/>
      <c r="E47" s="2078"/>
      <c r="F47" s="2079"/>
      <c r="G47" s="2194"/>
      <c r="H47" s="2194"/>
      <c r="I47" s="2194"/>
      <c r="J47" s="2194"/>
      <c r="K47" s="2194"/>
      <c r="L47" s="2194"/>
      <c r="M47" s="2194"/>
      <c r="N47" s="1893" t="s">
        <v>1162</v>
      </c>
      <c r="O47" s="1886"/>
      <c r="P47" s="1886"/>
      <c r="Q47" s="1886"/>
      <c r="R47" s="1886"/>
      <c r="S47" s="1886"/>
      <c r="T47" s="1886"/>
      <c r="U47" s="1886"/>
      <c r="V47" s="1886"/>
      <c r="W47" s="1886"/>
      <c r="X47" s="1886"/>
    </row>
    <row r="48" spans="1:24" ht="18" customHeight="1" x14ac:dyDescent="0.25">
      <c r="A48" s="1939"/>
      <c r="B48" s="2102" t="s">
        <v>1230</v>
      </c>
      <c r="C48" s="1986"/>
      <c r="D48" s="1986"/>
      <c r="E48" s="2103">
        <f>SUM(E46:E47)</f>
        <v>0</v>
      </c>
      <c r="F48" s="2210"/>
      <c r="G48" s="2103">
        <f t="shared" ref="G48:M48" si="2">SUM(G46:G47)</f>
        <v>0</v>
      </c>
      <c r="H48" s="2103">
        <f t="shared" si="2"/>
        <v>0</v>
      </c>
      <c r="I48" s="2103">
        <f t="shared" si="2"/>
        <v>0</v>
      </c>
      <c r="J48" s="2103">
        <f t="shared" si="2"/>
        <v>0</v>
      </c>
      <c r="K48" s="2103">
        <f t="shared" si="2"/>
        <v>0</v>
      </c>
      <c r="L48" s="2103">
        <f t="shared" si="2"/>
        <v>0</v>
      </c>
      <c r="M48" s="2103">
        <f t="shared" si="2"/>
        <v>0</v>
      </c>
      <c r="N48" s="1893"/>
      <c r="O48" s="1886"/>
      <c r="P48" s="1886"/>
      <c r="Q48" s="1886"/>
      <c r="R48" s="1886"/>
      <c r="S48" s="1886"/>
      <c r="T48" s="1886"/>
      <c r="U48" s="1886"/>
      <c r="V48" s="1886"/>
      <c r="W48" s="1886"/>
      <c r="X48" s="1886"/>
    </row>
    <row r="49" spans="1:24" ht="18" customHeight="1" x14ac:dyDescent="0.25">
      <c r="A49" s="1939"/>
      <c r="B49" s="2211"/>
      <c r="C49" s="1939"/>
      <c r="D49" s="1939"/>
      <c r="E49" s="1893"/>
      <c r="F49" s="2220"/>
      <c r="G49" s="2220"/>
      <c r="H49" s="2220"/>
      <c r="I49" s="2220"/>
      <c r="J49" s="2220"/>
      <c r="K49" s="2220"/>
      <c r="L49" s="2220"/>
      <c r="M49" s="2220"/>
      <c r="N49" s="1893"/>
      <c r="O49" s="1886"/>
      <c r="P49" s="1886"/>
      <c r="Q49" s="1886"/>
      <c r="R49" s="1886"/>
      <c r="S49" s="1886"/>
      <c r="T49" s="1886"/>
      <c r="U49" s="1886"/>
      <c r="V49" s="1886"/>
      <c r="W49" s="1886"/>
      <c r="X49" s="1886"/>
    </row>
    <row r="50" spans="1:24" ht="18" customHeight="1" x14ac:dyDescent="0.25">
      <c r="A50" s="1939"/>
      <c r="B50" s="1985" t="s">
        <v>1231</v>
      </c>
      <c r="C50" s="2215"/>
      <c r="D50" s="2215"/>
      <c r="E50" s="2216"/>
      <c r="F50" s="2079"/>
      <c r="G50" s="1911"/>
      <c r="H50" s="1911"/>
      <c r="I50" s="1911"/>
      <c r="J50" s="1911"/>
      <c r="K50" s="1911"/>
      <c r="L50" s="1911"/>
      <c r="M50" s="1911"/>
      <c r="N50" s="1894"/>
      <c r="O50" s="1886"/>
      <c r="P50" s="1886"/>
      <c r="Q50" s="1886"/>
      <c r="R50" s="1886"/>
      <c r="S50" s="1886"/>
      <c r="T50" s="1886"/>
      <c r="U50" s="1886"/>
      <c r="V50" s="1886"/>
      <c r="W50" s="1886"/>
      <c r="X50" s="1886"/>
    </row>
    <row r="51" spans="1:24" ht="18" customHeight="1" x14ac:dyDescent="0.25">
      <c r="A51" s="1939"/>
      <c r="B51" s="2217" t="s">
        <v>1228</v>
      </c>
      <c r="C51" s="2218"/>
      <c r="D51" s="2219"/>
      <c r="E51" s="2078"/>
      <c r="F51" s="2079"/>
      <c r="G51" s="2078">
        <v>1</v>
      </c>
      <c r="H51" s="2078"/>
      <c r="I51" s="2078"/>
      <c r="J51" s="2078"/>
      <c r="K51" s="2078"/>
      <c r="L51" s="2078"/>
      <c r="M51" s="2078"/>
      <c r="N51" s="1893" t="s">
        <v>1162</v>
      </c>
      <c r="O51" s="1886"/>
      <c r="P51" s="1886"/>
      <c r="Q51" s="1886"/>
      <c r="R51" s="1886"/>
      <c r="S51" s="1886"/>
      <c r="T51" s="1886"/>
      <c r="U51" s="1886"/>
      <c r="V51" s="1886"/>
      <c r="W51" s="1886"/>
      <c r="X51" s="1886"/>
    </row>
    <row r="52" spans="1:24" ht="18" customHeight="1" x14ac:dyDescent="0.25">
      <c r="A52" s="1939"/>
      <c r="B52" s="2190" t="s">
        <v>1229</v>
      </c>
      <c r="C52" s="2162"/>
      <c r="D52" s="2163"/>
      <c r="E52" s="2194"/>
      <c r="F52" s="2079"/>
      <c r="G52" s="2194"/>
      <c r="H52" s="2194">
        <v>1</v>
      </c>
      <c r="I52" s="2194">
        <v>1</v>
      </c>
      <c r="J52" s="2194"/>
      <c r="K52" s="2194"/>
      <c r="L52" s="2194"/>
      <c r="M52" s="2194"/>
      <c r="N52" s="1893" t="s">
        <v>1162</v>
      </c>
      <c r="O52" s="1886"/>
      <c r="P52" s="1886"/>
      <c r="Q52" s="1886"/>
      <c r="R52" s="1886"/>
      <c r="S52" s="1886"/>
      <c r="T52" s="1886"/>
      <c r="U52" s="1886"/>
      <c r="V52" s="1886"/>
      <c r="W52" s="1886"/>
      <c r="X52" s="1886"/>
    </row>
    <row r="53" spans="1:24" ht="18" customHeight="1" x14ac:dyDescent="0.25">
      <c r="A53" s="1939"/>
      <c r="B53" s="2102" t="s">
        <v>1230</v>
      </c>
      <c r="C53" s="1986"/>
      <c r="D53" s="1986"/>
      <c r="E53" s="2103">
        <f>SUM(E51:E52)</f>
        <v>0</v>
      </c>
      <c r="F53" s="2210"/>
      <c r="G53" s="2103">
        <f t="shared" ref="G53:M53" si="3">SUM(G51:G52)</f>
        <v>1</v>
      </c>
      <c r="H53" s="2103">
        <f t="shared" si="3"/>
        <v>1</v>
      </c>
      <c r="I53" s="2103">
        <f t="shared" si="3"/>
        <v>1</v>
      </c>
      <c r="J53" s="2103">
        <f t="shared" si="3"/>
        <v>0</v>
      </c>
      <c r="K53" s="2103">
        <f t="shared" si="3"/>
        <v>0</v>
      </c>
      <c r="L53" s="2103">
        <f t="shared" si="3"/>
        <v>0</v>
      </c>
      <c r="M53" s="2103">
        <f t="shared" si="3"/>
        <v>0</v>
      </c>
      <c r="N53" s="1894"/>
      <c r="O53" s="1886"/>
      <c r="P53" s="1886"/>
      <c r="Q53" s="1886"/>
      <c r="R53" s="1886"/>
      <c r="S53" s="1886"/>
      <c r="T53" s="1886"/>
      <c r="U53" s="1886"/>
      <c r="V53" s="1886"/>
      <c r="W53" s="1886"/>
      <c r="X53" s="1886"/>
    </row>
    <row r="54" spans="1:24" ht="18" customHeight="1" x14ac:dyDescent="0.25">
      <c r="A54" s="1894"/>
      <c r="B54" s="1894"/>
      <c r="C54" s="1894"/>
      <c r="D54" s="1894"/>
      <c r="E54" s="1894"/>
      <c r="F54" s="1894"/>
      <c r="G54" s="1894"/>
      <c r="H54" s="1894"/>
      <c r="I54" s="1894"/>
      <c r="J54" s="1894"/>
      <c r="K54" s="1894"/>
      <c r="L54" s="1894"/>
      <c r="M54" s="1894"/>
      <c r="N54" s="1894"/>
      <c r="O54" s="1886"/>
      <c r="P54" s="1886"/>
      <c r="Q54" s="1886"/>
      <c r="R54" s="1886"/>
      <c r="S54" s="1886"/>
      <c r="T54" s="1886"/>
      <c r="U54" s="1886"/>
      <c r="V54" s="1886"/>
      <c r="W54" s="1886"/>
      <c r="X54" s="1886"/>
    </row>
    <row r="55" spans="1:24" ht="26.1" customHeight="1" x14ac:dyDescent="0.25">
      <c r="A55" s="2175" t="s">
        <v>1232</v>
      </c>
      <c r="B55" s="2212"/>
      <c r="C55" s="2213"/>
      <c r="D55" s="1939"/>
      <c r="E55" s="2198"/>
      <c r="F55" s="2199"/>
      <c r="G55" s="2198"/>
      <c r="H55" s="2198"/>
      <c r="I55" s="2198"/>
      <c r="J55" s="2198"/>
      <c r="K55" s="2198"/>
      <c r="L55" s="2198"/>
      <c r="M55" s="2198"/>
      <c r="N55" s="1894"/>
      <c r="O55" s="1886"/>
      <c r="P55" s="1886"/>
      <c r="Q55" s="1886"/>
      <c r="R55" s="1886"/>
      <c r="S55" s="1886"/>
      <c r="T55" s="1886"/>
      <c r="U55" s="1886"/>
      <c r="V55" s="1886"/>
      <c r="W55" s="1886"/>
      <c r="X55" s="1886"/>
    </row>
    <row r="56" spans="1:24" s="2221" customFormat="1" ht="23.45" customHeight="1" x14ac:dyDescent="0.25">
      <c r="A56" s="1900" t="s">
        <v>1233</v>
      </c>
      <c r="B56" s="1911"/>
      <c r="C56" s="1911"/>
      <c r="D56" s="1911"/>
      <c r="E56" s="1911"/>
      <c r="F56" s="1911"/>
      <c r="G56" s="1911"/>
      <c r="H56" s="1911"/>
      <c r="I56" s="1911"/>
      <c r="J56" s="1911"/>
      <c r="K56" s="1911"/>
      <c r="L56" s="1911"/>
      <c r="M56" s="1911"/>
      <c r="N56" s="1911"/>
      <c r="O56" s="2136"/>
      <c r="P56" s="2136"/>
      <c r="Q56" s="2136"/>
      <c r="R56" s="2136"/>
      <c r="S56" s="2136"/>
      <c r="T56" s="2136"/>
      <c r="U56" s="2136"/>
      <c r="V56" s="2136"/>
      <c r="W56" s="2136"/>
      <c r="X56" s="2136"/>
    </row>
    <row r="57" spans="1:24" ht="18" customHeight="1" x14ac:dyDescent="0.25">
      <c r="A57" s="1894"/>
      <c r="B57" s="1894"/>
      <c r="C57" s="2075" t="s">
        <v>1234</v>
      </c>
      <c r="D57" s="2184"/>
      <c r="E57" s="2182"/>
      <c r="F57" s="2182"/>
      <c r="G57" s="1894"/>
      <c r="H57" s="1894"/>
      <c r="I57" s="1894"/>
      <c r="J57" s="1894"/>
      <c r="K57" s="1894"/>
      <c r="L57" s="1894"/>
      <c r="M57" s="1894"/>
      <c r="N57" s="1894"/>
      <c r="O57" s="1886"/>
      <c r="P57" s="1886"/>
      <c r="Q57" s="1886"/>
      <c r="R57" s="1886"/>
      <c r="S57" s="1886"/>
      <c r="T57" s="1886"/>
      <c r="U57" s="1886"/>
      <c r="V57" s="1886"/>
      <c r="W57" s="1886"/>
      <c r="X57" s="1886"/>
    </row>
    <row r="58" spans="1:24" ht="18" customHeight="1" x14ac:dyDescent="0.25">
      <c r="A58" s="1894"/>
      <c r="B58" s="2222" t="s">
        <v>1235</v>
      </c>
      <c r="C58" s="2181">
        <v>0.15</v>
      </c>
      <c r="D58" s="2184"/>
      <c r="E58" s="1966">
        <v>0.15</v>
      </c>
      <c r="F58" s="2144"/>
      <c r="G58" s="1966">
        <v>0.15</v>
      </c>
      <c r="H58" s="1966">
        <v>0.15</v>
      </c>
      <c r="I58" s="1966">
        <v>0.15</v>
      </c>
      <c r="J58" s="1966">
        <v>0.15</v>
      </c>
      <c r="K58" s="1966">
        <v>0.15</v>
      </c>
      <c r="L58" s="1966">
        <v>0.15</v>
      </c>
      <c r="M58" s="1966">
        <v>0.15</v>
      </c>
      <c r="N58" s="1893" t="s">
        <v>1162</v>
      </c>
      <c r="O58" s="2152"/>
      <c r="P58" s="1886"/>
      <c r="Q58" s="1886"/>
      <c r="R58" s="1886"/>
      <c r="S58" s="1886"/>
      <c r="T58" s="1886"/>
      <c r="U58" s="1886"/>
      <c r="V58" s="1886"/>
      <c r="W58" s="1886"/>
      <c r="X58" s="1886"/>
    </row>
    <row r="59" spans="1:24" ht="18" customHeight="1" x14ac:dyDescent="0.25">
      <c r="A59" s="1894"/>
      <c r="B59" s="2222" t="s">
        <v>1236</v>
      </c>
      <c r="C59" s="2181">
        <v>0</v>
      </c>
      <c r="D59" s="1894"/>
      <c r="E59" s="2148">
        <v>0</v>
      </c>
      <c r="F59" s="2144"/>
      <c r="G59" s="2148">
        <v>0</v>
      </c>
      <c r="H59" s="2148">
        <v>0</v>
      </c>
      <c r="I59" s="2148">
        <v>0</v>
      </c>
      <c r="J59" s="2148">
        <v>0</v>
      </c>
      <c r="K59" s="2148">
        <v>0</v>
      </c>
      <c r="L59" s="2148">
        <v>0</v>
      </c>
      <c r="M59" s="2148">
        <v>0</v>
      </c>
      <c r="N59" s="1893" t="s">
        <v>1162</v>
      </c>
      <c r="O59" s="2186"/>
      <c r="P59" s="1886"/>
      <c r="Q59" s="1886"/>
      <c r="R59" s="1886"/>
      <c r="S59" s="1886"/>
      <c r="T59" s="1886"/>
      <c r="U59" s="1886"/>
      <c r="V59" s="1886"/>
      <c r="W59" s="1886"/>
      <c r="X59" s="1886"/>
    </row>
    <row r="60" spans="1:24" ht="18" customHeight="1" x14ac:dyDescent="0.2">
      <c r="A60" s="1886"/>
      <c r="B60" s="1886"/>
      <c r="C60" s="1886"/>
      <c r="D60" s="1886"/>
      <c r="E60" s="1886"/>
      <c r="F60" s="2131"/>
      <c r="G60" s="1886"/>
      <c r="H60" s="1886"/>
      <c r="I60" s="1886"/>
      <c r="J60" s="1886"/>
      <c r="K60" s="1886"/>
      <c r="L60" s="1886"/>
      <c r="M60" s="1886"/>
      <c r="N60" s="1886"/>
      <c r="O60" s="1886"/>
      <c r="P60" s="1886"/>
      <c r="Q60" s="1886"/>
      <c r="R60" s="1886"/>
      <c r="S60" s="1886"/>
      <c r="T60" s="1886"/>
      <c r="U60" s="1886"/>
      <c r="V60" s="1886"/>
      <c r="W60" s="1886"/>
      <c r="X60" s="1886"/>
    </row>
    <row r="61" spans="1:24" x14ac:dyDescent="0.2">
      <c r="A61" s="1886"/>
      <c r="B61" s="1886"/>
      <c r="C61" s="1886"/>
      <c r="D61" s="1886"/>
      <c r="E61" s="1886"/>
      <c r="F61" s="2131"/>
      <c r="G61" s="1886"/>
      <c r="H61" s="1886"/>
      <c r="I61" s="1886"/>
      <c r="J61" s="1886"/>
      <c r="K61" s="1886"/>
      <c r="L61" s="1886"/>
      <c r="M61" s="1886"/>
      <c r="N61" s="1886"/>
      <c r="O61" s="1886"/>
      <c r="P61" s="1886"/>
      <c r="Q61" s="1886"/>
      <c r="R61" s="1886"/>
      <c r="S61" s="1886"/>
      <c r="T61" s="1886"/>
      <c r="U61" s="1886"/>
      <c r="V61" s="1886"/>
      <c r="W61" s="1886"/>
      <c r="X61" s="1886"/>
    </row>
    <row r="62" spans="1:24" x14ac:dyDescent="0.2">
      <c r="A62" s="1886"/>
      <c r="B62" s="1886"/>
      <c r="C62" s="1886"/>
      <c r="D62" s="1886"/>
      <c r="E62" s="1886"/>
      <c r="F62" s="2131"/>
      <c r="G62" s="1886"/>
      <c r="H62" s="1886"/>
      <c r="I62" s="1886"/>
      <c r="J62" s="1886"/>
      <c r="K62" s="1886"/>
      <c r="L62" s="1886"/>
      <c r="M62" s="1886"/>
      <c r="N62" s="1886"/>
      <c r="O62" s="1886"/>
      <c r="P62" s="1886"/>
      <c r="Q62" s="1886"/>
      <c r="R62" s="1886"/>
      <c r="S62" s="1886"/>
      <c r="T62" s="1886"/>
      <c r="U62" s="1886"/>
      <c r="V62" s="1886"/>
      <c r="W62" s="1886"/>
      <c r="X62" s="1886"/>
    </row>
    <row r="63" spans="1:24" x14ac:dyDescent="0.2">
      <c r="A63" s="1886"/>
      <c r="B63" s="1886"/>
      <c r="C63" s="1886"/>
      <c r="D63" s="1886"/>
      <c r="E63" s="1886"/>
      <c r="F63" s="2131"/>
      <c r="G63" s="1886"/>
      <c r="H63" s="1886"/>
      <c r="I63" s="1886"/>
      <c r="J63" s="1886"/>
      <c r="K63" s="1886"/>
      <c r="L63" s="1886"/>
      <c r="M63" s="1886"/>
      <c r="N63" s="1886"/>
      <c r="O63" s="1886"/>
      <c r="P63" s="1886"/>
      <c r="Q63" s="1886"/>
      <c r="R63" s="1886"/>
      <c r="S63" s="1886"/>
      <c r="T63" s="1886"/>
      <c r="U63" s="1886"/>
      <c r="V63" s="1886"/>
      <c r="W63" s="1886"/>
      <c r="X63" s="1886"/>
    </row>
    <row r="64" spans="1:24" x14ac:dyDescent="0.2">
      <c r="A64" s="1886"/>
      <c r="B64" s="1886"/>
      <c r="C64" s="1886"/>
      <c r="D64" s="1886"/>
      <c r="E64" s="1886"/>
      <c r="F64" s="2131"/>
      <c r="G64" s="1886"/>
      <c r="H64" s="1886"/>
      <c r="I64" s="1886"/>
      <c r="J64" s="1886"/>
      <c r="K64" s="1886"/>
      <c r="L64" s="1886"/>
      <c r="M64" s="1886"/>
      <c r="N64" s="1886"/>
      <c r="O64" s="1886"/>
      <c r="P64" s="1886"/>
      <c r="Q64" s="1886"/>
      <c r="R64" s="1886"/>
      <c r="S64" s="1886"/>
      <c r="T64" s="1886"/>
      <c r="U64" s="1886"/>
      <c r="V64" s="1886"/>
      <c r="W64" s="1886"/>
      <c r="X64" s="1886"/>
    </row>
    <row r="65" spans="1:24" x14ac:dyDescent="0.2">
      <c r="A65" s="1886"/>
      <c r="B65" s="1886"/>
      <c r="C65" s="1886"/>
      <c r="D65" s="1886"/>
      <c r="E65" s="1886"/>
      <c r="F65" s="2131"/>
      <c r="G65" s="1886"/>
      <c r="H65" s="1886"/>
      <c r="I65" s="1886"/>
      <c r="J65" s="1886"/>
      <c r="K65" s="1886"/>
      <c r="L65" s="1886"/>
      <c r="M65" s="1886"/>
      <c r="N65" s="1886"/>
      <c r="O65" s="1886"/>
      <c r="P65" s="1886"/>
      <c r="Q65" s="1886"/>
      <c r="R65" s="1886"/>
      <c r="S65" s="1886"/>
      <c r="T65" s="1886"/>
      <c r="U65" s="1886"/>
      <c r="V65" s="1886"/>
      <c r="W65" s="1886"/>
      <c r="X65" s="1886"/>
    </row>
    <row r="66" spans="1:24" x14ac:dyDescent="0.2">
      <c r="A66" s="1886"/>
      <c r="B66" s="1886"/>
      <c r="C66" s="1886"/>
      <c r="D66" s="1886"/>
      <c r="E66" s="1886"/>
      <c r="F66" s="2131"/>
      <c r="G66" s="1886"/>
      <c r="H66" s="1886"/>
      <c r="I66" s="1886"/>
      <c r="J66" s="1886"/>
      <c r="K66" s="1886"/>
      <c r="L66" s="1886"/>
      <c r="M66" s="1886"/>
      <c r="N66" s="1886"/>
      <c r="O66" s="1886"/>
      <c r="P66" s="1886"/>
      <c r="Q66" s="1886"/>
      <c r="R66" s="1886"/>
      <c r="S66" s="1886"/>
      <c r="T66" s="1886"/>
      <c r="U66" s="1886"/>
      <c r="V66" s="1886"/>
      <c r="W66" s="1886"/>
      <c r="X66" s="1886"/>
    </row>
    <row r="67" spans="1:24" x14ac:dyDescent="0.2">
      <c r="A67" s="1886"/>
      <c r="B67" s="1886"/>
      <c r="C67" s="1886"/>
      <c r="D67" s="1886"/>
      <c r="E67" s="1886"/>
      <c r="F67" s="2131"/>
      <c r="G67" s="1886"/>
      <c r="H67" s="1886"/>
      <c r="I67" s="1886"/>
      <c r="J67" s="1886"/>
      <c r="K67" s="1886"/>
      <c r="L67" s="1886"/>
      <c r="M67" s="1886"/>
      <c r="N67" s="1886"/>
      <c r="O67" s="1886"/>
      <c r="P67" s="1886"/>
      <c r="Q67" s="1886"/>
      <c r="R67" s="1886"/>
      <c r="S67" s="1886"/>
      <c r="T67" s="1886"/>
      <c r="U67" s="1886"/>
      <c r="V67" s="1886"/>
      <c r="W67" s="1886"/>
      <c r="X67" s="1886"/>
    </row>
    <row r="68" spans="1:24" x14ac:dyDescent="0.2">
      <c r="A68" s="1886"/>
      <c r="B68" s="1886"/>
      <c r="C68" s="1886"/>
      <c r="D68" s="1886"/>
      <c r="E68" s="1886"/>
      <c r="F68" s="2131"/>
      <c r="G68" s="1886"/>
      <c r="H68" s="1886"/>
      <c r="I68" s="1886"/>
      <c r="J68" s="1886"/>
      <c r="K68" s="1886"/>
      <c r="L68" s="1886"/>
      <c r="M68" s="1886"/>
      <c r="N68" s="1886"/>
      <c r="O68" s="1886"/>
      <c r="P68" s="1886"/>
      <c r="Q68" s="1886"/>
      <c r="R68" s="1886"/>
      <c r="S68" s="1886"/>
      <c r="T68" s="1886"/>
      <c r="U68" s="1886"/>
      <c r="V68" s="1886"/>
      <c r="W68" s="1886"/>
      <c r="X68" s="1886"/>
    </row>
    <row r="69" spans="1:24" x14ac:dyDescent="0.2">
      <c r="A69" s="1886"/>
      <c r="B69" s="1886"/>
      <c r="C69" s="1886"/>
      <c r="D69" s="1886"/>
      <c r="E69" s="1886"/>
      <c r="F69" s="2131"/>
      <c r="G69" s="1886"/>
      <c r="H69" s="1886"/>
      <c r="I69" s="1886"/>
      <c r="J69" s="1886"/>
      <c r="K69" s="1886"/>
      <c r="L69" s="1886"/>
      <c r="M69" s="1886"/>
      <c r="N69" s="1886"/>
      <c r="O69" s="1886"/>
      <c r="P69" s="1886"/>
      <c r="Q69" s="1886"/>
      <c r="R69" s="1886"/>
      <c r="S69" s="1886"/>
      <c r="T69" s="1886"/>
      <c r="U69" s="1886"/>
      <c r="V69" s="1886"/>
      <c r="W69" s="1886"/>
      <c r="X69" s="1886"/>
    </row>
    <row r="70" spans="1:24" x14ac:dyDescent="0.2">
      <c r="A70" s="1886"/>
      <c r="B70" s="1886"/>
      <c r="C70" s="1886"/>
      <c r="D70" s="1886"/>
      <c r="E70" s="1886"/>
      <c r="F70" s="2131"/>
      <c r="G70" s="1886"/>
      <c r="H70" s="1886"/>
      <c r="I70" s="1886"/>
      <c r="J70" s="1886"/>
      <c r="K70" s="1886"/>
      <c r="L70" s="1886"/>
      <c r="M70" s="1886"/>
      <c r="N70" s="1886"/>
      <c r="O70" s="1886"/>
      <c r="P70" s="1886"/>
      <c r="Q70" s="1886"/>
      <c r="R70" s="1886"/>
      <c r="S70" s="1886"/>
      <c r="T70" s="1886"/>
      <c r="U70" s="1886"/>
      <c r="V70" s="1886"/>
      <c r="W70" s="1886"/>
      <c r="X70" s="1886"/>
    </row>
    <row r="71" spans="1:24" x14ac:dyDescent="0.2">
      <c r="A71" s="1886"/>
      <c r="B71" s="1886"/>
      <c r="C71" s="1886"/>
      <c r="D71" s="1886"/>
      <c r="E71" s="1886"/>
      <c r="F71" s="2131"/>
      <c r="G71" s="1886"/>
      <c r="H71" s="1886"/>
      <c r="I71" s="1886"/>
      <c r="J71" s="1886"/>
      <c r="K71" s="1886"/>
      <c r="L71" s="1886"/>
      <c r="M71" s="1886"/>
      <c r="N71" s="1886"/>
      <c r="O71" s="1886"/>
      <c r="P71" s="1886"/>
      <c r="Q71" s="1886"/>
      <c r="R71" s="1886"/>
      <c r="S71" s="1886"/>
      <c r="T71" s="1886"/>
      <c r="U71" s="1886"/>
      <c r="V71" s="1886"/>
      <c r="W71" s="1886"/>
      <c r="X71" s="1886"/>
    </row>
    <row r="72" spans="1:24" x14ac:dyDescent="0.2">
      <c r="A72" s="1886"/>
      <c r="B72" s="1886"/>
      <c r="C72" s="1886"/>
      <c r="D72" s="1886"/>
      <c r="E72" s="1886"/>
      <c r="F72" s="2131"/>
      <c r="G72" s="1886"/>
      <c r="H72" s="1886"/>
      <c r="I72" s="1886"/>
      <c r="J72" s="1886"/>
      <c r="K72" s="1886"/>
      <c r="L72" s="1886"/>
      <c r="M72" s="1886"/>
      <c r="N72" s="1886"/>
      <c r="O72" s="1886"/>
      <c r="P72" s="1886"/>
      <c r="Q72" s="1886"/>
      <c r="R72" s="1886"/>
      <c r="S72" s="1886"/>
      <c r="T72" s="1886"/>
      <c r="U72" s="1886"/>
      <c r="V72" s="1886"/>
      <c r="W72" s="1886"/>
      <c r="X72" s="1886"/>
    </row>
    <row r="73" spans="1:24" x14ac:dyDescent="0.2">
      <c r="A73" s="1886"/>
      <c r="B73" s="1886"/>
      <c r="C73" s="1886"/>
      <c r="D73" s="1886"/>
      <c r="E73" s="1886"/>
      <c r="F73" s="2131"/>
      <c r="G73" s="1886"/>
      <c r="H73" s="1886"/>
      <c r="I73" s="1886"/>
      <c r="J73" s="1886"/>
      <c r="K73" s="1886"/>
      <c r="L73" s="1886"/>
      <c r="M73" s="1886"/>
      <c r="N73" s="1886"/>
      <c r="O73" s="1886"/>
      <c r="P73" s="1886"/>
      <c r="Q73" s="1886"/>
      <c r="R73" s="1886"/>
      <c r="S73" s="1886"/>
      <c r="T73" s="1886"/>
      <c r="U73" s="1886"/>
      <c r="V73" s="1886"/>
      <c r="W73" s="1886"/>
      <c r="X73" s="1886"/>
    </row>
    <row r="74" spans="1:24" x14ac:dyDescent="0.2">
      <c r="A74" s="1886"/>
      <c r="B74" s="1886"/>
      <c r="C74" s="1886"/>
      <c r="D74" s="1886"/>
      <c r="E74" s="1886"/>
      <c r="F74" s="2131"/>
      <c r="G74" s="1886"/>
      <c r="H74" s="1886"/>
      <c r="I74" s="1886"/>
      <c r="J74" s="1886"/>
      <c r="K74" s="1886"/>
      <c r="L74" s="1886"/>
      <c r="M74" s="1886"/>
      <c r="N74" s="1886"/>
      <c r="O74" s="1886"/>
      <c r="P74" s="1886"/>
      <c r="Q74" s="1886"/>
      <c r="R74" s="1886"/>
      <c r="S74" s="1886"/>
      <c r="T74" s="1886"/>
      <c r="U74" s="1886"/>
      <c r="V74" s="1886"/>
      <c r="W74" s="1886"/>
      <c r="X74" s="1886"/>
    </row>
    <row r="75" spans="1:24" x14ac:dyDescent="0.2">
      <c r="A75" s="1886"/>
      <c r="B75" s="1886"/>
      <c r="C75" s="1886"/>
      <c r="D75" s="1886"/>
      <c r="E75" s="1886"/>
      <c r="F75" s="2131"/>
      <c r="G75" s="1886"/>
      <c r="H75" s="1886"/>
      <c r="I75" s="1886"/>
      <c r="J75" s="1886"/>
      <c r="K75" s="1886"/>
      <c r="L75" s="1886"/>
      <c r="M75" s="1886"/>
      <c r="N75" s="1886"/>
      <c r="O75" s="1886"/>
      <c r="P75" s="1886"/>
      <c r="Q75" s="1886"/>
      <c r="R75" s="1886"/>
      <c r="S75" s="1886"/>
      <c r="T75" s="1886"/>
      <c r="U75" s="1886"/>
      <c r="V75" s="1886"/>
      <c r="W75" s="1886"/>
      <c r="X75" s="1886"/>
    </row>
    <row r="76" spans="1:24" x14ac:dyDescent="0.2">
      <c r="A76" s="1886"/>
      <c r="B76" s="1886"/>
      <c r="C76" s="1886"/>
      <c r="D76" s="1886"/>
      <c r="E76" s="1886"/>
      <c r="F76" s="2131"/>
      <c r="G76" s="1886"/>
      <c r="H76" s="1886"/>
      <c r="I76" s="1886"/>
      <c r="J76" s="1886"/>
      <c r="K76" s="1886"/>
      <c r="L76" s="1886"/>
      <c r="M76" s="1886"/>
      <c r="N76" s="1886"/>
      <c r="O76" s="1886"/>
      <c r="P76" s="1886"/>
      <c r="Q76" s="1886"/>
      <c r="R76" s="1886"/>
      <c r="S76" s="1886"/>
      <c r="T76" s="1886"/>
      <c r="U76" s="1886"/>
      <c r="V76" s="1886"/>
      <c r="W76" s="1886"/>
      <c r="X76" s="1886"/>
    </row>
    <row r="77" spans="1:24" x14ac:dyDescent="0.2">
      <c r="A77" s="1886"/>
      <c r="B77" s="1886"/>
      <c r="C77" s="1886"/>
      <c r="D77" s="1886"/>
      <c r="E77" s="1886"/>
      <c r="F77" s="2131"/>
      <c r="G77" s="1886"/>
      <c r="H77" s="1886"/>
      <c r="I77" s="1886"/>
      <c r="J77" s="1886"/>
      <c r="K77" s="1886"/>
      <c r="L77" s="1886"/>
      <c r="M77" s="1886"/>
      <c r="N77" s="1886"/>
      <c r="O77" s="1886"/>
      <c r="P77" s="1886"/>
      <c r="Q77" s="1886"/>
      <c r="R77" s="1886"/>
      <c r="S77" s="1886"/>
      <c r="T77" s="1886"/>
      <c r="U77" s="1886"/>
      <c r="V77" s="1886"/>
      <c r="W77" s="1886"/>
      <c r="X77" s="1886"/>
    </row>
    <row r="78" spans="1:24" x14ac:dyDescent="0.2">
      <c r="A78" s="1886"/>
      <c r="B78" s="1886"/>
      <c r="C78" s="1886"/>
      <c r="D78" s="1886"/>
      <c r="E78" s="1886"/>
      <c r="F78" s="2131"/>
      <c r="G78" s="1886"/>
      <c r="H78" s="1886"/>
      <c r="I78" s="1886"/>
      <c r="J78" s="1886"/>
      <c r="K78" s="1886"/>
      <c r="L78" s="1886"/>
      <c r="M78" s="1886"/>
      <c r="N78" s="1886"/>
      <c r="O78" s="1886"/>
      <c r="P78" s="1886"/>
      <c r="Q78" s="1886"/>
      <c r="R78" s="1886"/>
      <c r="S78" s="1886"/>
      <c r="T78" s="1886"/>
      <c r="U78" s="1886"/>
      <c r="V78" s="1886"/>
      <c r="W78" s="1886"/>
      <c r="X78" s="1886"/>
    </row>
    <row r="79" spans="1:24" x14ac:dyDescent="0.2">
      <c r="A79" s="1886"/>
      <c r="B79" s="1886"/>
      <c r="C79" s="1886"/>
      <c r="D79" s="1886"/>
      <c r="E79" s="1886"/>
      <c r="F79" s="2131"/>
      <c r="G79" s="1886"/>
      <c r="H79" s="1886"/>
      <c r="I79" s="1886"/>
      <c r="J79" s="1886"/>
      <c r="K79" s="1886"/>
      <c r="L79" s="1886"/>
      <c r="M79" s="1886"/>
      <c r="N79" s="1886"/>
      <c r="O79" s="1886"/>
      <c r="P79" s="1886"/>
      <c r="Q79" s="1886"/>
      <c r="R79" s="1886"/>
      <c r="S79" s="1886"/>
      <c r="T79" s="1886"/>
      <c r="U79" s="1886"/>
      <c r="V79" s="1886"/>
      <c r="W79" s="1886"/>
      <c r="X79" s="1886"/>
    </row>
    <row r="80" spans="1:24" x14ac:dyDescent="0.2">
      <c r="A80" s="1886"/>
      <c r="B80" s="1886"/>
      <c r="C80" s="1886"/>
      <c r="D80" s="1886"/>
      <c r="E80" s="1886"/>
      <c r="F80" s="2131"/>
      <c r="G80" s="1886"/>
      <c r="H80" s="1886"/>
      <c r="I80" s="1886"/>
      <c r="J80" s="1886"/>
      <c r="K80" s="1886"/>
      <c r="L80" s="1886"/>
      <c r="M80" s="1886"/>
      <c r="N80" s="1886"/>
      <c r="O80" s="1886"/>
      <c r="P80" s="1886"/>
      <c r="Q80" s="1886"/>
      <c r="R80" s="1886"/>
      <c r="S80" s="1886"/>
      <c r="T80" s="1886"/>
      <c r="U80" s="1886"/>
      <c r="V80" s="1886"/>
      <c r="W80" s="1886"/>
      <c r="X80" s="1886"/>
    </row>
    <row r="81" spans="1:24" x14ac:dyDescent="0.2">
      <c r="A81" s="1886"/>
      <c r="B81" s="1886"/>
      <c r="C81" s="1886"/>
      <c r="D81" s="1886"/>
      <c r="E81" s="1886"/>
      <c r="F81" s="2131"/>
      <c r="G81" s="1886"/>
      <c r="H81" s="1886"/>
      <c r="I81" s="1886"/>
      <c r="J81" s="1886"/>
      <c r="K81" s="1886"/>
      <c r="L81" s="1886"/>
      <c r="M81" s="1886"/>
      <c r="N81" s="1886"/>
      <c r="O81" s="1886"/>
      <c r="P81" s="1886"/>
      <c r="Q81" s="1886"/>
      <c r="R81" s="1886"/>
      <c r="S81" s="1886"/>
      <c r="T81" s="1886"/>
      <c r="U81" s="1886"/>
      <c r="V81" s="1886"/>
      <c r="W81" s="1886"/>
      <c r="X81" s="1886"/>
    </row>
    <row r="82" spans="1:24" x14ac:dyDescent="0.2">
      <c r="A82" s="1886"/>
      <c r="B82" s="1886"/>
      <c r="C82" s="1886"/>
      <c r="D82" s="1886"/>
      <c r="E82" s="1886"/>
      <c r="F82" s="2131"/>
      <c r="G82" s="1886"/>
      <c r="H82" s="1886"/>
      <c r="I82" s="1886"/>
      <c r="J82" s="1886"/>
      <c r="K82" s="1886"/>
      <c r="L82" s="1886"/>
      <c r="M82" s="1886"/>
      <c r="N82" s="1886"/>
      <c r="O82" s="1886"/>
      <c r="P82" s="1886"/>
      <c r="Q82" s="1886"/>
      <c r="R82" s="1886"/>
      <c r="S82" s="1886"/>
      <c r="T82" s="1886"/>
      <c r="U82" s="1886"/>
      <c r="V82" s="1886"/>
      <c r="W82" s="1886"/>
      <c r="X82" s="1886"/>
    </row>
    <row r="83" spans="1:24" x14ac:dyDescent="0.2">
      <c r="A83" s="1886"/>
      <c r="B83" s="1886"/>
      <c r="C83" s="1886"/>
      <c r="D83" s="1886"/>
      <c r="E83" s="1886"/>
      <c r="F83" s="2131"/>
      <c r="G83" s="1886"/>
      <c r="H83" s="1886"/>
      <c r="I83" s="1886"/>
      <c r="J83" s="1886"/>
      <c r="K83" s="1886"/>
      <c r="L83" s="1886"/>
      <c r="M83" s="1886"/>
      <c r="N83" s="1886"/>
      <c r="O83" s="1886"/>
      <c r="P83" s="1886"/>
      <c r="Q83" s="1886"/>
      <c r="R83" s="1886"/>
      <c r="S83" s="1886"/>
      <c r="T83" s="1886"/>
      <c r="U83" s="1886"/>
      <c r="V83" s="1886"/>
      <c r="W83" s="1886"/>
      <c r="X83" s="1886"/>
    </row>
    <row r="84" spans="1:24" x14ac:dyDescent="0.2">
      <c r="A84" s="1886"/>
      <c r="B84" s="1886"/>
      <c r="C84" s="1886"/>
      <c r="D84" s="1886"/>
      <c r="E84" s="1886"/>
      <c r="F84" s="2131"/>
      <c r="G84" s="1886"/>
      <c r="H84" s="1886"/>
      <c r="I84" s="1886"/>
      <c r="J84" s="1886"/>
      <c r="K84" s="1886"/>
      <c r="L84" s="1886"/>
      <c r="M84" s="1886"/>
      <c r="N84" s="1886"/>
      <c r="O84" s="1886"/>
      <c r="P84" s="1886"/>
      <c r="Q84" s="1886"/>
      <c r="R84" s="1886"/>
      <c r="S84" s="1886"/>
      <c r="T84" s="1886"/>
      <c r="U84" s="1886"/>
      <c r="V84" s="1886"/>
      <c r="W84" s="1886"/>
      <c r="X84" s="1886"/>
    </row>
    <row r="85" spans="1:24" x14ac:dyDescent="0.2">
      <c r="A85" s="1886"/>
      <c r="B85" s="1886"/>
      <c r="C85" s="1886"/>
      <c r="D85" s="1886"/>
      <c r="E85" s="1886"/>
      <c r="F85" s="2131"/>
      <c r="G85" s="1886"/>
      <c r="H85" s="1886"/>
      <c r="I85" s="1886"/>
      <c r="J85" s="1886"/>
      <c r="K85" s="1886"/>
      <c r="L85" s="1886"/>
      <c r="M85" s="1886"/>
      <c r="N85" s="1886"/>
      <c r="O85" s="1886"/>
      <c r="P85" s="1886"/>
      <c r="Q85" s="1886"/>
      <c r="R85" s="1886"/>
      <c r="S85" s="1886"/>
      <c r="T85" s="1886"/>
      <c r="U85" s="1886"/>
      <c r="V85" s="1886"/>
      <c r="W85" s="1886"/>
      <c r="X85" s="1886"/>
    </row>
    <row r="86" spans="1:24" x14ac:dyDescent="0.2">
      <c r="A86" s="1886"/>
      <c r="B86" s="1886"/>
      <c r="C86" s="1886"/>
      <c r="D86" s="1886"/>
      <c r="E86" s="1886"/>
      <c r="F86" s="2131"/>
      <c r="G86" s="1886"/>
      <c r="H86" s="1886"/>
      <c r="I86" s="1886"/>
      <c r="J86" s="1886"/>
      <c r="K86" s="1886"/>
      <c r="L86" s="1886"/>
      <c r="M86" s="1886"/>
      <c r="N86" s="1886"/>
      <c r="O86" s="1886"/>
      <c r="P86" s="1886"/>
      <c r="Q86" s="1886"/>
      <c r="R86" s="1886"/>
      <c r="S86" s="1886"/>
      <c r="T86" s="1886"/>
      <c r="U86" s="1886"/>
      <c r="V86" s="1886"/>
      <c r="W86" s="1886"/>
      <c r="X86" s="1886"/>
    </row>
    <row r="87" spans="1:24" x14ac:dyDescent="0.2">
      <c r="A87" s="1886"/>
      <c r="B87" s="1886"/>
      <c r="C87" s="1886"/>
      <c r="D87" s="1886"/>
      <c r="E87" s="1886"/>
      <c r="F87" s="2131"/>
      <c r="G87" s="1886"/>
      <c r="H87" s="1886"/>
      <c r="I87" s="1886"/>
      <c r="J87" s="1886"/>
      <c r="K87" s="1886"/>
      <c r="L87" s="1886"/>
      <c r="M87" s="1886"/>
      <c r="N87" s="1886"/>
      <c r="O87" s="1886"/>
      <c r="P87" s="1886"/>
      <c r="Q87" s="1886"/>
      <c r="R87" s="1886"/>
      <c r="S87" s="1886"/>
      <c r="T87" s="1886"/>
      <c r="U87" s="1886"/>
      <c r="V87" s="1886"/>
      <c r="W87" s="1886"/>
      <c r="X87" s="1886"/>
    </row>
    <row r="88" spans="1:24" x14ac:dyDescent="0.2">
      <c r="A88" s="1886"/>
      <c r="B88" s="1886"/>
      <c r="C88" s="1886"/>
      <c r="D88" s="1886"/>
      <c r="E88" s="1886"/>
      <c r="F88" s="2131"/>
      <c r="G88" s="1886"/>
      <c r="H88" s="1886"/>
      <c r="I88" s="1886"/>
      <c r="J88" s="1886"/>
      <c r="K88" s="1886"/>
      <c r="L88" s="1886"/>
      <c r="M88" s="1886"/>
      <c r="N88" s="1886"/>
      <c r="O88" s="1886"/>
      <c r="P88" s="1886"/>
      <c r="Q88" s="1886"/>
      <c r="R88" s="1886"/>
      <c r="S88" s="1886"/>
      <c r="T88" s="1886"/>
      <c r="U88" s="1886"/>
      <c r="V88" s="1886"/>
      <c r="W88" s="1886"/>
      <c r="X88" s="1886"/>
    </row>
    <row r="89" spans="1:24" x14ac:dyDescent="0.2">
      <c r="A89" s="1886"/>
      <c r="B89" s="1886"/>
      <c r="C89" s="1886"/>
      <c r="D89" s="1886"/>
      <c r="E89" s="1886"/>
      <c r="F89" s="2131"/>
      <c r="G89" s="1886"/>
      <c r="H89" s="1886"/>
      <c r="I89" s="1886"/>
      <c r="J89" s="1886"/>
      <c r="K89" s="1886"/>
      <c r="L89" s="1886"/>
      <c r="M89" s="1886"/>
      <c r="N89" s="1886"/>
      <c r="O89" s="1886"/>
      <c r="P89" s="1886"/>
      <c r="Q89" s="1886"/>
      <c r="R89" s="1886"/>
      <c r="S89" s="1886"/>
      <c r="T89" s="1886"/>
      <c r="U89" s="1886"/>
      <c r="V89" s="1886"/>
      <c r="W89" s="1886"/>
      <c r="X89" s="1886"/>
    </row>
    <row r="90" spans="1:24" x14ac:dyDescent="0.2">
      <c r="A90" s="1886"/>
      <c r="B90" s="1886"/>
      <c r="C90" s="1886"/>
      <c r="D90" s="1886"/>
      <c r="E90" s="1886"/>
      <c r="F90" s="2131"/>
      <c r="G90" s="1886"/>
      <c r="H90" s="1886"/>
      <c r="I90" s="1886"/>
      <c r="J90" s="1886"/>
      <c r="K90" s="1886"/>
      <c r="L90" s="1886"/>
      <c r="M90" s="1886"/>
      <c r="N90" s="1886"/>
      <c r="O90" s="1886"/>
      <c r="P90" s="1886"/>
      <c r="Q90" s="1886"/>
      <c r="R90" s="1886"/>
      <c r="S90" s="1886"/>
      <c r="T90" s="1886"/>
      <c r="U90" s="1886"/>
      <c r="V90" s="1886"/>
      <c r="W90" s="1886"/>
      <c r="X90" s="1886"/>
    </row>
    <row r="91" spans="1:24" x14ac:dyDescent="0.2">
      <c r="A91" s="1886"/>
      <c r="B91" s="1886"/>
      <c r="C91" s="1886"/>
      <c r="D91" s="1886"/>
      <c r="E91" s="1886"/>
      <c r="F91" s="2131"/>
      <c r="G91" s="1886"/>
      <c r="H91" s="1886"/>
      <c r="I91" s="1886"/>
      <c r="J91" s="1886"/>
      <c r="K91" s="1886"/>
      <c r="L91" s="1886"/>
      <c r="M91" s="1886"/>
      <c r="N91" s="1886"/>
      <c r="O91" s="1886"/>
      <c r="P91" s="1886"/>
      <c r="Q91" s="1886"/>
      <c r="R91" s="1886"/>
      <c r="S91" s="1886"/>
      <c r="T91" s="1886"/>
      <c r="U91" s="1886"/>
      <c r="V91" s="1886"/>
      <c r="W91" s="1886"/>
      <c r="X91" s="1886"/>
    </row>
    <row r="92" spans="1:24" x14ac:dyDescent="0.2">
      <c r="A92" s="1886"/>
      <c r="B92" s="1886"/>
      <c r="C92" s="1886"/>
      <c r="D92" s="1886"/>
      <c r="E92" s="1886"/>
      <c r="F92" s="2131"/>
      <c r="G92" s="1886"/>
      <c r="H92" s="1886"/>
      <c r="I92" s="1886"/>
      <c r="J92" s="1886"/>
      <c r="K92" s="1886"/>
      <c r="L92" s="1886"/>
      <c r="M92" s="1886"/>
      <c r="N92" s="1886"/>
      <c r="O92" s="1886"/>
      <c r="P92" s="1886"/>
      <c r="Q92" s="1886"/>
      <c r="R92" s="1886"/>
      <c r="S92" s="1886"/>
      <c r="T92" s="1886"/>
      <c r="U92" s="1886"/>
      <c r="V92" s="1886"/>
      <c r="W92" s="1886"/>
      <c r="X92" s="1886"/>
    </row>
    <row r="93" spans="1:24" x14ac:dyDescent="0.2">
      <c r="A93" s="1886"/>
      <c r="B93" s="1886"/>
      <c r="C93" s="1886"/>
      <c r="D93" s="1886"/>
      <c r="E93" s="1886"/>
      <c r="F93" s="2131"/>
      <c r="G93" s="1886"/>
      <c r="H93" s="1886"/>
      <c r="I93" s="1886"/>
      <c r="J93" s="1886"/>
      <c r="K93" s="1886"/>
      <c r="L93" s="1886"/>
      <c r="M93" s="1886"/>
      <c r="N93" s="1886"/>
      <c r="O93" s="1886"/>
      <c r="P93" s="1886"/>
      <c r="Q93" s="1886"/>
      <c r="R93" s="1886"/>
      <c r="S93" s="1886"/>
      <c r="T93" s="1886"/>
      <c r="U93" s="1886"/>
      <c r="V93" s="1886"/>
      <c r="W93" s="1886"/>
      <c r="X93" s="1886"/>
    </row>
    <row r="94" spans="1:24" x14ac:dyDescent="0.2">
      <c r="A94" s="1886"/>
      <c r="B94" s="1886"/>
      <c r="C94" s="1886"/>
      <c r="D94" s="1886"/>
      <c r="E94" s="1886"/>
      <c r="F94" s="2131"/>
      <c r="G94" s="1886"/>
      <c r="H94" s="1886"/>
      <c r="I94" s="1886"/>
      <c r="J94" s="1886"/>
      <c r="K94" s="1886"/>
      <c r="L94" s="1886"/>
      <c r="M94" s="1886"/>
      <c r="N94" s="1886"/>
      <c r="O94" s="1886"/>
      <c r="P94" s="1886"/>
      <c r="Q94" s="1886"/>
      <c r="R94" s="1886"/>
      <c r="S94" s="1886"/>
      <c r="T94" s="1886"/>
      <c r="U94" s="1886"/>
      <c r="V94" s="1886"/>
      <c r="W94" s="1886"/>
      <c r="X94" s="1886"/>
    </row>
    <row r="95" spans="1:24" x14ac:dyDescent="0.2">
      <c r="A95" s="1886"/>
      <c r="B95" s="1886"/>
      <c r="C95" s="1886"/>
      <c r="D95" s="1886"/>
      <c r="E95" s="1886"/>
      <c r="F95" s="2131"/>
      <c r="G95" s="1886"/>
      <c r="H95" s="1886"/>
      <c r="I95" s="1886"/>
      <c r="J95" s="1886"/>
      <c r="K95" s="1886"/>
      <c r="L95" s="1886"/>
      <c r="M95" s="1886"/>
      <c r="N95" s="1886"/>
      <c r="O95" s="1886"/>
      <c r="P95" s="1886"/>
      <c r="Q95" s="1886"/>
      <c r="R95" s="1886"/>
      <c r="S95" s="1886"/>
      <c r="T95" s="1886"/>
      <c r="U95" s="1886"/>
      <c r="V95" s="1886"/>
      <c r="W95" s="1886"/>
      <c r="X95" s="1886"/>
    </row>
    <row r="96" spans="1:24" x14ac:dyDescent="0.2">
      <c r="A96" s="1886"/>
      <c r="B96" s="1886"/>
      <c r="C96" s="1886"/>
      <c r="D96" s="1886"/>
      <c r="E96" s="1886"/>
      <c r="F96" s="2131"/>
      <c r="G96" s="1886"/>
      <c r="H96" s="1886"/>
      <c r="I96" s="1886"/>
      <c r="J96" s="1886"/>
      <c r="K96" s="1886"/>
      <c r="L96" s="1886"/>
      <c r="M96" s="1886"/>
      <c r="N96" s="1886"/>
      <c r="O96" s="1886"/>
      <c r="P96" s="1886"/>
      <c r="Q96" s="1886"/>
      <c r="R96" s="1886"/>
      <c r="S96" s="1886"/>
      <c r="T96" s="1886"/>
      <c r="U96" s="1886"/>
      <c r="V96" s="1886"/>
      <c r="W96" s="1886"/>
      <c r="X96" s="1886"/>
    </row>
    <row r="97" spans="1:24" x14ac:dyDescent="0.2">
      <c r="A97" s="1886"/>
      <c r="B97" s="1886"/>
      <c r="C97" s="1886"/>
      <c r="D97" s="1886"/>
      <c r="E97" s="1886"/>
      <c r="F97" s="2131"/>
      <c r="G97" s="1886"/>
      <c r="H97" s="1886"/>
      <c r="I97" s="1886"/>
      <c r="J97" s="1886"/>
      <c r="K97" s="1886"/>
      <c r="L97" s="1886"/>
      <c r="M97" s="1886"/>
      <c r="N97" s="1886"/>
      <c r="O97" s="1886"/>
      <c r="P97" s="1886"/>
      <c r="Q97" s="1886"/>
      <c r="R97" s="1886"/>
      <c r="S97" s="1886"/>
      <c r="T97" s="1886"/>
      <c r="U97" s="1886"/>
      <c r="V97" s="1886"/>
      <c r="W97" s="1886"/>
      <c r="X97" s="1886"/>
    </row>
    <row r="98" spans="1:24" x14ac:dyDescent="0.2">
      <c r="A98" s="1886"/>
      <c r="B98" s="1886"/>
      <c r="C98" s="1886"/>
      <c r="D98" s="1886"/>
      <c r="E98" s="1886"/>
      <c r="F98" s="2131"/>
      <c r="G98" s="1886"/>
      <c r="H98" s="1886"/>
      <c r="I98" s="1886"/>
      <c r="J98" s="1886"/>
      <c r="K98" s="1886"/>
      <c r="L98" s="1886"/>
      <c r="M98" s="1886"/>
      <c r="N98" s="1886"/>
      <c r="O98" s="1886"/>
      <c r="P98" s="1886"/>
      <c r="Q98" s="1886"/>
      <c r="R98" s="1886"/>
      <c r="S98" s="1886"/>
      <c r="T98" s="1886"/>
      <c r="U98" s="1886"/>
      <c r="V98" s="1886"/>
      <c r="W98" s="1886"/>
      <c r="X98" s="1886"/>
    </row>
    <row r="99" spans="1:24" x14ac:dyDescent="0.2">
      <c r="A99" s="1886"/>
      <c r="B99" s="1886"/>
      <c r="C99" s="1886"/>
      <c r="D99" s="1886"/>
      <c r="E99" s="1886"/>
      <c r="F99" s="2131"/>
      <c r="G99" s="1886"/>
      <c r="H99" s="1886"/>
      <c r="I99" s="1886"/>
      <c r="J99" s="1886"/>
      <c r="K99" s="1886"/>
      <c r="L99" s="1886"/>
      <c r="M99" s="1886"/>
      <c r="N99" s="1886"/>
      <c r="O99" s="1886"/>
      <c r="P99" s="1886"/>
      <c r="Q99" s="1886"/>
      <c r="R99" s="1886"/>
      <c r="S99" s="1886"/>
      <c r="T99" s="1886"/>
      <c r="U99" s="1886"/>
      <c r="V99" s="1886"/>
      <c r="W99" s="1886"/>
      <c r="X99" s="1886"/>
    </row>
    <row r="100" spans="1:24" x14ac:dyDescent="0.2">
      <c r="A100" s="1886"/>
      <c r="B100" s="1886"/>
      <c r="C100" s="1886"/>
      <c r="D100" s="1886"/>
      <c r="E100" s="1886"/>
      <c r="F100" s="2131"/>
      <c r="G100" s="1886"/>
      <c r="H100" s="1886"/>
      <c r="I100" s="1886"/>
      <c r="J100" s="1886"/>
      <c r="K100" s="1886"/>
      <c r="L100" s="1886"/>
      <c r="M100" s="1886"/>
      <c r="N100" s="1886"/>
      <c r="O100" s="1886"/>
      <c r="P100" s="1886"/>
      <c r="Q100" s="1886"/>
      <c r="R100" s="1886"/>
      <c r="S100" s="1886"/>
      <c r="T100" s="1886"/>
      <c r="U100" s="1886"/>
      <c r="V100" s="1886"/>
      <c r="W100" s="1886"/>
      <c r="X100" s="1886"/>
    </row>
    <row r="101" spans="1:24" x14ac:dyDescent="0.2">
      <c r="A101" s="1886"/>
      <c r="B101" s="1886"/>
      <c r="C101" s="1886"/>
      <c r="D101" s="1886"/>
      <c r="E101" s="1886"/>
      <c r="F101" s="2131"/>
      <c r="G101" s="1886"/>
      <c r="H101" s="1886"/>
      <c r="I101" s="1886"/>
      <c r="J101" s="1886"/>
      <c r="K101" s="1886"/>
      <c r="L101" s="1886"/>
      <c r="M101" s="1886"/>
      <c r="N101" s="1886"/>
      <c r="O101" s="1886"/>
      <c r="P101" s="1886"/>
      <c r="Q101" s="1886"/>
      <c r="R101" s="1886"/>
      <c r="S101" s="1886"/>
      <c r="T101" s="1886"/>
      <c r="U101" s="1886"/>
      <c r="V101" s="1886"/>
      <c r="W101" s="1886"/>
      <c r="X101" s="1886"/>
    </row>
    <row r="102" spans="1:24" x14ac:dyDescent="0.2">
      <c r="A102" s="1886"/>
      <c r="B102" s="1886"/>
      <c r="C102" s="1886"/>
      <c r="D102" s="1886"/>
      <c r="E102" s="1886"/>
      <c r="F102" s="2131"/>
      <c r="G102" s="1886"/>
      <c r="H102" s="1886"/>
      <c r="I102" s="1886"/>
      <c r="J102" s="1886"/>
      <c r="K102" s="1886"/>
      <c r="L102" s="1886"/>
      <c r="M102" s="1886"/>
      <c r="N102" s="1886"/>
      <c r="O102" s="1886"/>
      <c r="P102" s="1886"/>
      <c r="Q102" s="1886"/>
      <c r="R102" s="1886"/>
      <c r="S102" s="1886"/>
      <c r="T102" s="1886"/>
      <c r="U102" s="1886"/>
      <c r="V102" s="1886"/>
      <c r="W102" s="1886"/>
      <c r="X102" s="1886"/>
    </row>
    <row r="103" spans="1:24" x14ac:dyDescent="0.2">
      <c r="A103" s="1886"/>
      <c r="B103" s="1886"/>
      <c r="C103" s="1886"/>
      <c r="D103" s="1886"/>
      <c r="E103" s="1886"/>
      <c r="F103" s="2131"/>
      <c r="G103" s="1886"/>
      <c r="H103" s="1886"/>
      <c r="I103" s="1886"/>
      <c r="J103" s="1886"/>
      <c r="K103" s="1886"/>
      <c r="L103" s="1886"/>
      <c r="M103" s="1886"/>
      <c r="N103" s="1886"/>
      <c r="O103" s="1886"/>
      <c r="P103" s="1886"/>
      <c r="Q103" s="1886"/>
      <c r="R103" s="1886"/>
      <c r="S103" s="1886"/>
      <c r="T103" s="1886"/>
      <c r="U103" s="1886"/>
      <c r="V103" s="1886"/>
      <c r="W103" s="1886"/>
      <c r="X103" s="1886"/>
    </row>
    <row r="104" spans="1:24" x14ac:dyDescent="0.2">
      <c r="A104" s="1886"/>
      <c r="B104" s="1886"/>
      <c r="C104" s="1886"/>
      <c r="D104" s="1886"/>
      <c r="E104" s="1886"/>
      <c r="F104" s="2131"/>
      <c r="G104" s="1886"/>
      <c r="H104" s="1886"/>
      <c r="I104" s="1886"/>
      <c r="J104" s="1886"/>
      <c r="K104" s="1886"/>
      <c r="L104" s="1886"/>
      <c r="M104" s="1886"/>
      <c r="N104" s="1886"/>
      <c r="O104" s="1886"/>
      <c r="P104" s="1886"/>
      <c r="Q104" s="1886"/>
      <c r="R104" s="1886"/>
      <c r="S104" s="1886"/>
      <c r="T104" s="1886"/>
      <c r="U104" s="1886"/>
      <c r="V104" s="1886"/>
      <c r="W104" s="1886"/>
      <c r="X104" s="1886"/>
    </row>
    <row r="105" spans="1:24" x14ac:dyDescent="0.2">
      <c r="A105" s="1886"/>
      <c r="B105" s="1886"/>
      <c r="C105" s="1886"/>
      <c r="D105" s="1886"/>
      <c r="E105" s="1886"/>
      <c r="F105" s="2131"/>
      <c r="G105" s="1886"/>
      <c r="H105" s="1886"/>
      <c r="I105" s="1886"/>
      <c r="J105" s="1886"/>
      <c r="K105" s="1886"/>
      <c r="L105" s="1886"/>
      <c r="M105" s="1886"/>
      <c r="N105" s="1886"/>
      <c r="O105" s="1886"/>
      <c r="P105" s="1886"/>
      <c r="Q105" s="1886"/>
      <c r="R105" s="1886"/>
      <c r="S105" s="1886"/>
      <c r="T105" s="1886"/>
      <c r="U105" s="1886"/>
      <c r="V105" s="1886"/>
      <c r="W105" s="1886"/>
      <c r="X105" s="1886"/>
    </row>
    <row r="106" spans="1:24" x14ac:dyDescent="0.2">
      <c r="A106" s="1886"/>
      <c r="B106" s="1886"/>
      <c r="C106" s="1886"/>
      <c r="D106" s="1886"/>
      <c r="E106" s="1886"/>
      <c r="F106" s="2131"/>
      <c r="G106" s="1886"/>
      <c r="H106" s="1886"/>
      <c r="I106" s="1886"/>
      <c r="J106" s="1886"/>
      <c r="K106" s="1886"/>
      <c r="L106" s="1886"/>
      <c r="M106" s="1886"/>
      <c r="N106" s="1886"/>
      <c r="O106" s="1886"/>
      <c r="P106" s="1886"/>
      <c r="Q106" s="1886"/>
      <c r="R106" s="1886"/>
      <c r="S106" s="1886"/>
      <c r="T106" s="1886"/>
      <c r="U106" s="1886"/>
      <c r="V106" s="1886"/>
      <c r="W106" s="1886"/>
      <c r="X106" s="1886"/>
    </row>
    <row r="107" spans="1:24" x14ac:dyDescent="0.2">
      <c r="A107" s="1886"/>
      <c r="B107" s="1886"/>
      <c r="C107" s="1886"/>
      <c r="D107" s="1886"/>
      <c r="E107" s="1886"/>
      <c r="F107" s="2131"/>
      <c r="G107" s="1886"/>
      <c r="H107" s="1886"/>
      <c r="I107" s="1886"/>
      <c r="J107" s="1886"/>
      <c r="K107" s="1886"/>
      <c r="L107" s="1886"/>
      <c r="M107" s="1886"/>
      <c r="N107" s="1886"/>
      <c r="O107" s="1886"/>
      <c r="P107" s="1886"/>
      <c r="Q107" s="1886"/>
      <c r="R107" s="1886"/>
      <c r="S107" s="1886"/>
      <c r="T107" s="1886"/>
      <c r="U107" s="1886"/>
      <c r="V107" s="1886"/>
      <c r="W107" s="1886"/>
      <c r="X107" s="1886"/>
    </row>
    <row r="108" spans="1:24" x14ac:dyDescent="0.2">
      <c r="A108" s="1886"/>
      <c r="B108" s="1886"/>
      <c r="C108" s="1886"/>
      <c r="D108" s="1886"/>
      <c r="E108" s="1886"/>
      <c r="F108" s="2131"/>
      <c r="G108" s="1886"/>
      <c r="H108" s="1886"/>
      <c r="I108" s="1886"/>
      <c r="J108" s="1886"/>
      <c r="K108" s="1886"/>
      <c r="L108" s="1886"/>
      <c r="M108" s="1886"/>
      <c r="N108" s="1886"/>
      <c r="O108" s="1886"/>
      <c r="P108" s="1886"/>
      <c r="Q108" s="1886"/>
      <c r="R108" s="1886"/>
      <c r="S108" s="1886"/>
      <c r="T108" s="1886"/>
      <c r="U108" s="1886"/>
      <c r="V108" s="1886"/>
      <c r="W108" s="1886"/>
      <c r="X108" s="1886"/>
    </row>
    <row r="109" spans="1:24" x14ac:dyDescent="0.2">
      <c r="A109" s="1886"/>
      <c r="B109" s="1886"/>
      <c r="C109" s="1886"/>
      <c r="D109" s="1886"/>
      <c r="E109" s="1886"/>
      <c r="F109" s="2131"/>
      <c r="G109" s="1886"/>
      <c r="H109" s="1886"/>
      <c r="I109" s="1886"/>
      <c r="J109" s="1886"/>
      <c r="K109" s="1886"/>
      <c r="L109" s="1886"/>
      <c r="M109" s="1886"/>
      <c r="N109" s="1886"/>
      <c r="O109" s="1886"/>
      <c r="P109" s="1886"/>
      <c r="Q109" s="1886"/>
      <c r="R109" s="1886"/>
      <c r="S109" s="1886"/>
      <c r="T109" s="1886"/>
      <c r="U109" s="1886"/>
      <c r="V109" s="1886"/>
      <c r="W109" s="1886"/>
      <c r="X109" s="1886"/>
    </row>
    <row r="110" spans="1:24" x14ac:dyDescent="0.2">
      <c r="A110" s="1886"/>
      <c r="B110" s="1886"/>
      <c r="C110" s="1886"/>
      <c r="D110" s="1886"/>
      <c r="E110" s="1886"/>
      <c r="F110" s="2131"/>
      <c r="G110" s="1886"/>
      <c r="H110" s="1886"/>
      <c r="I110" s="1886"/>
      <c r="J110" s="1886"/>
      <c r="K110" s="1886"/>
      <c r="L110" s="1886"/>
      <c r="M110" s="1886"/>
      <c r="N110" s="1886"/>
      <c r="O110" s="1886"/>
      <c r="P110" s="1886"/>
      <c r="Q110" s="1886"/>
      <c r="R110" s="1886"/>
      <c r="S110" s="1886"/>
      <c r="T110" s="1886"/>
      <c r="U110" s="1886"/>
      <c r="V110" s="1886"/>
      <c r="W110" s="1886"/>
      <c r="X110" s="1886"/>
    </row>
    <row r="111" spans="1:24" x14ac:dyDescent="0.2">
      <c r="A111" s="1886"/>
      <c r="B111" s="1886"/>
      <c r="C111" s="1886"/>
      <c r="D111" s="1886"/>
      <c r="E111" s="1886"/>
      <c r="F111" s="2131"/>
      <c r="G111" s="1886"/>
      <c r="H111" s="1886"/>
      <c r="I111" s="1886"/>
      <c r="J111" s="1886"/>
      <c r="K111" s="1886"/>
      <c r="L111" s="1886"/>
      <c r="M111" s="1886"/>
      <c r="N111" s="1886"/>
      <c r="O111" s="1886"/>
      <c r="P111" s="1886"/>
      <c r="Q111" s="1886"/>
      <c r="R111" s="1886"/>
      <c r="S111" s="1886"/>
      <c r="T111" s="1886"/>
      <c r="U111" s="1886"/>
      <c r="V111" s="1886"/>
      <c r="W111" s="1886"/>
      <c r="X111" s="1886"/>
    </row>
    <row r="112" spans="1:24" x14ac:dyDescent="0.2">
      <c r="A112" s="1886"/>
      <c r="B112" s="1886"/>
      <c r="C112" s="1886"/>
      <c r="D112" s="1886"/>
      <c r="E112" s="1886"/>
      <c r="F112" s="2131"/>
      <c r="G112" s="1886"/>
      <c r="H112" s="1886"/>
      <c r="I112" s="1886"/>
      <c r="J112" s="1886"/>
      <c r="K112" s="1886"/>
      <c r="L112" s="1886"/>
      <c r="M112" s="1886"/>
      <c r="N112" s="1886"/>
      <c r="O112" s="1886"/>
      <c r="P112" s="1886"/>
      <c r="Q112" s="1886"/>
      <c r="R112" s="1886"/>
      <c r="S112" s="1886"/>
      <c r="T112" s="1886"/>
      <c r="U112" s="1886"/>
      <c r="V112" s="1886"/>
      <c r="W112" s="1886"/>
      <c r="X112" s="1886"/>
    </row>
    <row r="113" spans="1:24" x14ac:dyDescent="0.2">
      <c r="A113" s="1886"/>
      <c r="B113" s="1886"/>
      <c r="C113" s="1886"/>
      <c r="D113" s="1886"/>
      <c r="E113" s="1886"/>
      <c r="F113" s="2131"/>
      <c r="G113" s="1886"/>
      <c r="H113" s="1886"/>
      <c r="I113" s="1886"/>
      <c r="J113" s="1886"/>
      <c r="K113" s="1886"/>
      <c r="L113" s="1886"/>
      <c r="M113" s="1886"/>
      <c r="N113" s="1886"/>
      <c r="O113" s="1886"/>
      <c r="P113" s="1886"/>
      <c r="Q113" s="1886"/>
      <c r="R113" s="1886"/>
      <c r="S113" s="1886"/>
      <c r="T113" s="1886"/>
      <c r="U113" s="1886"/>
      <c r="V113" s="1886"/>
      <c r="W113" s="1886"/>
      <c r="X113" s="1886"/>
    </row>
    <row r="114" spans="1:24" x14ac:dyDescent="0.2">
      <c r="A114" s="1886"/>
      <c r="B114" s="1886"/>
      <c r="C114" s="1886"/>
      <c r="D114" s="1886"/>
      <c r="E114" s="1886"/>
      <c r="F114" s="2131"/>
      <c r="G114" s="1886"/>
      <c r="H114" s="1886"/>
      <c r="I114" s="1886"/>
      <c r="J114" s="1886"/>
      <c r="K114" s="1886"/>
      <c r="L114" s="1886"/>
      <c r="M114" s="1886"/>
      <c r="N114" s="1886"/>
      <c r="O114" s="1886"/>
      <c r="P114" s="1886"/>
      <c r="Q114" s="1886"/>
      <c r="R114" s="1886"/>
      <c r="S114" s="1886"/>
      <c r="T114" s="1886"/>
      <c r="U114" s="1886"/>
      <c r="V114" s="1886"/>
      <c r="W114" s="1886"/>
      <c r="X114" s="1886"/>
    </row>
    <row r="115" spans="1:24" x14ac:dyDescent="0.2">
      <c r="A115" s="1886"/>
      <c r="B115" s="1886"/>
      <c r="C115" s="1886"/>
      <c r="D115" s="1886"/>
      <c r="E115" s="1886"/>
      <c r="F115" s="2131"/>
      <c r="G115" s="1886"/>
      <c r="H115" s="1886"/>
      <c r="I115" s="1886"/>
      <c r="J115" s="1886"/>
      <c r="K115" s="1886"/>
      <c r="L115" s="1886"/>
      <c r="M115" s="1886"/>
      <c r="N115" s="1886"/>
      <c r="O115" s="1886"/>
      <c r="P115" s="1886"/>
      <c r="Q115" s="1886"/>
      <c r="R115" s="1886"/>
      <c r="S115" s="1886"/>
      <c r="T115" s="1886"/>
      <c r="U115" s="1886"/>
      <c r="V115" s="1886"/>
      <c r="W115" s="1886"/>
      <c r="X115" s="1886"/>
    </row>
    <row r="116" spans="1:24" x14ac:dyDescent="0.2">
      <c r="A116" s="1886"/>
      <c r="B116" s="1886"/>
      <c r="C116" s="1886"/>
      <c r="D116" s="1886"/>
      <c r="E116" s="1886"/>
      <c r="F116" s="2131"/>
      <c r="G116" s="1886"/>
      <c r="H116" s="1886"/>
      <c r="I116" s="1886"/>
      <c r="J116" s="1886"/>
      <c r="K116" s="1886"/>
      <c r="L116" s="1886"/>
      <c r="M116" s="1886"/>
      <c r="N116" s="1886"/>
      <c r="O116" s="1886"/>
      <c r="P116" s="1886"/>
      <c r="Q116" s="1886"/>
      <c r="R116" s="1886"/>
      <c r="S116" s="1886"/>
      <c r="T116" s="1886"/>
      <c r="U116" s="1886"/>
      <c r="V116" s="1886"/>
      <c r="W116" s="1886"/>
      <c r="X116" s="1886"/>
    </row>
    <row r="117" spans="1:24" x14ac:dyDescent="0.2">
      <c r="A117" s="1886"/>
      <c r="B117" s="1886"/>
      <c r="C117" s="1886"/>
      <c r="D117" s="1886"/>
      <c r="E117" s="1886"/>
      <c r="F117" s="2131"/>
      <c r="G117" s="1886"/>
      <c r="H117" s="1886"/>
      <c r="I117" s="1886"/>
      <c r="J117" s="1886"/>
      <c r="K117" s="1886"/>
      <c r="L117" s="1886"/>
      <c r="M117" s="1886"/>
      <c r="N117" s="1886"/>
      <c r="O117" s="1886"/>
      <c r="P117" s="1886"/>
      <c r="Q117" s="1886"/>
      <c r="R117" s="1886"/>
      <c r="S117" s="1886"/>
      <c r="T117" s="1886"/>
      <c r="U117" s="1886"/>
      <c r="V117" s="1886"/>
      <c r="W117" s="1886"/>
      <c r="X117" s="1886"/>
    </row>
    <row r="118" spans="1:24" x14ac:dyDescent="0.2">
      <c r="A118" s="1886"/>
      <c r="B118" s="1886"/>
      <c r="C118" s="1886"/>
      <c r="D118" s="1886"/>
      <c r="E118" s="1886"/>
      <c r="F118" s="2131"/>
      <c r="G118" s="1886"/>
      <c r="H118" s="1886"/>
      <c r="I118" s="1886"/>
      <c r="J118" s="1886"/>
      <c r="K118" s="1886"/>
      <c r="L118" s="1886"/>
      <c r="M118" s="1886"/>
      <c r="N118" s="1886"/>
      <c r="O118" s="1886"/>
      <c r="P118" s="1886"/>
      <c r="Q118" s="1886"/>
      <c r="R118" s="1886"/>
      <c r="S118" s="1886"/>
      <c r="T118" s="1886"/>
      <c r="U118" s="1886"/>
      <c r="V118" s="1886"/>
      <c r="W118" s="1886"/>
      <c r="X118" s="1886"/>
    </row>
    <row r="119" spans="1:24" x14ac:dyDescent="0.2">
      <c r="A119" s="1886"/>
      <c r="B119" s="1886"/>
      <c r="C119" s="1886"/>
      <c r="D119" s="1886"/>
      <c r="E119" s="1886"/>
      <c r="F119" s="2131"/>
      <c r="G119" s="1886"/>
      <c r="H119" s="1886"/>
      <c r="I119" s="1886"/>
      <c r="J119" s="1886"/>
      <c r="K119" s="1886"/>
      <c r="L119" s="1886"/>
      <c r="M119" s="1886"/>
      <c r="N119" s="1886"/>
      <c r="O119" s="1886"/>
      <c r="P119" s="1886"/>
      <c r="Q119" s="1886"/>
      <c r="R119" s="1886"/>
      <c r="S119" s="1886"/>
      <c r="T119" s="1886"/>
      <c r="U119" s="1886"/>
      <c r="V119" s="1886"/>
      <c r="W119" s="1886"/>
      <c r="X119" s="1886"/>
    </row>
    <row r="120" spans="1:24" x14ac:dyDescent="0.2">
      <c r="A120" s="1886"/>
      <c r="B120" s="1886"/>
      <c r="C120" s="1886"/>
      <c r="D120" s="1886"/>
      <c r="E120" s="1886"/>
      <c r="F120" s="2131"/>
      <c r="G120" s="1886"/>
      <c r="H120" s="1886"/>
      <c r="I120" s="1886"/>
      <c r="J120" s="1886"/>
      <c r="K120" s="1886"/>
      <c r="L120" s="1886"/>
      <c r="M120" s="1886"/>
      <c r="N120" s="1886"/>
      <c r="O120" s="1886"/>
      <c r="P120" s="1886"/>
      <c r="Q120" s="1886"/>
      <c r="R120" s="1886"/>
      <c r="S120" s="1886"/>
      <c r="T120" s="1886"/>
      <c r="U120" s="1886"/>
      <c r="V120" s="1886"/>
      <c r="W120" s="1886"/>
      <c r="X120" s="1886"/>
    </row>
    <row r="121" spans="1:24" x14ac:dyDescent="0.2">
      <c r="A121" s="1886"/>
      <c r="B121" s="1886"/>
      <c r="C121" s="1886"/>
      <c r="D121" s="1886"/>
      <c r="E121" s="1886"/>
      <c r="F121" s="2131"/>
      <c r="G121" s="1886"/>
      <c r="H121" s="1886"/>
      <c r="I121" s="1886"/>
      <c r="J121" s="1886"/>
      <c r="K121" s="1886"/>
      <c r="L121" s="1886"/>
      <c r="M121" s="1886"/>
      <c r="N121" s="1886"/>
      <c r="O121" s="1886"/>
      <c r="P121" s="1886"/>
      <c r="Q121" s="1886"/>
      <c r="R121" s="1886"/>
      <c r="S121" s="1886"/>
      <c r="T121" s="1886"/>
      <c r="U121" s="1886"/>
      <c r="V121" s="1886"/>
      <c r="W121" s="1886"/>
      <c r="X121" s="1886"/>
    </row>
    <row r="122" spans="1:24" x14ac:dyDescent="0.2">
      <c r="A122" s="1886"/>
      <c r="B122" s="1886"/>
      <c r="C122" s="1886"/>
      <c r="D122" s="1886"/>
      <c r="E122" s="1886"/>
      <c r="F122" s="2131"/>
      <c r="G122" s="1886"/>
      <c r="H122" s="1886"/>
      <c r="I122" s="1886"/>
      <c r="J122" s="1886"/>
      <c r="K122" s="1886"/>
      <c r="L122" s="1886"/>
      <c r="M122" s="1886"/>
      <c r="N122" s="1886"/>
      <c r="O122" s="1886"/>
      <c r="P122" s="1886"/>
      <c r="Q122" s="1886"/>
      <c r="R122" s="1886"/>
      <c r="S122" s="1886"/>
      <c r="T122" s="1886"/>
      <c r="U122" s="1886"/>
      <c r="V122" s="1886"/>
      <c r="W122" s="1886"/>
      <c r="X122" s="1886"/>
    </row>
    <row r="123" spans="1:24" x14ac:dyDescent="0.2">
      <c r="A123" s="1886"/>
      <c r="B123" s="1886"/>
      <c r="C123" s="1886"/>
      <c r="D123" s="1886"/>
      <c r="E123" s="1886"/>
      <c r="F123" s="2131"/>
      <c r="G123" s="1886"/>
      <c r="H123" s="1886"/>
      <c r="I123" s="1886"/>
      <c r="J123" s="1886"/>
      <c r="K123" s="1886"/>
      <c r="L123" s="1886"/>
      <c r="M123" s="1886"/>
      <c r="N123" s="1886"/>
      <c r="O123" s="1886"/>
      <c r="P123" s="1886"/>
      <c r="Q123" s="1886"/>
      <c r="R123" s="1886"/>
      <c r="S123" s="1886"/>
      <c r="T123" s="1886"/>
      <c r="U123" s="1886"/>
      <c r="V123" s="1886"/>
      <c r="W123" s="1886"/>
      <c r="X123" s="1886"/>
    </row>
    <row r="124" spans="1:24" x14ac:dyDescent="0.2">
      <c r="A124" s="1886"/>
      <c r="B124" s="1886"/>
      <c r="C124" s="1886"/>
      <c r="D124" s="1886"/>
      <c r="E124" s="1886"/>
      <c r="F124" s="2131"/>
      <c r="G124" s="1886"/>
      <c r="H124" s="1886"/>
      <c r="I124" s="1886"/>
      <c r="J124" s="1886"/>
      <c r="K124" s="1886"/>
      <c r="L124" s="1886"/>
      <c r="M124" s="1886"/>
      <c r="N124" s="1886"/>
      <c r="O124" s="1886"/>
      <c r="P124" s="1886"/>
      <c r="Q124" s="1886"/>
      <c r="R124" s="1886"/>
      <c r="S124" s="1886"/>
      <c r="T124" s="1886"/>
      <c r="U124" s="1886"/>
      <c r="V124" s="1886"/>
      <c r="W124" s="1886"/>
      <c r="X124" s="1886"/>
    </row>
    <row r="125" spans="1:24" x14ac:dyDescent="0.2">
      <c r="A125" s="1886"/>
      <c r="B125" s="1886"/>
      <c r="C125" s="1886"/>
      <c r="D125" s="1886"/>
      <c r="E125" s="1886"/>
      <c r="F125" s="2131"/>
      <c r="G125" s="1886"/>
      <c r="H125" s="1886"/>
      <c r="I125" s="1886"/>
      <c r="J125" s="1886"/>
      <c r="K125" s="1886"/>
      <c r="L125" s="1886"/>
      <c r="M125" s="1886"/>
      <c r="N125" s="1886"/>
      <c r="O125" s="1886"/>
      <c r="P125" s="1886"/>
      <c r="Q125" s="1886"/>
      <c r="R125" s="1886"/>
      <c r="S125" s="1886"/>
      <c r="T125" s="1886"/>
      <c r="U125" s="1886"/>
      <c r="V125" s="1886"/>
      <c r="W125" s="1886"/>
      <c r="X125" s="1886"/>
    </row>
    <row r="126" spans="1:24" x14ac:dyDescent="0.2">
      <c r="A126" s="1886"/>
      <c r="B126" s="1886"/>
      <c r="C126" s="1886"/>
      <c r="D126" s="1886"/>
      <c r="E126" s="1886"/>
      <c r="F126" s="2131"/>
      <c r="G126" s="1886"/>
      <c r="H126" s="1886"/>
      <c r="I126" s="1886"/>
      <c r="J126" s="1886"/>
      <c r="K126" s="1886"/>
      <c r="L126" s="1886"/>
      <c r="M126" s="1886"/>
      <c r="N126" s="1886"/>
      <c r="O126" s="1886"/>
      <c r="P126" s="1886"/>
      <c r="Q126" s="1886"/>
      <c r="R126" s="1886"/>
      <c r="S126" s="1886"/>
      <c r="T126" s="1886"/>
      <c r="U126" s="1886"/>
      <c r="V126" s="1886"/>
      <c r="W126" s="1886"/>
      <c r="X126" s="1886"/>
    </row>
    <row r="127" spans="1:24" x14ac:dyDescent="0.2">
      <c r="A127" s="1886"/>
      <c r="B127" s="1886"/>
      <c r="C127" s="1886"/>
      <c r="D127" s="1886"/>
      <c r="E127" s="1886"/>
      <c r="F127" s="2131"/>
      <c r="G127" s="1886"/>
      <c r="H127" s="1886"/>
      <c r="I127" s="1886"/>
      <c r="J127" s="1886"/>
      <c r="K127" s="1886"/>
      <c r="L127" s="1886"/>
      <c r="M127" s="1886"/>
      <c r="N127" s="1886"/>
      <c r="O127" s="1886"/>
      <c r="P127" s="1886"/>
      <c r="Q127" s="1886"/>
      <c r="R127" s="1886"/>
      <c r="S127" s="1886"/>
      <c r="T127" s="1886"/>
      <c r="U127" s="1886"/>
      <c r="V127" s="1886"/>
      <c r="W127" s="1886"/>
      <c r="X127" s="1886"/>
    </row>
    <row r="128" spans="1:24" x14ac:dyDescent="0.2">
      <c r="A128" s="1886"/>
      <c r="B128" s="1886"/>
      <c r="C128" s="1886"/>
      <c r="D128" s="1886"/>
      <c r="E128" s="1886"/>
      <c r="F128" s="2131"/>
      <c r="G128" s="1886"/>
      <c r="H128" s="1886"/>
      <c r="I128" s="1886"/>
      <c r="J128" s="1886"/>
      <c r="K128" s="1886"/>
      <c r="L128" s="1886"/>
      <c r="M128" s="1886"/>
      <c r="N128" s="1886"/>
      <c r="O128" s="1886"/>
      <c r="P128" s="1886"/>
      <c r="Q128" s="1886"/>
      <c r="R128" s="1886"/>
      <c r="S128" s="1886"/>
      <c r="T128" s="1886"/>
      <c r="U128" s="1886"/>
      <c r="V128" s="1886"/>
      <c r="W128" s="1886"/>
      <c r="X128" s="1886"/>
    </row>
    <row r="129" spans="1:24" x14ac:dyDescent="0.2">
      <c r="A129" s="1886"/>
      <c r="B129" s="1886"/>
      <c r="C129" s="1886"/>
      <c r="D129" s="1886"/>
      <c r="E129" s="1886"/>
      <c r="F129" s="2131"/>
      <c r="G129" s="1886"/>
      <c r="H129" s="1886"/>
      <c r="I129" s="1886"/>
      <c r="J129" s="1886"/>
      <c r="K129" s="1886"/>
      <c r="L129" s="1886"/>
      <c r="M129" s="1886"/>
      <c r="N129" s="1886"/>
      <c r="O129" s="1886"/>
      <c r="P129" s="1886"/>
      <c r="Q129" s="1886"/>
      <c r="R129" s="1886"/>
      <c r="S129" s="1886"/>
      <c r="T129" s="1886"/>
      <c r="U129" s="1886"/>
      <c r="V129" s="1886"/>
      <c r="W129" s="1886"/>
      <c r="X129" s="1886"/>
    </row>
    <row r="130" spans="1:24" x14ac:dyDescent="0.2">
      <c r="A130" s="1886"/>
      <c r="B130" s="1886"/>
      <c r="C130" s="1886"/>
      <c r="D130" s="1886"/>
      <c r="E130" s="1886"/>
      <c r="F130" s="2131"/>
      <c r="G130" s="1886"/>
      <c r="H130" s="1886"/>
      <c r="I130" s="1886"/>
      <c r="J130" s="1886"/>
      <c r="K130" s="1886"/>
      <c r="L130" s="1886"/>
      <c r="M130" s="1886"/>
      <c r="N130" s="1886"/>
      <c r="O130" s="1886"/>
      <c r="P130" s="1886"/>
      <c r="Q130" s="1886"/>
      <c r="R130" s="1886"/>
      <c r="S130" s="1886"/>
      <c r="T130" s="1886"/>
      <c r="U130" s="1886"/>
      <c r="V130" s="1886"/>
      <c r="W130" s="1886"/>
      <c r="X130" s="1886"/>
    </row>
    <row r="131" spans="1:24" x14ac:dyDescent="0.2">
      <c r="A131" s="1886"/>
      <c r="B131" s="1886"/>
      <c r="C131" s="1886"/>
      <c r="D131" s="1886"/>
      <c r="E131" s="1886"/>
      <c r="F131" s="2131"/>
      <c r="G131" s="1886"/>
      <c r="H131" s="1886"/>
      <c r="I131" s="1886"/>
      <c r="J131" s="1886"/>
      <c r="K131" s="1886"/>
      <c r="L131" s="1886"/>
      <c r="M131" s="1886"/>
      <c r="N131" s="1886"/>
      <c r="O131" s="1886"/>
      <c r="P131" s="1886"/>
      <c r="Q131" s="1886"/>
      <c r="R131" s="1886"/>
      <c r="S131" s="1886"/>
      <c r="T131" s="1886"/>
      <c r="U131" s="1886"/>
      <c r="V131" s="1886"/>
      <c r="W131" s="1886"/>
      <c r="X131" s="1886"/>
    </row>
    <row r="132" spans="1:24" x14ac:dyDescent="0.2">
      <c r="A132" s="1886"/>
      <c r="B132" s="1886"/>
      <c r="C132" s="1886"/>
      <c r="D132" s="1886"/>
      <c r="E132" s="1886"/>
      <c r="F132" s="2131"/>
      <c r="G132" s="1886"/>
      <c r="H132" s="1886"/>
      <c r="I132" s="1886"/>
      <c r="J132" s="1886"/>
      <c r="K132" s="1886"/>
      <c r="L132" s="1886"/>
      <c r="M132" s="1886"/>
      <c r="N132" s="1886"/>
      <c r="O132" s="1886"/>
      <c r="P132" s="1886"/>
      <c r="Q132" s="1886"/>
      <c r="R132" s="1886"/>
      <c r="S132" s="1886"/>
      <c r="T132" s="1886"/>
      <c r="U132" s="1886"/>
      <c r="V132" s="1886"/>
      <c r="W132" s="1886"/>
      <c r="X132" s="1886"/>
    </row>
    <row r="133" spans="1:24" x14ac:dyDescent="0.2">
      <c r="A133" s="1886"/>
      <c r="B133" s="1886"/>
      <c r="C133" s="1886"/>
      <c r="D133" s="1886"/>
      <c r="E133" s="1886"/>
      <c r="F133" s="2131"/>
      <c r="G133" s="1886"/>
      <c r="H133" s="1886"/>
      <c r="I133" s="1886"/>
      <c r="J133" s="1886"/>
      <c r="K133" s="1886"/>
      <c r="L133" s="1886"/>
      <c r="M133" s="1886"/>
      <c r="N133" s="1886"/>
      <c r="O133" s="1886"/>
      <c r="P133" s="1886"/>
      <c r="Q133" s="1886"/>
      <c r="R133" s="1886"/>
      <c r="S133" s="1886"/>
      <c r="T133" s="1886"/>
      <c r="U133" s="1886"/>
      <c r="V133" s="1886"/>
      <c r="W133" s="1886"/>
      <c r="X133" s="1886"/>
    </row>
    <row r="134" spans="1:24" x14ac:dyDescent="0.2">
      <c r="A134" s="1886"/>
      <c r="B134" s="1886"/>
      <c r="C134" s="1886"/>
      <c r="D134" s="1886"/>
      <c r="E134" s="1886"/>
      <c r="F134" s="2131"/>
      <c r="G134" s="1886"/>
      <c r="H134" s="1886"/>
      <c r="I134" s="1886"/>
      <c r="J134" s="1886"/>
      <c r="K134" s="1886"/>
      <c r="L134" s="1886"/>
      <c r="M134" s="1886"/>
      <c r="N134" s="1886"/>
      <c r="O134" s="1886"/>
      <c r="P134" s="1886"/>
      <c r="Q134" s="1886"/>
      <c r="R134" s="1886"/>
      <c r="S134" s="1886"/>
      <c r="T134" s="1886"/>
      <c r="U134" s="1886"/>
      <c r="V134" s="1886"/>
      <c r="W134" s="1886"/>
      <c r="X134" s="1886"/>
    </row>
    <row r="135" spans="1:24" x14ac:dyDescent="0.2">
      <c r="A135" s="1886"/>
      <c r="B135" s="1886"/>
      <c r="C135" s="1886"/>
      <c r="D135" s="1886"/>
      <c r="E135" s="1886"/>
      <c r="F135" s="2131"/>
      <c r="G135" s="1886"/>
      <c r="H135" s="1886"/>
      <c r="I135" s="1886"/>
      <c r="J135" s="1886"/>
      <c r="K135" s="1886"/>
      <c r="L135" s="1886"/>
      <c r="M135" s="1886"/>
      <c r="N135" s="1886"/>
      <c r="O135" s="1886"/>
      <c r="P135" s="1886"/>
      <c r="Q135" s="1886"/>
      <c r="R135" s="1886"/>
      <c r="S135" s="1886"/>
      <c r="T135" s="1886"/>
      <c r="U135" s="1886"/>
      <c r="V135" s="1886"/>
      <c r="W135" s="1886"/>
      <c r="X135" s="1886"/>
    </row>
    <row r="136" spans="1:24" x14ac:dyDescent="0.2">
      <c r="A136" s="1886"/>
      <c r="B136" s="1886"/>
      <c r="C136" s="1886"/>
      <c r="D136" s="1886"/>
      <c r="E136" s="1886"/>
      <c r="F136" s="2131"/>
      <c r="G136" s="1886"/>
      <c r="H136" s="1886"/>
      <c r="I136" s="1886"/>
      <c r="J136" s="1886"/>
      <c r="K136" s="1886"/>
      <c r="L136" s="1886"/>
      <c r="M136" s="1886"/>
      <c r="N136" s="1886"/>
      <c r="O136" s="1886"/>
      <c r="P136" s="1886"/>
      <c r="Q136" s="1886"/>
      <c r="R136" s="1886"/>
      <c r="S136" s="1886"/>
      <c r="T136" s="1886"/>
      <c r="U136" s="1886"/>
      <c r="V136" s="1886"/>
      <c r="W136" s="1886"/>
      <c r="X136" s="1886"/>
    </row>
    <row r="137" spans="1:24" x14ac:dyDescent="0.2">
      <c r="A137" s="1886"/>
      <c r="B137" s="1886"/>
      <c r="C137" s="1886"/>
      <c r="D137" s="1886"/>
      <c r="E137" s="1886"/>
      <c r="F137" s="2131"/>
      <c r="G137" s="1886"/>
      <c r="H137" s="1886"/>
      <c r="I137" s="1886"/>
      <c r="J137" s="1886"/>
      <c r="K137" s="1886"/>
      <c r="L137" s="1886"/>
      <c r="M137" s="1886"/>
      <c r="N137" s="1886"/>
      <c r="O137" s="1886"/>
      <c r="P137" s="1886"/>
      <c r="Q137" s="1886"/>
      <c r="R137" s="1886"/>
      <c r="S137" s="1886"/>
      <c r="T137" s="1886"/>
      <c r="U137" s="1886"/>
      <c r="V137" s="1886"/>
      <c r="W137" s="1886"/>
      <c r="X137" s="1886"/>
    </row>
    <row r="138" spans="1:24" x14ac:dyDescent="0.2">
      <c r="A138" s="1886"/>
      <c r="B138" s="1886"/>
      <c r="C138" s="1886"/>
      <c r="D138" s="1886"/>
      <c r="E138" s="1886"/>
      <c r="F138" s="2131"/>
      <c r="G138" s="1886"/>
      <c r="H138" s="1886"/>
      <c r="I138" s="1886"/>
      <c r="J138" s="1886"/>
      <c r="K138" s="1886"/>
      <c r="L138" s="1886"/>
      <c r="M138" s="1886"/>
      <c r="N138" s="1886"/>
      <c r="O138" s="1886"/>
      <c r="P138" s="1886"/>
      <c r="Q138" s="1886"/>
      <c r="R138" s="1886"/>
      <c r="S138" s="1886"/>
      <c r="T138" s="1886"/>
      <c r="U138" s="1886"/>
      <c r="V138" s="1886"/>
      <c r="W138" s="1886"/>
      <c r="X138" s="1886"/>
    </row>
    <row r="139" spans="1:24" x14ac:dyDescent="0.2">
      <c r="A139" s="1886"/>
      <c r="B139" s="1886"/>
      <c r="C139" s="1886"/>
      <c r="D139" s="1886"/>
      <c r="E139" s="1886"/>
      <c r="F139" s="2131"/>
      <c r="G139" s="1886"/>
      <c r="H139" s="1886"/>
      <c r="I139" s="1886"/>
      <c r="J139" s="1886"/>
      <c r="K139" s="1886"/>
      <c r="L139" s="1886"/>
      <c r="M139" s="1886"/>
      <c r="N139" s="1886"/>
      <c r="O139" s="1886"/>
      <c r="P139" s="1886"/>
      <c r="Q139" s="1886"/>
      <c r="R139" s="1886"/>
      <c r="S139" s="1886"/>
      <c r="T139" s="1886"/>
      <c r="U139" s="1886"/>
      <c r="V139" s="1886"/>
      <c r="W139" s="1886"/>
      <c r="X139" s="1886"/>
    </row>
    <row r="140" spans="1:24" x14ac:dyDescent="0.2">
      <c r="A140" s="1886"/>
      <c r="B140" s="1886"/>
      <c r="C140" s="1886"/>
      <c r="D140" s="1886"/>
      <c r="E140" s="1886"/>
      <c r="F140" s="2131"/>
      <c r="G140" s="1886"/>
      <c r="H140" s="1886"/>
      <c r="I140" s="1886"/>
      <c r="J140" s="1886"/>
      <c r="K140" s="1886"/>
      <c r="L140" s="1886"/>
      <c r="M140" s="1886"/>
      <c r="N140" s="1886"/>
      <c r="O140" s="1886"/>
      <c r="P140" s="1886"/>
      <c r="Q140" s="1886"/>
      <c r="R140" s="1886"/>
      <c r="S140" s="1886"/>
      <c r="T140" s="1886"/>
      <c r="U140" s="1886"/>
      <c r="V140" s="1886"/>
      <c r="W140" s="1886"/>
      <c r="X140" s="1886"/>
    </row>
    <row r="141" spans="1:24" x14ac:dyDescent="0.2">
      <c r="A141" s="1886"/>
      <c r="B141" s="1886"/>
      <c r="C141" s="1886"/>
      <c r="D141" s="1886"/>
      <c r="E141" s="1886"/>
      <c r="F141" s="2131"/>
      <c r="G141" s="1886"/>
      <c r="H141" s="1886"/>
      <c r="I141" s="1886"/>
      <c r="J141" s="1886"/>
      <c r="K141" s="1886"/>
      <c r="L141" s="1886"/>
      <c r="M141" s="1886"/>
      <c r="N141" s="1886"/>
      <c r="O141" s="1886"/>
      <c r="P141" s="1886"/>
      <c r="Q141" s="1886"/>
      <c r="R141" s="1886"/>
      <c r="S141" s="1886"/>
      <c r="T141" s="1886"/>
      <c r="U141" s="1886"/>
      <c r="V141" s="1886"/>
      <c r="W141" s="1886"/>
      <c r="X141" s="1886"/>
    </row>
    <row r="142" spans="1:24" x14ac:dyDescent="0.2">
      <c r="A142" s="1886"/>
      <c r="B142" s="1886"/>
      <c r="C142" s="1886"/>
      <c r="D142" s="1886"/>
      <c r="E142" s="1886"/>
      <c r="F142" s="2131"/>
      <c r="G142" s="1886"/>
      <c r="H142" s="1886"/>
      <c r="I142" s="1886"/>
      <c r="J142" s="1886"/>
      <c r="K142" s="1886"/>
      <c r="L142" s="1886"/>
      <c r="M142" s="1886"/>
      <c r="N142" s="1886"/>
      <c r="O142" s="1886"/>
      <c r="P142" s="1886"/>
      <c r="Q142" s="1886"/>
      <c r="R142" s="1886"/>
      <c r="S142" s="1886"/>
      <c r="T142" s="1886"/>
      <c r="U142" s="1886"/>
      <c r="V142" s="1886"/>
      <c r="W142" s="1886"/>
      <c r="X142" s="1886"/>
    </row>
    <row r="143" spans="1:24" x14ac:dyDescent="0.2">
      <c r="A143" s="1886"/>
      <c r="B143" s="1886"/>
      <c r="C143" s="1886"/>
      <c r="D143" s="1886"/>
      <c r="E143" s="1886"/>
      <c r="F143" s="2131"/>
      <c r="G143" s="1886"/>
      <c r="H143" s="1886"/>
      <c r="I143" s="1886"/>
      <c r="J143" s="1886"/>
      <c r="K143" s="1886"/>
      <c r="L143" s="1886"/>
      <c r="M143" s="1886"/>
      <c r="N143" s="1886"/>
      <c r="O143" s="1886"/>
      <c r="P143" s="1886"/>
      <c r="Q143" s="1886"/>
      <c r="R143" s="1886"/>
      <c r="S143" s="1886"/>
      <c r="T143" s="1886"/>
      <c r="U143" s="1886"/>
      <c r="V143" s="1886"/>
      <c r="W143" s="1886"/>
      <c r="X143" s="1886"/>
    </row>
    <row r="144" spans="1:24" x14ac:dyDescent="0.2">
      <c r="A144" s="1886"/>
      <c r="B144" s="1886"/>
      <c r="C144" s="1886"/>
      <c r="D144" s="1886"/>
      <c r="E144" s="1886"/>
      <c r="F144" s="2131"/>
      <c r="G144" s="1886"/>
      <c r="H144" s="1886"/>
      <c r="I144" s="1886"/>
      <c r="J144" s="1886"/>
      <c r="K144" s="1886"/>
      <c r="L144" s="1886"/>
      <c r="M144" s="1886"/>
      <c r="N144" s="1886"/>
      <c r="O144" s="1886"/>
      <c r="P144" s="1886"/>
      <c r="Q144" s="1886"/>
      <c r="R144" s="1886"/>
      <c r="S144" s="1886"/>
      <c r="T144" s="1886"/>
      <c r="U144" s="1886"/>
      <c r="V144" s="1886"/>
      <c r="W144" s="1886"/>
      <c r="X144" s="1886"/>
    </row>
    <row r="145" spans="1:24" x14ac:dyDescent="0.2">
      <c r="A145" s="1886"/>
      <c r="B145" s="1886"/>
      <c r="C145" s="1886"/>
      <c r="D145" s="1886"/>
      <c r="E145" s="1886"/>
      <c r="F145" s="2131"/>
      <c r="G145" s="1886"/>
      <c r="H145" s="1886"/>
      <c r="I145" s="1886"/>
      <c r="J145" s="1886"/>
      <c r="K145" s="1886"/>
      <c r="L145" s="1886"/>
      <c r="M145" s="1886"/>
      <c r="N145" s="1886"/>
      <c r="O145" s="1886"/>
      <c r="P145" s="1886"/>
      <c r="Q145" s="1886"/>
      <c r="R145" s="1886"/>
      <c r="S145" s="1886"/>
      <c r="T145" s="1886"/>
      <c r="U145" s="1886"/>
      <c r="V145" s="1886"/>
      <c r="W145" s="1886"/>
      <c r="X145" s="1886"/>
    </row>
    <row r="146" spans="1:24" x14ac:dyDescent="0.2">
      <c r="A146" s="1886"/>
      <c r="B146" s="1886"/>
      <c r="C146" s="1886"/>
      <c r="D146" s="1886"/>
      <c r="E146" s="1886"/>
      <c r="F146" s="2131"/>
      <c r="G146" s="1886"/>
      <c r="H146" s="1886"/>
      <c r="I146" s="1886"/>
      <c r="J146" s="1886"/>
      <c r="K146" s="1886"/>
      <c r="L146" s="1886"/>
      <c r="M146" s="1886"/>
      <c r="N146" s="1886"/>
      <c r="O146" s="1886"/>
      <c r="P146" s="1886"/>
      <c r="Q146" s="1886"/>
      <c r="R146" s="1886"/>
      <c r="S146" s="1886"/>
      <c r="T146" s="1886"/>
      <c r="U146" s="1886"/>
      <c r="V146" s="1886"/>
      <c r="W146" s="1886"/>
      <c r="X146" s="1886"/>
    </row>
    <row r="147" spans="1:24" x14ac:dyDescent="0.2">
      <c r="A147" s="1886"/>
      <c r="B147" s="1886"/>
      <c r="C147" s="1886"/>
      <c r="D147" s="1886"/>
      <c r="E147" s="1886"/>
      <c r="F147" s="2131"/>
      <c r="G147" s="1886"/>
      <c r="H147" s="1886"/>
      <c r="I147" s="1886"/>
      <c r="J147" s="1886"/>
      <c r="K147" s="1886"/>
      <c r="L147" s="1886"/>
      <c r="M147" s="1886"/>
      <c r="N147" s="1886"/>
      <c r="O147" s="1886"/>
      <c r="P147" s="1886"/>
      <c r="Q147" s="1886"/>
      <c r="R147" s="1886"/>
      <c r="S147" s="1886"/>
      <c r="T147" s="1886"/>
      <c r="U147" s="1886"/>
      <c r="V147" s="1886"/>
      <c r="W147" s="1886"/>
      <c r="X147" s="1886"/>
    </row>
    <row r="148" spans="1:24" x14ac:dyDescent="0.2">
      <c r="A148" s="1886"/>
      <c r="B148" s="1886"/>
      <c r="C148" s="1886"/>
      <c r="D148" s="1886"/>
      <c r="E148" s="1886"/>
      <c r="F148" s="2131"/>
      <c r="G148" s="1886"/>
      <c r="H148" s="1886"/>
      <c r="I148" s="1886"/>
      <c r="J148" s="1886"/>
      <c r="K148" s="1886"/>
      <c r="L148" s="1886"/>
      <c r="M148" s="1886"/>
      <c r="N148" s="1886"/>
      <c r="O148" s="1886"/>
      <c r="P148" s="1886"/>
      <c r="Q148" s="1886"/>
      <c r="R148" s="1886"/>
      <c r="S148" s="1886"/>
      <c r="T148" s="1886"/>
      <c r="U148" s="1886"/>
      <c r="V148" s="1886"/>
      <c r="W148" s="1886"/>
      <c r="X148" s="1886"/>
    </row>
    <row r="149" spans="1:24" x14ac:dyDescent="0.2">
      <c r="A149" s="1886"/>
      <c r="B149" s="1886"/>
      <c r="C149" s="1886"/>
      <c r="D149" s="1886"/>
      <c r="E149" s="1886"/>
      <c r="F149" s="2131"/>
      <c r="G149" s="1886"/>
      <c r="H149" s="1886"/>
      <c r="I149" s="1886"/>
      <c r="J149" s="1886"/>
      <c r="K149" s="1886"/>
      <c r="L149" s="1886"/>
      <c r="M149" s="1886"/>
      <c r="N149" s="1886"/>
      <c r="O149" s="1886"/>
      <c r="P149" s="1886"/>
      <c r="Q149" s="1886"/>
      <c r="R149" s="1886"/>
      <c r="S149" s="1886"/>
      <c r="T149" s="1886"/>
      <c r="U149" s="1886"/>
      <c r="V149" s="1886"/>
      <c r="W149" s="1886"/>
      <c r="X149" s="1886"/>
    </row>
    <row r="150" spans="1:24" x14ac:dyDescent="0.2">
      <c r="A150" s="1886"/>
      <c r="B150" s="1886"/>
      <c r="C150" s="1886"/>
      <c r="D150" s="1886"/>
      <c r="E150" s="1886"/>
      <c r="F150" s="2131"/>
      <c r="G150" s="1886"/>
      <c r="H150" s="1886"/>
      <c r="I150" s="1886"/>
      <c r="J150" s="1886"/>
      <c r="K150" s="1886"/>
      <c r="L150" s="1886"/>
      <c r="M150" s="1886"/>
      <c r="N150" s="1886"/>
      <c r="O150" s="1886"/>
      <c r="P150" s="1886"/>
      <c r="Q150" s="1886"/>
      <c r="R150" s="1886"/>
      <c r="S150" s="1886"/>
      <c r="T150" s="1886"/>
      <c r="U150" s="1886"/>
      <c r="V150" s="1886"/>
      <c r="W150" s="1886"/>
      <c r="X150" s="1886"/>
    </row>
    <row r="151" spans="1:24" x14ac:dyDescent="0.2">
      <c r="A151" s="1886"/>
      <c r="B151" s="1886"/>
      <c r="C151" s="1886"/>
      <c r="D151" s="1886"/>
      <c r="E151" s="1886"/>
      <c r="F151" s="2131"/>
      <c r="G151" s="1886"/>
      <c r="H151" s="1886"/>
      <c r="I151" s="1886"/>
      <c r="J151" s="1886"/>
      <c r="K151" s="1886"/>
      <c r="L151" s="1886"/>
      <c r="M151" s="1886"/>
      <c r="N151" s="1886"/>
      <c r="O151" s="1886"/>
      <c r="P151" s="1886"/>
      <c r="Q151" s="1886"/>
      <c r="R151" s="1886"/>
      <c r="S151" s="1886"/>
      <c r="T151" s="1886"/>
      <c r="U151" s="1886"/>
      <c r="V151" s="1886"/>
      <c r="W151" s="1886"/>
      <c r="X151" s="1886"/>
    </row>
    <row r="152" spans="1:24" x14ac:dyDescent="0.2">
      <c r="A152" s="1886"/>
      <c r="B152" s="1886"/>
      <c r="C152" s="1886"/>
      <c r="D152" s="1886"/>
      <c r="E152" s="1886"/>
      <c r="F152" s="2131"/>
      <c r="G152" s="1886"/>
      <c r="H152" s="1886"/>
      <c r="I152" s="1886"/>
      <c r="J152" s="1886"/>
      <c r="K152" s="1886"/>
      <c r="L152" s="1886"/>
      <c r="M152" s="1886"/>
      <c r="N152" s="1886"/>
      <c r="O152" s="1886"/>
      <c r="P152" s="1886"/>
      <c r="Q152" s="1886"/>
      <c r="R152" s="1886"/>
      <c r="S152" s="1886"/>
      <c r="T152" s="1886"/>
      <c r="U152" s="1886"/>
      <c r="V152" s="1886"/>
      <c r="W152" s="1886"/>
      <c r="X152" s="1886"/>
    </row>
    <row r="153" spans="1:24" x14ac:dyDescent="0.2">
      <c r="A153" s="1886"/>
      <c r="B153" s="1886"/>
      <c r="C153" s="1886"/>
      <c r="D153" s="1886"/>
      <c r="E153" s="1886"/>
      <c r="F153" s="2131"/>
      <c r="G153" s="1886"/>
      <c r="H153" s="1886"/>
      <c r="I153" s="1886"/>
      <c r="J153" s="1886"/>
      <c r="K153" s="1886"/>
      <c r="L153" s="1886"/>
      <c r="M153" s="1886"/>
      <c r="N153" s="1886"/>
      <c r="O153" s="1886"/>
      <c r="P153" s="1886"/>
      <c r="Q153" s="1886"/>
      <c r="R153" s="1886"/>
      <c r="S153" s="1886"/>
      <c r="T153" s="1886"/>
      <c r="U153" s="1886"/>
      <c r="V153" s="1886"/>
      <c r="W153" s="1886"/>
      <c r="X153" s="1886"/>
    </row>
    <row r="154" spans="1:24" x14ac:dyDescent="0.2">
      <c r="A154" s="1886"/>
      <c r="B154" s="1886"/>
      <c r="C154" s="1886"/>
      <c r="D154" s="1886"/>
      <c r="E154" s="1886"/>
      <c r="F154" s="2131"/>
      <c r="G154" s="1886"/>
      <c r="H154" s="1886"/>
      <c r="I154" s="1886"/>
      <c r="J154" s="1886"/>
      <c r="K154" s="1886"/>
      <c r="L154" s="1886"/>
      <c r="M154" s="1886"/>
      <c r="N154" s="1886"/>
      <c r="O154" s="1886"/>
      <c r="P154" s="1886"/>
      <c r="Q154" s="1886"/>
      <c r="R154" s="1886"/>
      <c r="S154" s="1886"/>
      <c r="T154" s="1886"/>
      <c r="U154" s="1886"/>
      <c r="V154" s="1886"/>
      <c r="W154" s="1886"/>
      <c r="X154" s="1886"/>
    </row>
    <row r="155" spans="1:24" x14ac:dyDescent="0.2">
      <c r="A155" s="1886"/>
      <c r="B155" s="1886"/>
      <c r="C155" s="1886"/>
      <c r="D155" s="1886"/>
      <c r="E155" s="1886"/>
      <c r="F155" s="2131"/>
      <c r="G155" s="1886"/>
      <c r="H155" s="1886"/>
      <c r="I155" s="1886"/>
      <c r="J155" s="1886"/>
      <c r="K155" s="1886"/>
      <c r="L155" s="1886"/>
      <c r="M155" s="1886"/>
      <c r="N155" s="1886"/>
      <c r="O155" s="1886"/>
      <c r="P155" s="1886"/>
      <c r="Q155" s="1886"/>
      <c r="R155" s="1886"/>
      <c r="S155" s="1886"/>
      <c r="T155" s="1886"/>
      <c r="U155" s="1886"/>
      <c r="V155" s="1886"/>
      <c r="W155" s="1886"/>
      <c r="X155" s="1886"/>
    </row>
    <row r="156" spans="1:24" x14ac:dyDescent="0.2">
      <c r="A156" s="1886"/>
      <c r="B156" s="1886"/>
      <c r="C156" s="1886"/>
      <c r="D156" s="1886"/>
      <c r="E156" s="1886"/>
      <c r="F156" s="2131"/>
      <c r="G156" s="1886"/>
      <c r="H156" s="1886"/>
      <c r="I156" s="1886"/>
      <c r="J156" s="1886"/>
      <c r="K156" s="1886"/>
      <c r="L156" s="1886"/>
      <c r="M156" s="1886"/>
      <c r="N156" s="1886"/>
      <c r="O156" s="1886"/>
      <c r="P156" s="1886"/>
      <c r="Q156" s="1886"/>
      <c r="R156" s="1886"/>
      <c r="S156" s="1886"/>
      <c r="T156" s="1886"/>
      <c r="U156" s="1886"/>
      <c r="V156" s="1886"/>
      <c r="W156" s="1886"/>
      <c r="X156" s="1886"/>
    </row>
    <row r="157" spans="1:24" x14ac:dyDescent="0.2">
      <c r="A157" s="1886"/>
      <c r="B157" s="1886"/>
      <c r="C157" s="1886"/>
      <c r="D157" s="1886"/>
      <c r="E157" s="1886"/>
      <c r="F157" s="2131"/>
      <c r="G157" s="1886"/>
      <c r="H157" s="1886"/>
      <c r="I157" s="1886"/>
      <c r="J157" s="1886"/>
      <c r="K157" s="1886"/>
      <c r="L157" s="1886"/>
      <c r="M157" s="1886"/>
      <c r="N157" s="1886"/>
      <c r="O157" s="1886"/>
      <c r="P157" s="1886"/>
      <c r="Q157" s="1886"/>
      <c r="R157" s="1886"/>
      <c r="S157" s="1886"/>
      <c r="T157" s="1886"/>
      <c r="U157" s="1886"/>
      <c r="V157" s="1886"/>
      <c r="W157" s="1886"/>
      <c r="X157" s="1886"/>
    </row>
    <row r="158" spans="1:24" x14ac:dyDescent="0.2">
      <c r="A158" s="1886"/>
      <c r="B158" s="1886"/>
      <c r="C158" s="1886"/>
      <c r="D158" s="1886"/>
      <c r="E158" s="1886"/>
      <c r="F158" s="2131"/>
      <c r="G158" s="1886"/>
      <c r="H158" s="1886"/>
      <c r="I158" s="1886"/>
      <c r="J158" s="1886"/>
      <c r="K158" s="1886"/>
      <c r="L158" s="1886"/>
      <c r="M158" s="1886"/>
      <c r="N158" s="1886"/>
      <c r="O158" s="1886"/>
      <c r="P158" s="1886"/>
      <c r="Q158" s="1886"/>
      <c r="R158" s="1886"/>
      <c r="S158" s="1886"/>
      <c r="T158" s="1886"/>
      <c r="U158" s="1886"/>
      <c r="V158" s="1886"/>
      <c r="W158" s="1886"/>
      <c r="X158" s="1886"/>
    </row>
    <row r="159" spans="1:24" x14ac:dyDescent="0.2">
      <c r="A159" s="1886"/>
      <c r="B159" s="1886"/>
      <c r="C159" s="1886"/>
      <c r="D159" s="1886"/>
      <c r="E159" s="1886"/>
      <c r="F159" s="2131"/>
      <c r="G159" s="1886"/>
      <c r="H159" s="1886"/>
      <c r="I159" s="1886"/>
      <c r="J159" s="1886"/>
      <c r="K159" s="1886"/>
      <c r="L159" s="1886"/>
      <c r="M159" s="1886"/>
      <c r="N159" s="1886"/>
      <c r="O159" s="1886"/>
      <c r="P159" s="1886"/>
      <c r="Q159" s="1886"/>
      <c r="R159" s="1886"/>
      <c r="S159" s="1886"/>
      <c r="T159" s="1886"/>
      <c r="U159" s="1886"/>
      <c r="V159" s="1886"/>
      <c r="W159" s="1886"/>
      <c r="X159" s="1886"/>
    </row>
    <row r="160" spans="1:24" x14ac:dyDescent="0.2">
      <c r="A160" s="1886"/>
      <c r="B160" s="1886"/>
      <c r="C160" s="1886"/>
      <c r="D160" s="1886"/>
      <c r="E160" s="1886"/>
      <c r="F160" s="2131"/>
      <c r="G160" s="1886"/>
      <c r="H160" s="1886"/>
      <c r="I160" s="1886"/>
      <c r="J160" s="1886"/>
      <c r="K160" s="1886"/>
      <c r="L160" s="1886"/>
      <c r="M160" s="1886"/>
      <c r="N160" s="1886"/>
      <c r="O160" s="1886"/>
      <c r="P160" s="1886"/>
      <c r="Q160" s="1886"/>
      <c r="R160" s="1886"/>
      <c r="S160" s="1886"/>
      <c r="T160" s="1886"/>
      <c r="U160" s="1886"/>
      <c r="V160" s="1886"/>
      <c r="W160" s="1886"/>
      <c r="X160" s="1886"/>
    </row>
    <row r="161" spans="1:24" x14ac:dyDescent="0.2">
      <c r="A161" s="1886"/>
      <c r="B161" s="1886"/>
      <c r="C161" s="1886"/>
      <c r="D161" s="1886"/>
      <c r="E161" s="1886"/>
      <c r="F161" s="2131"/>
      <c r="G161" s="1886"/>
      <c r="H161" s="1886"/>
      <c r="I161" s="1886"/>
      <c r="J161" s="1886"/>
      <c r="K161" s="1886"/>
      <c r="L161" s="1886"/>
      <c r="M161" s="1886"/>
      <c r="N161" s="1886"/>
      <c r="O161" s="1886"/>
      <c r="P161" s="1886"/>
      <c r="Q161" s="1886"/>
      <c r="R161" s="1886"/>
      <c r="S161" s="1886"/>
      <c r="T161" s="1886"/>
      <c r="U161" s="1886"/>
      <c r="V161" s="1886"/>
      <c r="W161" s="1886"/>
      <c r="X161" s="1886"/>
    </row>
    <row r="162" spans="1:24" x14ac:dyDescent="0.2">
      <c r="A162" s="1886"/>
      <c r="B162" s="1886"/>
      <c r="C162" s="1886"/>
      <c r="D162" s="1886"/>
      <c r="E162" s="1886"/>
      <c r="F162" s="2131"/>
      <c r="G162" s="1886"/>
      <c r="H162" s="1886"/>
      <c r="I162" s="1886"/>
      <c r="J162" s="1886"/>
      <c r="K162" s="1886"/>
      <c r="L162" s="1886"/>
      <c r="M162" s="1886"/>
      <c r="N162" s="1886"/>
      <c r="O162" s="1886"/>
      <c r="P162" s="1886"/>
      <c r="Q162" s="1886"/>
      <c r="R162" s="1886"/>
      <c r="S162" s="1886"/>
      <c r="T162" s="1886"/>
      <c r="U162" s="1886"/>
      <c r="V162" s="1886"/>
      <c r="W162" s="1886"/>
      <c r="X162" s="1886"/>
    </row>
  </sheetData>
  <sheetProtection selectLockedCells="1" selectUnlockedCells="1"/>
  <mergeCells count="3">
    <mergeCell ref="A7:A8"/>
    <mergeCell ref="A10:A12"/>
    <mergeCell ref="A13:A19"/>
  </mergeCells>
  <pageMargins left="0.78740157499999996" right="0.78740157499999996" top="0.984251969" bottom="0.984251969" header="0.4921259845" footer="0.4921259845"/>
  <pageSetup paperSize="9"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F7F84-128A-4C26-8FF2-2A1111CD2CE8}">
  <dimension ref="A1:DA120"/>
  <sheetViews>
    <sheetView zoomScale="90" zoomScaleNormal="90" workbookViewId="0">
      <selection activeCell="L13" sqref="L13"/>
    </sheetView>
  </sheetViews>
  <sheetFormatPr defaultColWidth="11.42578125" defaultRowHeight="12.75" x14ac:dyDescent="0.2"/>
  <cols>
    <col min="1" max="1" width="8.42578125" style="1842" customWidth="1"/>
    <col min="2" max="2" width="37.42578125" style="1842" customWidth="1"/>
    <col min="3" max="3" width="15.85546875" style="1842" customWidth="1"/>
    <col min="4" max="4" width="15.140625" style="1842" customWidth="1"/>
    <col min="5" max="5" width="16.140625" style="1842" customWidth="1"/>
    <col min="6" max="6" width="11.42578125" style="1842" customWidth="1"/>
    <col min="7" max="7" width="11.42578125" style="1842"/>
    <col min="8" max="8" width="11.42578125" style="1842" customWidth="1"/>
    <col min="9" max="9" width="17" style="1842" customWidth="1"/>
    <col min="10" max="10" width="11.42578125" style="1842"/>
    <col min="11" max="11" width="38.42578125" style="1842" customWidth="1"/>
    <col min="12" max="12" width="20.42578125" style="1842" customWidth="1"/>
    <col min="13" max="13" width="11" style="1842" customWidth="1"/>
    <col min="14" max="14" width="11.85546875" style="1842" customWidth="1"/>
    <col min="15" max="16" width="11.42578125" style="1842"/>
    <col min="17" max="17" width="17.42578125" style="1842" customWidth="1"/>
    <col min="18" max="18" width="11.42578125" style="1842"/>
    <col min="19" max="19" width="27" style="1842" customWidth="1"/>
    <col min="20" max="16384" width="11.42578125" style="1842"/>
  </cols>
  <sheetData>
    <row r="1" spans="1:20" s="2225" customFormat="1" ht="26.1" customHeight="1" x14ac:dyDescent="0.25">
      <c r="A1" s="1908" t="s">
        <v>1237</v>
      </c>
      <c r="B1" s="1936"/>
      <c r="C1" s="1936"/>
      <c r="D1" s="1936"/>
      <c r="E1" s="1936"/>
      <c r="F1" s="2026"/>
      <c r="G1" s="2026"/>
      <c r="H1" s="2026"/>
      <c r="I1" s="2026"/>
      <c r="J1" s="2026"/>
      <c r="K1" s="2026"/>
      <c r="L1" s="2026"/>
      <c r="M1" s="2026"/>
      <c r="N1" s="2026"/>
      <c r="O1" s="2026"/>
      <c r="P1" s="2026"/>
      <c r="Q1" s="2026"/>
      <c r="R1" s="2026"/>
      <c r="S1" s="2026"/>
      <c r="T1" s="2224"/>
    </row>
    <row r="2" spans="1:20" ht="14.25" customHeight="1" x14ac:dyDescent="0.25">
      <c r="A2" s="2226"/>
      <c r="B2" s="2227"/>
      <c r="C2" s="2026"/>
      <c r="D2" s="2026"/>
      <c r="E2" s="2026"/>
      <c r="F2" s="1886"/>
      <c r="G2" s="1886"/>
      <c r="H2" s="1886"/>
      <c r="I2" s="1886"/>
      <c r="J2" s="1886"/>
      <c r="K2" s="1886"/>
      <c r="L2" s="1886"/>
      <c r="M2" s="1886"/>
      <c r="N2" s="1886"/>
      <c r="O2" s="1886"/>
      <c r="P2" s="1886"/>
      <c r="Q2" s="1886"/>
      <c r="R2" s="1886"/>
      <c r="S2" s="1886"/>
      <c r="T2" s="1886"/>
    </row>
    <row r="3" spans="1:20" ht="14.25" x14ac:dyDescent="0.25">
      <c r="A3" s="1886"/>
      <c r="B3" s="2228" t="s">
        <v>1238</v>
      </c>
      <c r="C3" s="2229">
        <f>+'CO2 - Cálculos'!AD58</f>
        <v>146000</v>
      </c>
      <c r="D3" s="2230"/>
      <c r="E3" s="2230"/>
      <c r="F3" s="1886"/>
      <c r="G3" s="1886"/>
      <c r="H3" s="1886"/>
      <c r="I3" s="1886"/>
      <c r="J3" s="1886"/>
      <c r="K3" s="1886"/>
      <c r="L3" s="1886"/>
      <c r="M3" s="1886"/>
      <c r="N3" s="1886"/>
      <c r="O3" s="1886"/>
      <c r="P3" s="1886"/>
      <c r="Q3" s="1886"/>
      <c r="R3" s="1886"/>
      <c r="S3" s="1886"/>
      <c r="T3" s="1886"/>
    </row>
    <row r="4" spans="1:20" ht="14.25" x14ac:dyDescent="0.25">
      <c r="A4" s="1886"/>
      <c r="B4" s="2231"/>
      <c r="C4" s="2232"/>
      <c r="D4" s="2233"/>
      <c r="E4" s="2233"/>
      <c r="F4" s="1886"/>
      <c r="G4" s="1886"/>
      <c r="H4" s="1886"/>
      <c r="I4" s="1886"/>
      <c r="J4" s="1886"/>
      <c r="K4" s="1886"/>
      <c r="L4" s="2234"/>
      <c r="M4" s="2234"/>
      <c r="N4" s="2234"/>
      <c r="O4" s="2234"/>
      <c r="P4" s="2234"/>
      <c r="Q4" s="2234"/>
      <c r="R4" s="2234"/>
      <c r="S4" s="1886"/>
      <c r="T4" s="1886"/>
    </row>
    <row r="5" spans="1:20" ht="14.25" x14ac:dyDescent="0.25">
      <c r="A5" s="1886"/>
      <c r="B5" s="2228" t="s">
        <v>1239</v>
      </c>
      <c r="C5" s="2229">
        <f>+'CO2 - Cálculos'!AD13</f>
        <v>4730.4000000000005</v>
      </c>
      <c r="D5" s="2230"/>
      <c r="E5" s="2230"/>
      <c r="F5" s="1886"/>
      <c r="G5" s="1886"/>
      <c r="H5" s="1886"/>
      <c r="I5" s="1886"/>
      <c r="J5" s="1886"/>
      <c r="K5" s="1886"/>
      <c r="L5" s="2234"/>
      <c r="M5" s="2234"/>
      <c r="N5" s="2234"/>
      <c r="O5" s="2958" t="s">
        <v>1240</v>
      </c>
      <c r="P5" s="2959"/>
      <c r="Q5" s="2234"/>
      <c r="R5" s="2234"/>
      <c r="S5" s="1886"/>
      <c r="T5" s="1886"/>
    </row>
    <row r="6" spans="1:20" ht="14.25" x14ac:dyDescent="0.25">
      <c r="A6" s="1886"/>
      <c r="B6" s="2235"/>
      <c r="C6" s="2236"/>
      <c r="D6" s="2230"/>
      <c r="E6" s="2230"/>
      <c r="F6" s="1886"/>
      <c r="G6" s="1886"/>
      <c r="H6" s="1886"/>
      <c r="I6" s="1886"/>
      <c r="J6" s="1886"/>
      <c r="K6" s="1886"/>
      <c r="L6" s="2234"/>
      <c r="M6" s="2234"/>
      <c r="N6" s="2234"/>
      <c r="O6" s="2960">
        <f>+C3</f>
        <v>146000</v>
      </c>
      <c r="P6" s="2961"/>
      <c r="Q6" s="2234"/>
      <c r="R6" s="2234"/>
      <c r="S6" s="1886"/>
      <c r="T6" s="1886"/>
    </row>
    <row r="7" spans="1:20" ht="14.25" x14ac:dyDescent="0.25">
      <c r="A7" s="1886"/>
      <c r="B7" s="2237" t="s">
        <v>1108</v>
      </c>
      <c r="C7" s="2238">
        <f>+'CO2 - Cálculos'!AD5</f>
        <v>0</v>
      </c>
      <c r="D7" s="2230"/>
      <c r="E7" s="2230"/>
      <c r="F7" s="1886"/>
      <c r="G7" s="1886"/>
      <c r="H7" s="1886"/>
      <c r="I7" s="1886"/>
      <c r="J7" s="1886"/>
      <c r="K7" s="1886"/>
      <c r="L7" s="2234"/>
      <c r="M7" s="2239"/>
      <c r="N7" s="2234"/>
      <c r="O7" s="2234"/>
      <c r="P7" s="2234"/>
      <c r="Q7" s="2234"/>
      <c r="R7" s="2234"/>
      <c r="S7" s="1886"/>
      <c r="T7" s="1886"/>
    </row>
    <row r="8" spans="1:20" ht="14.25" x14ac:dyDescent="0.25">
      <c r="A8" s="1886"/>
      <c r="B8" s="2237" t="s">
        <v>1109</v>
      </c>
      <c r="C8" s="2238">
        <f>+'CO2 - Cálculos'!AD6</f>
        <v>0</v>
      </c>
      <c r="D8" s="2230"/>
      <c r="E8" s="2230"/>
      <c r="F8" s="1886"/>
      <c r="G8" s="1886"/>
      <c r="H8" s="1886"/>
      <c r="I8" s="1886"/>
      <c r="J8" s="1886"/>
      <c r="K8" s="1886"/>
      <c r="L8" s="2234"/>
      <c r="M8" s="2234"/>
      <c r="N8" s="2234"/>
      <c r="O8" s="2234"/>
      <c r="P8" s="2234"/>
      <c r="Q8" s="2234"/>
      <c r="R8" s="2234"/>
      <c r="S8" s="1886"/>
      <c r="T8" s="1886"/>
    </row>
    <row r="9" spans="1:20" ht="14.25" x14ac:dyDescent="0.25">
      <c r="A9" s="1886"/>
      <c r="B9" s="2237" t="s">
        <v>1110</v>
      </c>
      <c r="C9" s="2238">
        <f>+'CO2 - Cálculos'!AD7</f>
        <v>1912.6000000000001</v>
      </c>
      <c r="D9" s="2230"/>
      <c r="E9" s="2230"/>
      <c r="F9" s="1886"/>
      <c r="G9" s="1886"/>
      <c r="H9" s="1886"/>
      <c r="I9" s="1886"/>
      <c r="J9" s="1886"/>
      <c r="K9" s="1886"/>
      <c r="L9" s="2234"/>
      <c r="M9" s="2240" t="s">
        <v>1048</v>
      </c>
      <c r="N9" s="2241">
        <f>+C5</f>
        <v>4730.4000000000005</v>
      </c>
      <c r="O9" s="2242">
        <f>+N9/O6</f>
        <v>3.2400000000000005E-2</v>
      </c>
      <c r="P9" s="2243">
        <f>+Q9/O6</f>
        <v>0.96760000000000002</v>
      </c>
      <c r="Q9" s="2244">
        <f>+C16</f>
        <v>141269.6</v>
      </c>
      <c r="R9" s="2245" t="s">
        <v>1241</v>
      </c>
      <c r="S9" s="1886"/>
      <c r="T9" s="1886"/>
    </row>
    <row r="10" spans="1:20" ht="14.25" x14ac:dyDescent="0.25">
      <c r="A10" s="1886"/>
      <c r="B10" s="2237" t="s">
        <v>1111</v>
      </c>
      <c r="C10" s="2238">
        <f>+'CO2 - Cálculos'!AD8</f>
        <v>1971</v>
      </c>
      <c r="D10" s="2230"/>
      <c r="E10" s="2230"/>
      <c r="F10" s="1886"/>
      <c r="G10" s="1886"/>
      <c r="H10" s="1886"/>
      <c r="I10" s="1886"/>
      <c r="J10" s="1886"/>
      <c r="K10" s="1886"/>
      <c r="L10" s="2234"/>
      <c r="M10" s="2246"/>
      <c r="N10" s="2247"/>
      <c r="O10" s="2248"/>
      <c r="P10" s="2234"/>
      <c r="Q10" s="2249"/>
      <c r="R10" s="2250"/>
      <c r="S10" s="1886"/>
      <c r="T10" s="1886"/>
    </row>
    <row r="11" spans="1:20" ht="14.25" x14ac:dyDescent="0.25">
      <c r="A11" s="1886"/>
      <c r="B11" s="2237" t="s">
        <v>50</v>
      </c>
      <c r="C11" s="2238">
        <f>+'CO2 - Cálculos'!AD9</f>
        <v>0</v>
      </c>
      <c r="D11" s="2230"/>
      <c r="E11" s="2230"/>
      <c r="F11" s="1886"/>
      <c r="G11" s="1886"/>
      <c r="H11" s="1886"/>
      <c r="I11" s="1886"/>
      <c r="J11" s="1886"/>
      <c r="K11" s="1886"/>
      <c r="L11" s="2234"/>
      <c r="M11" s="2240" t="str">
        <f t="shared" ref="M11:N18" si="0">+B7</f>
        <v>Resíduos de alimentos</v>
      </c>
      <c r="N11" s="2251">
        <f t="shared" si="0"/>
        <v>0</v>
      </c>
      <c r="O11" s="2252">
        <f t="shared" ref="O11:O18" si="1">+N11/$N$9</f>
        <v>0</v>
      </c>
      <c r="P11" s="2253">
        <f t="shared" ref="P11:P19" si="2">+Q11/$Q$9</f>
        <v>0</v>
      </c>
      <c r="Q11" s="2254">
        <f t="shared" ref="Q11:Q19" si="3">+C18</f>
        <v>0</v>
      </c>
      <c r="R11" s="2245" t="str">
        <f t="shared" ref="R11:R19" si="4">+B18</f>
        <v>Resíduos dispersos</v>
      </c>
      <c r="S11" s="1886"/>
      <c r="T11" s="1886"/>
    </row>
    <row r="12" spans="1:20" ht="14.25" x14ac:dyDescent="0.25">
      <c r="A12" s="1886"/>
      <c r="B12" s="2237" t="s">
        <v>1112</v>
      </c>
      <c r="C12" s="2238">
        <f>+'CO2 - Cálculos'!AD10</f>
        <v>671.6</v>
      </c>
      <c r="D12" s="2230"/>
      <c r="E12" s="2230"/>
      <c r="F12" s="1886"/>
      <c r="G12" s="1886"/>
      <c r="H12" s="1886"/>
      <c r="I12" s="1886"/>
      <c r="J12" s="1886"/>
      <c r="K12" s="1886"/>
      <c r="L12" s="2234"/>
      <c r="M12" s="2240" t="str">
        <f t="shared" si="0"/>
        <v>Resíduos de jardins e parques</v>
      </c>
      <c r="N12" s="2251">
        <f t="shared" si="0"/>
        <v>0</v>
      </c>
      <c r="O12" s="2252">
        <f t="shared" si="1"/>
        <v>0</v>
      </c>
      <c r="P12" s="2253">
        <f t="shared" si="2"/>
        <v>0</v>
      </c>
      <c r="Q12" s="2254">
        <f t="shared" si="3"/>
        <v>0</v>
      </c>
      <c r="R12" s="2245" t="str">
        <f t="shared" si="4"/>
        <v>Queima a céu aberto</v>
      </c>
      <c r="S12" s="1886"/>
      <c r="T12" s="1886"/>
    </row>
    <row r="13" spans="1:20" ht="14.25" x14ac:dyDescent="0.25">
      <c r="A13" s="1886"/>
      <c r="B13" s="2237" t="s">
        <v>1113</v>
      </c>
      <c r="C13" s="2238">
        <f>+'CO2 - Cálculos'!AD11</f>
        <v>175.20000000000002</v>
      </c>
      <c r="D13" s="2230"/>
      <c r="E13" s="2230"/>
      <c r="F13" s="1886"/>
      <c r="G13" s="1886"/>
      <c r="H13" s="1886"/>
      <c r="I13" s="1886"/>
      <c r="J13" s="1886"/>
      <c r="K13" s="1886"/>
      <c r="L13" s="2234"/>
      <c r="M13" s="2240" t="str">
        <f t="shared" si="0"/>
        <v>Papel, papelão</v>
      </c>
      <c r="N13" s="2251">
        <f t="shared" si="0"/>
        <v>1912.6000000000001</v>
      </c>
      <c r="O13" s="2252">
        <f t="shared" si="1"/>
        <v>0.40432098765432095</v>
      </c>
      <c r="P13" s="2253">
        <f t="shared" si="2"/>
        <v>0</v>
      </c>
      <c r="Q13" s="2254">
        <f t="shared" si="3"/>
        <v>0</v>
      </c>
      <c r="R13" s="2245" t="str">
        <f t="shared" si="4"/>
        <v>Lixão não controlado</v>
      </c>
      <c r="S13" s="1886"/>
      <c r="T13" s="1886"/>
    </row>
    <row r="14" spans="1:20" ht="14.25" x14ac:dyDescent="0.25">
      <c r="A14" s="1886"/>
      <c r="B14" s="2237" t="s">
        <v>1114</v>
      </c>
      <c r="C14" s="2238">
        <f>+'CO2 - Cálculos'!AD12</f>
        <v>0</v>
      </c>
      <c r="D14" s="2230"/>
      <c r="E14" s="2230"/>
      <c r="F14" s="1886"/>
      <c r="G14" s="1886"/>
      <c r="H14" s="1886"/>
      <c r="I14" s="1886"/>
      <c r="J14" s="1886"/>
      <c r="K14" s="1886"/>
      <c r="L14" s="2234"/>
      <c r="M14" s="2240" t="str">
        <f t="shared" si="0"/>
        <v>Plásticos</v>
      </c>
      <c r="N14" s="2251">
        <f t="shared" si="0"/>
        <v>1971</v>
      </c>
      <c r="O14" s="2252">
        <f t="shared" si="1"/>
        <v>0.41666666666666663</v>
      </c>
      <c r="P14" s="2253">
        <f t="shared" si="2"/>
        <v>0</v>
      </c>
      <c r="Q14" s="2254">
        <f t="shared" si="3"/>
        <v>0</v>
      </c>
      <c r="R14" s="2245" t="str">
        <f t="shared" si="4"/>
        <v>Aterro controlado</v>
      </c>
      <c r="S14" s="1886"/>
      <c r="T14" s="1886"/>
    </row>
    <row r="15" spans="1:20" ht="14.25" x14ac:dyDescent="0.25">
      <c r="A15" s="1886"/>
      <c r="B15" s="2255"/>
      <c r="C15" s="2236"/>
      <c r="D15" s="2230"/>
      <c r="E15" s="2230"/>
      <c r="F15" s="1886"/>
      <c r="G15" s="1886"/>
      <c r="H15" s="1886"/>
      <c r="I15" s="1886"/>
      <c r="J15" s="1886"/>
      <c r="K15" s="1886"/>
      <c r="L15" s="2234"/>
      <c r="M15" s="2240" t="str">
        <f t="shared" si="0"/>
        <v>Vidros</v>
      </c>
      <c r="N15" s="2251">
        <f t="shared" si="0"/>
        <v>0</v>
      </c>
      <c r="O15" s="2252">
        <f t="shared" si="1"/>
        <v>0</v>
      </c>
      <c r="P15" s="2253">
        <f t="shared" si="2"/>
        <v>1</v>
      </c>
      <c r="Q15" s="2254">
        <f t="shared" si="3"/>
        <v>141269.6</v>
      </c>
      <c r="R15" s="2245" t="str">
        <f t="shared" si="4"/>
        <v>Aterro sanitário</v>
      </c>
      <c r="S15" s="1886"/>
      <c r="T15" s="1886"/>
    </row>
    <row r="16" spans="1:20" ht="14.25" x14ac:dyDescent="0.25">
      <c r="A16" s="1886"/>
      <c r="B16" s="2256" t="s">
        <v>1242</v>
      </c>
      <c r="C16" s="2229">
        <f>+'CO2 - Cálculos'!AD57</f>
        <v>141269.6</v>
      </c>
      <c r="D16" s="2230"/>
      <c r="E16" s="2230"/>
      <c r="F16" s="1886"/>
      <c r="G16" s="1886"/>
      <c r="H16" s="1886"/>
      <c r="I16" s="1886"/>
      <c r="J16" s="1886"/>
      <c r="K16" s="1886"/>
      <c r="L16" s="2234"/>
      <c r="M16" s="2240" t="str">
        <f t="shared" si="0"/>
        <v>Metais ferrosos</v>
      </c>
      <c r="N16" s="2251">
        <f t="shared" si="0"/>
        <v>671.6</v>
      </c>
      <c r="O16" s="2252">
        <f t="shared" si="1"/>
        <v>0.1419753086419753</v>
      </c>
      <c r="P16" s="2253">
        <f t="shared" si="2"/>
        <v>0</v>
      </c>
      <c r="Q16" s="2254">
        <f t="shared" si="3"/>
        <v>0</v>
      </c>
      <c r="R16" s="2245" t="str">
        <f t="shared" si="4"/>
        <v>Trat. biol + cobertura at.</v>
      </c>
      <c r="S16" s="1886"/>
      <c r="T16" s="1886"/>
    </row>
    <row r="17" spans="1:52" ht="14.25" x14ac:dyDescent="0.25">
      <c r="A17" s="1886"/>
      <c r="B17" s="2235"/>
      <c r="C17" s="2236"/>
      <c r="D17" s="2230"/>
      <c r="E17" s="2230"/>
      <c r="F17" s="1886"/>
      <c r="G17" s="1886"/>
      <c r="H17" s="1886"/>
      <c r="I17" s="1886"/>
      <c r="J17" s="1886"/>
      <c r="K17" s="1886"/>
      <c r="L17" s="2234"/>
      <c r="M17" s="2240" t="str">
        <f t="shared" si="0"/>
        <v>Alumínio</v>
      </c>
      <c r="N17" s="2251">
        <f t="shared" si="0"/>
        <v>175.20000000000002</v>
      </c>
      <c r="O17" s="2252">
        <f t="shared" si="1"/>
        <v>3.7037037037037035E-2</v>
      </c>
      <c r="P17" s="2253">
        <f t="shared" si="2"/>
        <v>0</v>
      </c>
      <c r="Q17" s="2254">
        <f t="shared" si="3"/>
        <v>0</v>
      </c>
      <c r="R17" s="2245" t="str">
        <f t="shared" si="4"/>
        <v>CDR seco + rejeito aterro</v>
      </c>
      <c r="S17" s="1886"/>
      <c r="T17" s="1886"/>
    </row>
    <row r="18" spans="1:52" ht="14.25" x14ac:dyDescent="0.25">
      <c r="A18" s="1886"/>
      <c r="B18" s="2237" t="s">
        <v>1243</v>
      </c>
      <c r="C18" s="2238">
        <f>+'CO2 - Cálculos'!AD47</f>
        <v>0</v>
      </c>
      <c r="D18" s="2230"/>
      <c r="E18" s="2230"/>
      <c r="F18" s="1886"/>
      <c r="G18" s="1886"/>
      <c r="H18" s="1886"/>
      <c r="I18" s="1886"/>
      <c r="J18" s="1886"/>
      <c r="K18" s="1886"/>
      <c r="L18" s="2234"/>
      <c r="M18" s="2240" t="str">
        <f t="shared" si="0"/>
        <v>Têxteis</v>
      </c>
      <c r="N18" s="2251">
        <f t="shared" si="0"/>
        <v>0</v>
      </c>
      <c r="O18" s="2252">
        <f t="shared" si="1"/>
        <v>0</v>
      </c>
      <c r="P18" s="2253">
        <f t="shared" si="2"/>
        <v>0</v>
      </c>
      <c r="Q18" s="2254">
        <f t="shared" si="3"/>
        <v>0</v>
      </c>
      <c r="R18" s="2245" t="str">
        <f t="shared" si="4"/>
        <v>CDR seco + trat. biol.</v>
      </c>
      <c r="S18" s="1886"/>
      <c r="T18" s="1886"/>
    </row>
    <row r="19" spans="1:52" ht="14.25" x14ac:dyDescent="0.25">
      <c r="A19" s="1886"/>
      <c r="B19" s="2237" t="s">
        <v>1244</v>
      </c>
      <c r="C19" s="2238">
        <f>+'CO2 - Cálculos'!AD48</f>
        <v>0</v>
      </c>
      <c r="D19" s="2230"/>
      <c r="E19" s="2230"/>
      <c r="F19" s="1886"/>
      <c r="G19" s="1886"/>
      <c r="H19" s="1886"/>
      <c r="I19" s="1886"/>
      <c r="J19" s="1886"/>
      <c r="K19" s="1886"/>
      <c r="L19" s="2234"/>
      <c r="M19" s="2234"/>
      <c r="N19" s="2234"/>
      <c r="O19" s="2257"/>
      <c r="P19" s="2253">
        <f t="shared" si="2"/>
        <v>0</v>
      </c>
      <c r="Q19" s="2254">
        <f t="shared" si="3"/>
        <v>0</v>
      </c>
      <c r="R19" s="2245" t="str">
        <f t="shared" si="4"/>
        <v>CDR seco + CDR org.</v>
      </c>
      <c r="S19" s="1886"/>
      <c r="T19" s="1886"/>
    </row>
    <row r="20" spans="1:52" ht="14.25" x14ac:dyDescent="0.25">
      <c r="A20" s="1886"/>
      <c r="B20" s="2237" t="s">
        <v>1245</v>
      </c>
      <c r="C20" s="2238">
        <f>+'CO2 - Cálculos'!AD49</f>
        <v>0</v>
      </c>
      <c r="D20" s="2230"/>
      <c r="E20" s="2230"/>
      <c r="F20" s="1886"/>
      <c r="G20" s="1886"/>
      <c r="H20" s="1886"/>
      <c r="I20" s="1886"/>
      <c r="J20" s="1886"/>
      <c r="K20" s="1886"/>
      <c r="L20" s="2234"/>
      <c r="M20" s="2234"/>
      <c r="N20" s="2234"/>
      <c r="O20" s="2234"/>
      <c r="P20" s="2253">
        <f>+Q20/$Q$9</f>
        <v>0</v>
      </c>
      <c r="Q20" s="2254">
        <f>+C27</f>
        <v>0</v>
      </c>
      <c r="R20" s="2245" t="str">
        <f>+B27</f>
        <v>Incineração</v>
      </c>
      <c r="S20" s="1886"/>
      <c r="T20" s="1886"/>
    </row>
    <row r="21" spans="1:52" ht="14.25" x14ac:dyDescent="0.25">
      <c r="A21" s="1886"/>
      <c r="B21" s="2237" t="s">
        <v>1246</v>
      </c>
      <c r="C21" s="2238">
        <f>+'CO2 - Cálculos'!AD50</f>
        <v>0</v>
      </c>
      <c r="D21" s="2230"/>
      <c r="E21" s="2230"/>
      <c r="F21" s="1886"/>
      <c r="G21" s="1886"/>
      <c r="H21" s="1886"/>
      <c r="I21" s="1886"/>
      <c r="J21" s="1886"/>
      <c r="K21" s="1886"/>
      <c r="L21" s="1886"/>
      <c r="M21" s="1886"/>
      <c r="N21" s="1886"/>
      <c r="O21" s="1886"/>
      <c r="P21" s="1886"/>
      <c r="Q21" s="1886"/>
      <c r="R21" s="2258"/>
      <c r="S21" s="1886"/>
      <c r="T21" s="1886"/>
    </row>
    <row r="22" spans="1:52" ht="14.25" x14ac:dyDescent="0.25">
      <c r="A22" s="1886"/>
      <c r="B22" s="2259" t="s">
        <v>64</v>
      </c>
      <c r="C22" s="2238">
        <f>+'CO2 - Cálculos'!AD51</f>
        <v>141269.6</v>
      </c>
      <c r="D22" s="2230"/>
      <c r="E22" s="2230"/>
      <c r="F22" s="1886"/>
      <c r="G22" s="1886"/>
      <c r="H22" s="1886"/>
      <c r="I22" s="1886"/>
      <c r="J22" s="1886"/>
      <c r="K22" s="1886"/>
      <c r="L22" s="1886"/>
      <c r="M22" s="1886"/>
      <c r="N22" s="1886"/>
      <c r="O22" s="1886"/>
      <c r="P22" s="1886"/>
      <c r="Q22" s="1886"/>
      <c r="R22" s="1886"/>
      <c r="S22" s="1886"/>
      <c r="T22" s="1886"/>
    </row>
    <row r="23" spans="1:52" ht="14.25" x14ac:dyDescent="0.25">
      <c r="A23" s="1886"/>
      <c r="B23" s="2260" t="s">
        <v>1247</v>
      </c>
      <c r="C23" s="2261">
        <f>+'CO2 - Cálculos'!AD52</f>
        <v>0</v>
      </c>
      <c r="D23" s="2230"/>
      <c r="E23" s="2230"/>
      <c r="F23" s="1886"/>
      <c r="G23" s="1886"/>
      <c r="H23" s="1886"/>
      <c r="I23" s="1886"/>
      <c r="J23" s="1886"/>
      <c r="K23" s="1886"/>
      <c r="L23" s="1886"/>
      <c r="M23" s="1886"/>
      <c r="N23" s="1886"/>
      <c r="O23" s="1886"/>
      <c r="P23" s="1886"/>
      <c r="Q23" s="1886"/>
      <c r="R23" s="1886"/>
      <c r="S23" s="1886"/>
      <c r="T23" s="1886"/>
    </row>
    <row r="24" spans="1:52" ht="14.25" x14ac:dyDescent="0.25">
      <c r="A24" s="1886"/>
      <c r="B24" s="2260" t="s">
        <v>1248</v>
      </c>
      <c r="C24" s="2238">
        <f>+'CO2 - Cálculos'!AD53</f>
        <v>0</v>
      </c>
      <c r="D24" s="2230"/>
      <c r="E24" s="2230"/>
      <c r="F24" s="1886"/>
      <c r="G24" s="1886"/>
      <c r="H24" s="1886"/>
      <c r="I24" s="1886"/>
      <c r="J24" s="1886"/>
      <c r="K24" s="1886"/>
      <c r="L24" s="1886"/>
      <c r="M24" s="1886"/>
      <c r="N24" s="1886"/>
      <c r="O24" s="1886"/>
      <c r="P24" s="1886"/>
      <c r="Q24" s="1886"/>
      <c r="R24" s="1886"/>
      <c r="S24" s="1886"/>
      <c r="T24" s="1886"/>
    </row>
    <row r="25" spans="1:52" ht="14.25" x14ac:dyDescent="0.25">
      <c r="A25" s="1886"/>
      <c r="B25" s="2260" t="s">
        <v>1249</v>
      </c>
      <c r="C25" s="2238">
        <f>+'CO2 - Cálculos'!AD54</f>
        <v>0</v>
      </c>
      <c r="D25" s="2230"/>
      <c r="E25" s="2230"/>
      <c r="F25" s="1886"/>
      <c r="G25" s="1886"/>
      <c r="H25" s="1886"/>
      <c r="I25" s="1886"/>
      <c r="J25" s="1886"/>
      <c r="K25" s="1886"/>
      <c r="L25" s="1886"/>
      <c r="M25" s="1886"/>
      <c r="N25" s="1886"/>
      <c r="O25" s="1886"/>
      <c r="P25" s="1886"/>
      <c r="Q25" s="1886"/>
      <c r="R25" s="1886"/>
      <c r="S25" s="1886"/>
      <c r="T25" s="1886"/>
    </row>
    <row r="26" spans="1:52" ht="14.25" x14ac:dyDescent="0.25">
      <c r="A26" s="1886"/>
      <c r="B26" s="2260" t="s">
        <v>1250</v>
      </c>
      <c r="C26" s="2238">
        <f>+'CO2 - Cálculos'!AD55</f>
        <v>0</v>
      </c>
      <c r="D26" s="2230"/>
      <c r="E26" s="2230"/>
      <c r="F26" s="1886"/>
      <c r="G26" s="1886"/>
      <c r="H26" s="1886"/>
      <c r="I26" s="1886"/>
      <c r="J26" s="1886"/>
      <c r="K26" s="1886"/>
      <c r="L26" s="1886"/>
      <c r="M26" s="1886"/>
      <c r="N26" s="1886"/>
      <c r="O26" s="1886"/>
      <c r="P26" s="1886"/>
      <c r="Q26" s="1886"/>
      <c r="R26" s="1886"/>
      <c r="S26" s="1886"/>
      <c r="T26" s="1886"/>
    </row>
    <row r="27" spans="1:52" ht="14.25" x14ac:dyDescent="0.25">
      <c r="A27" s="1886"/>
      <c r="B27" s="2237" t="s">
        <v>63</v>
      </c>
      <c r="C27" s="2238">
        <f>+'CO2 - Cálculos'!AD56</f>
        <v>0</v>
      </c>
      <c r="D27" s="2230"/>
      <c r="E27" s="2230"/>
      <c r="F27" s="1886"/>
      <c r="G27" s="1886"/>
      <c r="H27" s="1886"/>
      <c r="I27" s="1886"/>
      <c r="J27" s="1886"/>
      <c r="K27" s="1886"/>
      <c r="L27" s="1886"/>
      <c r="M27" s="1886"/>
      <c r="N27" s="1886"/>
      <c r="O27" s="1886"/>
      <c r="P27" s="1886"/>
      <c r="Q27" s="1886"/>
      <c r="R27" s="1886"/>
      <c r="S27" s="1886"/>
      <c r="T27" s="1886"/>
    </row>
    <row r="28" spans="1:52" x14ac:dyDescent="0.2">
      <c r="A28" s="1886"/>
      <c r="B28" s="1886"/>
      <c r="C28" s="2230"/>
      <c r="D28" s="2230"/>
      <c r="E28" s="2230"/>
      <c r="F28" s="1886"/>
      <c r="G28" s="1886"/>
      <c r="H28" s="1886"/>
      <c r="I28" s="1886"/>
      <c r="J28" s="1886"/>
      <c r="K28" s="1886"/>
      <c r="L28" s="1886"/>
      <c r="M28" s="1886"/>
      <c r="N28" s="1886"/>
      <c r="O28" s="1886"/>
      <c r="P28" s="1886"/>
      <c r="Q28" s="1886"/>
      <c r="R28" s="1886"/>
      <c r="S28" s="1886"/>
      <c r="T28" s="1886"/>
    </row>
    <row r="29" spans="1:52" s="2225" customFormat="1" ht="26.1" customHeight="1" x14ac:dyDescent="0.2">
      <c r="A29" s="2059" t="s">
        <v>1251</v>
      </c>
      <c r="B29" s="2262"/>
      <c r="C29" s="1981"/>
      <c r="D29" s="1981"/>
      <c r="E29" s="1981"/>
      <c r="F29" s="2026"/>
      <c r="G29" s="2026"/>
      <c r="H29" s="2026"/>
      <c r="I29" s="2026"/>
      <c r="J29" s="2026"/>
      <c r="K29" s="2026"/>
      <c r="L29" s="2026"/>
      <c r="M29" s="2026"/>
      <c r="N29" s="2026"/>
      <c r="O29" s="2026"/>
      <c r="P29" s="2026"/>
      <c r="Q29" s="2026"/>
      <c r="R29" s="2026"/>
      <c r="S29" s="2026"/>
      <c r="T29" s="2026"/>
      <c r="U29" s="1841"/>
      <c r="V29" s="1841"/>
      <c r="W29" s="1841"/>
      <c r="X29" s="1841"/>
      <c r="Y29" s="1841"/>
      <c r="Z29" s="1841"/>
      <c r="AA29" s="1841"/>
      <c r="AB29" s="1841"/>
      <c r="AC29" s="1841"/>
      <c r="AD29" s="1841"/>
      <c r="AE29" s="1841"/>
      <c r="AF29" s="1841"/>
      <c r="AG29" s="1841"/>
      <c r="AH29" s="1841"/>
      <c r="AI29" s="1841"/>
      <c r="AJ29" s="1841"/>
      <c r="AK29" s="1841"/>
      <c r="AL29" s="1841"/>
      <c r="AM29" s="1841"/>
      <c r="AN29" s="1841"/>
      <c r="AO29" s="1841"/>
      <c r="AP29" s="1841"/>
      <c r="AQ29" s="1841"/>
      <c r="AR29" s="1841"/>
      <c r="AS29" s="1841"/>
      <c r="AT29" s="1841"/>
      <c r="AU29" s="1841"/>
      <c r="AV29" s="1841"/>
      <c r="AW29" s="1841"/>
      <c r="AX29" s="1841"/>
      <c r="AY29" s="1841"/>
      <c r="AZ29" s="1841"/>
    </row>
    <row r="30" spans="1:52"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52" ht="15.75" x14ac:dyDescent="0.25">
      <c r="A31" s="1886"/>
      <c r="B31" s="2264"/>
      <c r="C31" s="2265" t="s">
        <v>1252</v>
      </c>
      <c r="D31" s="2266" t="s">
        <v>1253</v>
      </c>
      <c r="E31" s="2266" t="s">
        <v>1254</v>
      </c>
      <c r="F31" s="1886"/>
      <c r="G31" s="1886"/>
      <c r="H31" s="2267"/>
      <c r="I31" s="1886"/>
      <c r="J31" s="1886"/>
      <c r="K31" s="1886"/>
      <c r="L31" s="1886"/>
      <c r="M31" s="1886"/>
      <c r="N31" s="1886"/>
      <c r="O31" s="1886"/>
      <c r="P31" s="1886"/>
      <c r="Q31" s="1886"/>
      <c r="R31" s="1886"/>
      <c r="S31" s="1886"/>
      <c r="T31" s="1886"/>
    </row>
    <row r="32" spans="1:52" ht="14.25" x14ac:dyDescent="0.25">
      <c r="A32" s="1886"/>
      <c r="B32" s="2268" t="s">
        <v>1239</v>
      </c>
      <c r="C32" s="2269"/>
      <c r="D32" s="2231"/>
      <c r="E32" s="2231"/>
      <c r="F32" s="1886"/>
      <c r="G32" s="1886"/>
      <c r="H32" s="1886"/>
      <c r="I32" s="1886"/>
      <c r="J32" s="1886"/>
      <c r="K32" s="1886"/>
      <c r="L32" s="1886"/>
      <c r="M32" s="1886"/>
      <c r="N32" s="1886"/>
      <c r="O32" s="1886"/>
      <c r="P32" s="1886"/>
      <c r="Q32" s="1886"/>
      <c r="R32" s="1886"/>
      <c r="S32" s="1886"/>
      <c r="T32" s="1886"/>
    </row>
    <row r="33" spans="1:20" ht="14.25" x14ac:dyDescent="0.25">
      <c r="A33" s="1886"/>
      <c r="B33" s="2270"/>
      <c r="C33" s="2271"/>
      <c r="D33" s="2271"/>
      <c r="E33" s="2271"/>
      <c r="F33" s="1886"/>
      <c r="G33" s="1886"/>
      <c r="H33" s="1886"/>
      <c r="I33" s="1886"/>
      <c r="J33" s="1886"/>
      <c r="K33" s="1886"/>
      <c r="L33" s="1886"/>
      <c r="M33" s="1886"/>
      <c r="N33" s="1886"/>
      <c r="O33" s="1886"/>
      <c r="P33" s="1886"/>
      <c r="Q33" s="1886"/>
      <c r="R33" s="1886"/>
      <c r="S33" s="1886"/>
      <c r="T33" s="1886"/>
    </row>
    <row r="34" spans="1:20" ht="14.25" x14ac:dyDescent="0.25">
      <c r="A34" s="1886"/>
      <c r="B34" s="2222" t="str">
        <f>B7</f>
        <v>Resíduos de alimentos</v>
      </c>
      <c r="C34" s="2238">
        <f>+C62</f>
        <v>0</v>
      </c>
      <c r="D34" s="2238">
        <f>+C71</f>
        <v>0</v>
      </c>
      <c r="E34" s="2238">
        <f t="shared" ref="E34:E41" si="5">+D34+C34</f>
        <v>0</v>
      </c>
      <c r="F34" s="1886"/>
      <c r="G34" s="1886"/>
      <c r="H34" s="1886"/>
      <c r="I34" s="1886"/>
      <c r="J34" s="1886"/>
      <c r="K34" s="1886"/>
      <c r="L34" s="1886"/>
      <c r="M34" s="1886"/>
      <c r="N34" s="1886"/>
      <c r="O34" s="1886"/>
      <c r="P34" s="1886"/>
      <c r="Q34" s="1886"/>
      <c r="R34" s="1886"/>
      <c r="S34" s="1886"/>
      <c r="T34" s="1886"/>
    </row>
    <row r="35" spans="1:20" ht="14.25" x14ac:dyDescent="0.25">
      <c r="A35" s="1886"/>
      <c r="B35" s="2222" t="str">
        <f t="shared" ref="B35:B41" si="6">B8</f>
        <v>Resíduos de jardins e parques</v>
      </c>
      <c r="C35" s="2238">
        <f t="shared" ref="C35:C41" si="7">+C63</f>
        <v>0</v>
      </c>
      <c r="D35" s="2238">
        <f t="shared" ref="D35:D41" si="8">+C72</f>
        <v>0</v>
      </c>
      <c r="E35" s="2238">
        <f t="shared" si="5"/>
        <v>0</v>
      </c>
      <c r="F35" s="1886"/>
      <c r="G35" s="1886"/>
      <c r="H35" s="1886"/>
      <c r="I35" s="1886"/>
      <c r="J35" s="1886"/>
      <c r="K35" s="1886"/>
      <c r="L35" s="1886"/>
      <c r="M35" s="1886"/>
      <c r="N35" s="1886"/>
      <c r="O35" s="1886"/>
      <c r="P35" s="1886"/>
      <c r="Q35" s="1886"/>
      <c r="R35" s="1886"/>
      <c r="S35" s="1886"/>
      <c r="T35" s="1886"/>
    </row>
    <row r="36" spans="1:20" ht="14.25" x14ac:dyDescent="0.25">
      <c r="A36" s="1886"/>
      <c r="B36" s="2222" t="str">
        <f t="shared" si="6"/>
        <v>Papel, papelão</v>
      </c>
      <c r="C36" s="2238">
        <f t="shared" si="7"/>
        <v>2402.2256000000002</v>
      </c>
      <c r="D36" s="2238">
        <f t="shared" si="8"/>
        <v>-2960.7048000000004</v>
      </c>
      <c r="E36" s="2238">
        <f t="shared" si="5"/>
        <v>-558.47920000000022</v>
      </c>
      <c r="F36" s="1886"/>
      <c r="G36" s="1886"/>
      <c r="H36" s="1886"/>
      <c r="I36" s="1886"/>
      <c r="J36" s="1886"/>
      <c r="K36" s="1886"/>
      <c r="L36" s="1886"/>
      <c r="M36" s="1886"/>
      <c r="N36" s="1886"/>
      <c r="O36" s="1886"/>
      <c r="P36" s="1886"/>
      <c r="Q36" s="1886"/>
      <c r="R36" s="1886"/>
      <c r="S36" s="1886"/>
      <c r="T36" s="1886"/>
    </row>
    <row r="37" spans="1:20" ht="14.25" x14ac:dyDescent="0.25">
      <c r="A37" s="1886"/>
      <c r="B37" s="2222" t="str">
        <f t="shared" si="6"/>
        <v>Plásticos</v>
      </c>
      <c r="C37" s="2238">
        <f t="shared" si="7"/>
        <v>808.11</v>
      </c>
      <c r="D37" s="2238">
        <f t="shared" si="8"/>
        <v>-3764.2157999999999</v>
      </c>
      <c r="E37" s="2238">
        <f t="shared" si="5"/>
        <v>-2956.1057999999998</v>
      </c>
      <c r="F37" s="1886"/>
      <c r="G37" s="1886"/>
      <c r="H37" s="1886"/>
      <c r="I37" s="1886"/>
      <c r="J37" s="1886"/>
      <c r="K37" s="1886"/>
      <c r="L37" s="1886"/>
      <c r="M37" s="1886"/>
      <c r="N37" s="1886"/>
      <c r="O37" s="1886"/>
      <c r="P37" s="1886"/>
      <c r="Q37" s="1886"/>
      <c r="R37" s="1886"/>
      <c r="S37" s="1886"/>
      <c r="T37" s="1886"/>
    </row>
    <row r="38" spans="1:20" ht="14.25" x14ac:dyDescent="0.25">
      <c r="A38" s="1886"/>
      <c r="B38" s="2222" t="str">
        <f t="shared" si="6"/>
        <v>Vidros</v>
      </c>
      <c r="C38" s="2238">
        <f t="shared" si="7"/>
        <v>0</v>
      </c>
      <c r="D38" s="2238">
        <f t="shared" si="8"/>
        <v>0</v>
      </c>
      <c r="E38" s="2238">
        <f t="shared" si="5"/>
        <v>0</v>
      </c>
      <c r="F38" s="1886"/>
      <c r="G38" s="1886"/>
      <c r="H38" s="1886"/>
      <c r="I38" s="1886"/>
      <c r="J38" s="1886"/>
      <c r="K38" s="1886"/>
      <c r="L38" s="1886"/>
      <c r="M38" s="1886"/>
      <c r="N38" s="1886"/>
      <c r="O38" s="1886"/>
      <c r="P38" s="1886"/>
      <c r="Q38" s="1886"/>
      <c r="R38" s="1886"/>
      <c r="S38" s="1886"/>
      <c r="T38" s="1886"/>
    </row>
    <row r="39" spans="1:20" ht="14.25" x14ac:dyDescent="0.25">
      <c r="A39" s="1886"/>
      <c r="B39" s="2222" t="str">
        <f t="shared" si="6"/>
        <v>Metais ferrosos</v>
      </c>
      <c r="C39" s="2238">
        <f t="shared" si="7"/>
        <v>42.982399999999998</v>
      </c>
      <c r="D39" s="2238">
        <f t="shared" si="8"/>
        <v>-1149.7791999999999</v>
      </c>
      <c r="E39" s="2238">
        <f t="shared" si="5"/>
        <v>-1106.7967999999998</v>
      </c>
      <c r="F39" s="1886"/>
      <c r="G39" s="1886"/>
      <c r="H39" s="1886"/>
      <c r="I39" s="1886"/>
      <c r="J39" s="1886"/>
      <c r="K39" s="1886"/>
      <c r="L39" s="1886"/>
      <c r="M39" s="1886"/>
      <c r="N39" s="1886"/>
      <c r="O39" s="1886"/>
      <c r="P39" s="1886"/>
      <c r="Q39" s="1886"/>
      <c r="R39" s="1886"/>
      <c r="S39" s="1886"/>
      <c r="T39" s="1886"/>
    </row>
    <row r="40" spans="1:20" ht="14.25" x14ac:dyDescent="0.25">
      <c r="A40" s="1886"/>
      <c r="B40" s="2222" t="str">
        <f t="shared" si="6"/>
        <v>Alumínio</v>
      </c>
      <c r="C40" s="2238">
        <f t="shared" si="7"/>
        <v>122.1144</v>
      </c>
      <c r="D40" s="2238">
        <f t="shared" si="8"/>
        <v>-1730.9760000000003</v>
      </c>
      <c r="E40" s="2238">
        <f t="shared" si="5"/>
        <v>-1608.8616000000004</v>
      </c>
      <c r="F40" s="1886"/>
      <c r="G40" s="1886"/>
      <c r="H40" s="1886"/>
      <c r="I40" s="1886"/>
      <c r="J40" s="1886"/>
      <c r="K40" s="1886"/>
      <c r="L40" s="1886"/>
      <c r="M40" s="1886"/>
      <c r="N40" s="1886"/>
      <c r="O40" s="1886"/>
      <c r="P40" s="1886"/>
      <c r="Q40" s="1886"/>
      <c r="R40" s="1886"/>
      <c r="S40" s="1886"/>
      <c r="T40" s="1886"/>
    </row>
    <row r="41" spans="1:20" ht="14.25" x14ac:dyDescent="0.25">
      <c r="A41" s="1886"/>
      <c r="B41" s="2222" t="str">
        <f t="shared" si="6"/>
        <v>Têxteis</v>
      </c>
      <c r="C41" s="2238">
        <f t="shared" si="7"/>
        <v>0</v>
      </c>
      <c r="D41" s="2238">
        <f t="shared" si="8"/>
        <v>0</v>
      </c>
      <c r="E41" s="2238">
        <f t="shared" si="5"/>
        <v>0</v>
      </c>
      <c r="F41" s="1886"/>
      <c r="G41" s="1886"/>
      <c r="H41" s="1886"/>
      <c r="I41" s="1886"/>
      <c r="J41" s="1886"/>
      <c r="K41" s="1886"/>
      <c r="L41" s="1886"/>
      <c r="M41" s="1886"/>
      <c r="N41" s="1886"/>
      <c r="O41" s="1886"/>
      <c r="P41" s="1886"/>
      <c r="Q41" s="1886"/>
      <c r="R41" s="1886"/>
      <c r="S41" s="1886"/>
      <c r="T41" s="1886"/>
    </row>
    <row r="42" spans="1:20" ht="14.25" x14ac:dyDescent="0.25">
      <c r="A42" s="1886"/>
      <c r="B42" s="2272"/>
      <c r="C42" s="2273"/>
      <c r="D42" s="2273"/>
      <c r="E42" s="2273"/>
      <c r="F42" s="1886"/>
      <c r="G42" s="1886"/>
      <c r="H42" s="1886"/>
      <c r="I42" s="1886"/>
      <c r="J42" s="1886"/>
      <c r="K42" s="1886"/>
      <c r="L42" s="1886"/>
      <c r="M42" s="1886"/>
      <c r="N42" s="1886"/>
      <c r="O42" s="1886"/>
      <c r="P42" s="1886"/>
      <c r="Q42" s="1886"/>
      <c r="R42" s="1886"/>
      <c r="S42" s="1886"/>
      <c r="T42" s="1886"/>
    </row>
    <row r="43" spans="1:20" ht="14.25" x14ac:dyDescent="0.25">
      <c r="A43" s="1886"/>
      <c r="B43" s="2274" t="s">
        <v>1242</v>
      </c>
      <c r="C43" s="2275"/>
      <c r="D43" s="2276"/>
      <c r="E43" s="2276"/>
      <c r="F43" s="1886"/>
      <c r="G43" s="1886"/>
      <c r="H43" s="1886"/>
      <c r="I43" s="1886"/>
      <c r="J43" s="1886"/>
      <c r="K43" s="1886"/>
      <c r="L43" s="1886"/>
      <c r="M43" s="1886"/>
      <c r="N43" s="1886"/>
      <c r="O43" s="1886"/>
      <c r="P43" s="1886"/>
      <c r="Q43" s="1886"/>
      <c r="R43" s="1886"/>
      <c r="S43" s="1886"/>
      <c r="T43" s="1886"/>
    </row>
    <row r="44" spans="1:20" ht="14.25" x14ac:dyDescent="0.25">
      <c r="A44" s="1886"/>
      <c r="B44" s="2270"/>
      <c r="C44" s="2236"/>
      <c r="D44" s="2236"/>
      <c r="E44" s="2236"/>
      <c r="F44" s="1886"/>
      <c r="G44" s="1886"/>
      <c r="H44" s="1886"/>
      <c r="I44" s="1886"/>
      <c r="J44" s="1886"/>
      <c r="K44" s="1886"/>
      <c r="L44" s="1886"/>
      <c r="M44" s="1886"/>
      <c r="N44" s="1886"/>
      <c r="O44" s="1886"/>
      <c r="P44" s="1886"/>
      <c r="Q44" s="1886"/>
      <c r="R44" s="1886"/>
      <c r="S44" s="1886"/>
      <c r="T44" s="1886"/>
    </row>
    <row r="45" spans="1:20" ht="14.25" x14ac:dyDescent="0.25">
      <c r="A45" s="1886"/>
      <c r="B45" s="2222" t="str">
        <f>B18</f>
        <v>Resíduos dispersos</v>
      </c>
      <c r="C45" s="2238">
        <f>+L62</f>
        <v>0</v>
      </c>
      <c r="D45" s="2238">
        <f t="shared" ref="D45:D54" si="9">+L73</f>
        <v>0</v>
      </c>
      <c r="E45" s="2238">
        <f t="shared" ref="E45:E53" si="10">+D45+C45</f>
        <v>0</v>
      </c>
      <c r="F45" s="1886"/>
      <c r="G45" s="1886"/>
      <c r="H45" s="1886"/>
      <c r="I45" s="1886"/>
      <c r="J45" s="1886"/>
      <c r="K45" s="1886"/>
      <c r="L45" s="1886"/>
      <c r="M45" s="1886"/>
      <c r="N45" s="1886"/>
      <c r="O45" s="1886"/>
      <c r="P45" s="1886"/>
      <c r="Q45" s="1886"/>
      <c r="R45" s="1886"/>
      <c r="S45" s="1886"/>
      <c r="T45" s="1886"/>
    </row>
    <row r="46" spans="1:20" ht="14.25" x14ac:dyDescent="0.25">
      <c r="A46" s="1886"/>
      <c r="B46" s="2222" t="str">
        <f t="shared" ref="B46:B54" si="11">B19</f>
        <v>Queima a céu aberto</v>
      </c>
      <c r="C46" s="2238">
        <f t="shared" ref="C46:C53" si="12">+L63</f>
        <v>0</v>
      </c>
      <c r="D46" s="2238">
        <f t="shared" si="9"/>
        <v>0</v>
      </c>
      <c r="E46" s="2238">
        <f t="shared" si="10"/>
        <v>0</v>
      </c>
      <c r="F46" s="1886"/>
      <c r="G46" s="1886"/>
      <c r="H46" s="1886"/>
      <c r="I46" s="1886"/>
      <c r="J46" s="1886"/>
      <c r="K46" s="1886"/>
      <c r="L46" s="1886"/>
      <c r="M46" s="1886"/>
      <c r="N46" s="1886"/>
      <c r="O46" s="1886"/>
      <c r="P46" s="1886"/>
      <c r="Q46" s="1886"/>
      <c r="R46" s="1886"/>
      <c r="S46" s="1886"/>
      <c r="T46" s="1886"/>
    </row>
    <row r="47" spans="1:20" ht="14.25" x14ac:dyDescent="0.25">
      <c r="A47" s="1886"/>
      <c r="B47" s="2222" t="str">
        <f t="shared" si="11"/>
        <v>Lixão não controlado</v>
      </c>
      <c r="C47" s="2238">
        <f t="shared" si="12"/>
        <v>0</v>
      </c>
      <c r="D47" s="2238">
        <f t="shared" si="9"/>
        <v>0</v>
      </c>
      <c r="E47" s="2238">
        <f t="shared" si="10"/>
        <v>0</v>
      </c>
      <c r="F47" s="1886"/>
      <c r="G47" s="1886"/>
      <c r="H47" s="1886"/>
      <c r="I47" s="1886"/>
      <c r="J47" s="1886"/>
      <c r="K47" s="1886"/>
      <c r="L47" s="1886"/>
      <c r="M47" s="1886"/>
      <c r="N47" s="1886"/>
      <c r="O47" s="1886"/>
      <c r="P47" s="1886"/>
      <c r="Q47" s="1886"/>
      <c r="R47" s="1886"/>
      <c r="S47" s="1886"/>
      <c r="T47" s="1886"/>
    </row>
    <row r="48" spans="1:20" ht="14.25" x14ac:dyDescent="0.25">
      <c r="A48" s="1886"/>
      <c r="B48" s="2222" t="str">
        <f t="shared" si="11"/>
        <v>Aterro controlado</v>
      </c>
      <c r="C48" s="2238">
        <f t="shared" si="12"/>
        <v>0</v>
      </c>
      <c r="D48" s="2238">
        <f t="shared" si="9"/>
        <v>0</v>
      </c>
      <c r="E48" s="2238">
        <f t="shared" si="10"/>
        <v>0</v>
      </c>
      <c r="F48" s="1886"/>
      <c r="G48" s="1886"/>
      <c r="H48" s="1886"/>
      <c r="I48" s="1886"/>
      <c r="J48" s="1886"/>
      <c r="K48" s="1886"/>
      <c r="L48" s="1886"/>
      <c r="M48" s="1886"/>
      <c r="N48" s="1886"/>
      <c r="O48" s="1886"/>
      <c r="P48" s="1886"/>
      <c r="Q48" s="1886"/>
      <c r="R48" s="1886"/>
      <c r="S48" s="1886"/>
      <c r="T48" s="1886"/>
    </row>
    <row r="49" spans="1:105" ht="14.25" x14ac:dyDescent="0.25">
      <c r="A49" s="1886"/>
      <c r="B49" s="2222" t="str">
        <f t="shared" si="11"/>
        <v>Aterro sanitário</v>
      </c>
      <c r="C49" s="2238">
        <f t="shared" si="12"/>
        <v>167352.43851908133</v>
      </c>
      <c r="D49" s="2238">
        <f t="shared" si="9"/>
        <v>0</v>
      </c>
      <c r="E49" s="2238">
        <f t="shared" si="10"/>
        <v>167352.43851908133</v>
      </c>
      <c r="F49" s="1886"/>
      <c r="G49" s="1886"/>
      <c r="H49" s="1886"/>
      <c r="I49" s="1886"/>
      <c r="J49" s="1886"/>
      <c r="K49" s="1886"/>
      <c r="L49" s="1886"/>
      <c r="M49" s="1886"/>
      <c r="N49" s="1886"/>
      <c r="O49" s="1886"/>
      <c r="P49" s="1886"/>
      <c r="Q49" s="1886"/>
      <c r="R49" s="1886"/>
      <c r="S49" s="1886"/>
      <c r="T49" s="1886"/>
    </row>
    <row r="50" spans="1:105" ht="14.25" x14ac:dyDescent="0.25">
      <c r="A50" s="1886"/>
      <c r="B50" s="2222" t="str">
        <f t="shared" si="11"/>
        <v>Trat. biol + cobertura at.</v>
      </c>
      <c r="C50" s="2238">
        <f t="shared" si="12"/>
        <v>0</v>
      </c>
      <c r="D50" s="2238">
        <f t="shared" si="9"/>
        <v>0</v>
      </c>
      <c r="E50" s="2238">
        <f t="shared" si="10"/>
        <v>0</v>
      </c>
      <c r="F50" s="1886"/>
      <c r="G50" s="1886"/>
      <c r="H50" s="1886"/>
      <c r="I50" s="1886"/>
      <c r="J50" s="1886"/>
      <c r="K50" s="1886"/>
      <c r="L50" s="1886"/>
      <c r="M50" s="1886"/>
      <c r="N50" s="1886"/>
      <c r="O50" s="1886"/>
      <c r="P50" s="1886"/>
      <c r="Q50" s="1886"/>
      <c r="R50" s="1886"/>
      <c r="S50" s="1886"/>
      <c r="T50" s="1886"/>
    </row>
    <row r="51" spans="1:105" ht="14.25" x14ac:dyDescent="0.25">
      <c r="A51" s="1886"/>
      <c r="B51" s="2222" t="str">
        <f t="shared" si="11"/>
        <v>CDR seco + rejeito aterro</v>
      </c>
      <c r="C51" s="2238">
        <f t="shared" si="12"/>
        <v>0</v>
      </c>
      <c r="D51" s="2238">
        <f t="shared" si="9"/>
        <v>0</v>
      </c>
      <c r="E51" s="2238">
        <f t="shared" si="10"/>
        <v>0</v>
      </c>
      <c r="F51" s="1886"/>
      <c r="G51" s="2277"/>
      <c r="H51" s="2278"/>
      <c r="I51" s="2278"/>
      <c r="J51" s="2278"/>
      <c r="K51" s="1886"/>
      <c r="L51" s="1886"/>
      <c r="M51" s="1886"/>
      <c r="N51" s="1886"/>
      <c r="O51" s="1886"/>
      <c r="P51" s="1886"/>
      <c r="Q51" s="1886"/>
      <c r="R51" s="1886"/>
      <c r="S51" s="1886"/>
      <c r="T51" s="1886"/>
    </row>
    <row r="52" spans="1:105" ht="14.25" x14ac:dyDescent="0.25">
      <c r="A52" s="1886"/>
      <c r="B52" s="2222" t="str">
        <f t="shared" si="11"/>
        <v>CDR seco + trat. biol.</v>
      </c>
      <c r="C52" s="2238">
        <f t="shared" si="12"/>
        <v>0</v>
      </c>
      <c r="D52" s="2238">
        <f t="shared" si="9"/>
        <v>0</v>
      </c>
      <c r="E52" s="2238">
        <f t="shared" si="10"/>
        <v>0</v>
      </c>
      <c r="F52" s="1886"/>
      <c r="G52" s="2279"/>
      <c r="H52" s="2280" t="s">
        <v>1255</v>
      </c>
      <c r="I52" s="2281" t="s">
        <v>1242</v>
      </c>
      <c r="J52" s="2281" t="s">
        <v>1256</v>
      </c>
      <c r="K52" s="1886"/>
      <c r="L52" s="1886"/>
      <c r="M52" s="1886"/>
      <c r="N52" s="1886"/>
      <c r="O52" s="1886"/>
      <c r="P52" s="1886"/>
      <c r="Q52" s="1886"/>
      <c r="R52" s="1886"/>
      <c r="S52" s="1886"/>
      <c r="T52" s="1886"/>
    </row>
    <row r="53" spans="1:105" ht="14.25" x14ac:dyDescent="0.25">
      <c r="A53" s="1886"/>
      <c r="B53" s="2222" t="str">
        <f t="shared" si="11"/>
        <v>CDR seco + CDR org.</v>
      </c>
      <c r="C53" s="2238">
        <f t="shared" si="12"/>
        <v>0</v>
      </c>
      <c r="D53" s="2238">
        <f t="shared" si="9"/>
        <v>0</v>
      </c>
      <c r="E53" s="2238">
        <f t="shared" si="10"/>
        <v>0</v>
      </c>
      <c r="F53" s="1886"/>
      <c r="G53" s="1963" t="s">
        <v>1257</v>
      </c>
      <c r="H53" s="2282">
        <f>SUM(C34:C41)</f>
        <v>3375.4324000000001</v>
      </c>
      <c r="I53" s="2282">
        <f>SUM(C45:C54)</f>
        <v>167352.43851908133</v>
      </c>
      <c r="J53" s="2282">
        <f>+I53+H53</f>
        <v>170727.87091908132</v>
      </c>
      <c r="K53" s="1886"/>
      <c r="L53" s="1886"/>
      <c r="M53" s="1886"/>
      <c r="N53" s="1886"/>
      <c r="O53" s="1886"/>
      <c r="P53" s="1886"/>
      <c r="Q53" s="1886"/>
      <c r="R53" s="1886"/>
      <c r="S53" s="1886"/>
      <c r="T53" s="1886"/>
    </row>
    <row r="54" spans="1:105" ht="14.25" x14ac:dyDescent="0.25">
      <c r="A54" s="1886"/>
      <c r="B54" s="2222" t="str">
        <f t="shared" si="11"/>
        <v>Incineração</v>
      </c>
      <c r="C54" s="2238">
        <f>+L71</f>
        <v>0</v>
      </c>
      <c r="D54" s="2238">
        <f t="shared" si="9"/>
        <v>0</v>
      </c>
      <c r="E54" s="2238">
        <f>+D54+C54</f>
        <v>0</v>
      </c>
      <c r="F54" s="1886"/>
      <c r="G54" s="1963" t="s">
        <v>1258</v>
      </c>
      <c r="H54" s="2282">
        <f>SUM(D34:D41)</f>
        <v>-9605.6758000000009</v>
      </c>
      <c r="I54" s="2282">
        <f>SUM(D45:D54)</f>
        <v>0</v>
      </c>
      <c r="J54" s="2282">
        <f>+I54+H54</f>
        <v>-9605.6758000000009</v>
      </c>
      <c r="K54" s="1886"/>
      <c r="L54" s="1886"/>
      <c r="M54" s="1886"/>
      <c r="N54" s="1886"/>
      <c r="O54" s="1886"/>
      <c r="P54" s="1886"/>
      <c r="Q54" s="1886"/>
      <c r="R54" s="1886"/>
      <c r="S54" s="1886"/>
      <c r="T54" s="1886"/>
    </row>
    <row r="55" spans="1:105" ht="14.25" x14ac:dyDescent="0.25">
      <c r="A55" s="1886"/>
      <c r="B55" s="2283"/>
      <c r="C55" s="2284"/>
      <c r="D55" s="2284"/>
      <c r="E55" s="2284"/>
      <c r="F55" s="1886"/>
      <c r="G55" s="1963" t="s">
        <v>1259</v>
      </c>
      <c r="H55" s="2282">
        <f>+H53+H54</f>
        <v>-6230.2434000000012</v>
      </c>
      <c r="I55" s="2282">
        <f>+I53+I54</f>
        <v>167352.43851908133</v>
      </c>
      <c r="J55" s="2980">
        <f>+I55+H55</f>
        <v>161122.19511908133</v>
      </c>
      <c r="K55" s="1886"/>
      <c r="L55" s="1886"/>
      <c r="M55" s="1886"/>
      <c r="N55" s="1886"/>
      <c r="O55" s="1886"/>
      <c r="P55" s="1886"/>
      <c r="Q55" s="1886"/>
      <c r="R55" s="1886"/>
      <c r="S55" s="1886"/>
      <c r="T55" s="1886"/>
    </row>
    <row r="56" spans="1:105" ht="14.25" x14ac:dyDescent="0.25">
      <c r="A56" s="1886"/>
      <c r="B56" s="2256" t="s">
        <v>52</v>
      </c>
      <c r="C56" s="2285">
        <f>SUM(C34:C54)</f>
        <v>170727.87091908132</v>
      </c>
      <c r="D56" s="2285">
        <f>SUM(D34:D54)</f>
        <v>-9605.6758000000009</v>
      </c>
      <c r="E56" s="2285">
        <f>+D56+C56</f>
        <v>161122.19511908133</v>
      </c>
      <c r="F56" s="1886"/>
      <c r="G56" s="2277"/>
      <c r="H56" s="2286"/>
      <c r="I56" s="2286"/>
      <c r="J56" s="2286"/>
      <c r="K56" s="1886"/>
      <c r="L56" s="1886"/>
      <c r="M56" s="1886"/>
      <c r="N56" s="1886"/>
      <c r="O56" s="1886"/>
      <c r="P56" s="1886"/>
      <c r="Q56" s="1886"/>
      <c r="R56" s="1886"/>
      <c r="S56" s="1886"/>
      <c r="T56" s="1886"/>
    </row>
    <row r="57" spans="1:105"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105"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105" s="2288" customFormat="1" ht="24.95" customHeight="1" x14ac:dyDescent="0.2">
      <c r="A59" s="2287" t="s">
        <v>1260</v>
      </c>
      <c r="B59" s="2262"/>
      <c r="C59" s="1981"/>
      <c r="D59" s="1981"/>
      <c r="E59" s="1981"/>
      <c r="F59" s="2224"/>
      <c r="G59" s="2262"/>
      <c r="H59" s="2262"/>
      <c r="I59" s="2262"/>
      <c r="J59" s="2262"/>
      <c r="K59" s="1908" t="s">
        <v>1261</v>
      </c>
      <c r="L59" s="2262"/>
      <c r="M59" s="2262"/>
      <c r="N59" s="2262"/>
      <c r="O59" s="2262"/>
      <c r="P59" s="2262"/>
      <c r="Q59" s="2262"/>
      <c r="R59" s="2262"/>
      <c r="S59" s="2262"/>
      <c r="T59" s="2026"/>
      <c r="U59" s="1841"/>
      <c r="V59" s="1841"/>
      <c r="W59" s="1841"/>
      <c r="X59" s="1841"/>
      <c r="Y59" s="1841"/>
      <c r="Z59" s="1841"/>
      <c r="AA59" s="1841"/>
      <c r="AB59" s="1841"/>
      <c r="AC59" s="1841"/>
      <c r="AD59" s="1841"/>
      <c r="AE59" s="1841"/>
      <c r="AF59" s="1841"/>
      <c r="AG59" s="1841"/>
      <c r="AH59" s="1841"/>
      <c r="AI59" s="1841"/>
      <c r="AJ59" s="1841"/>
      <c r="AK59" s="1841"/>
      <c r="AL59" s="1841"/>
      <c r="AM59" s="1841"/>
      <c r="AN59" s="1841"/>
      <c r="AO59" s="1841"/>
      <c r="AP59" s="1841"/>
      <c r="AQ59" s="1841"/>
      <c r="AR59" s="1841"/>
      <c r="AS59" s="1841"/>
      <c r="AT59" s="1841"/>
      <c r="AU59" s="1841"/>
      <c r="AV59" s="1841"/>
      <c r="AW59" s="1841"/>
      <c r="AX59" s="1841"/>
      <c r="AY59" s="1841"/>
      <c r="AZ59" s="1841"/>
      <c r="BA59" s="1841"/>
      <c r="BB59" s="1841"/>
      <c r="BC59" s="1841"/>
      <c r="BD59" s="1841"/>
      <c r="BE59" s="1841"/>
      <c r="BF59" s="1841"/>
      <c r="BG59" s="1841"/>
      <c r="BH59" s="1841"/>
      <c r="BI59" s="1841"/>
      <c r="BJ59" s="1841"/>
      <c r="BK59" s="1841"/>
      <c r="BL59" s="1841"/>
      <c r="BM59" s="1841"/>
      <c r="BN59" s="1841"/>
      <c r="BO59" s="1841"/>
      <c r="BP59" s="1841"/>
      <c r="BQ59" s="1841"/>
      <c r="BR59" s="1841"/>
      <c r="BS59" s="1841"/>
      <c r="BT59" s="1841"/>
      <c r="BU59" s="1841"/>
      <c r="BV59" s="1841"/>
      <c r="BW59" s="1841"/>
      <c r="BX59" s="1841"/>
      <c r="BY59" s="1841"/>
      <c r="BZ59" s="1841"/>
      <c r="CA59" s="1841"/>
      <c r="CB59" s="1841"/>
      <c r="CC59" s="1841"/>
      <c r="CD59" s="1841"/>
      <c r="CE59" s="1841"/>
      <c r="CF59" s="1841"/>
      <c r="CG59" s="1841"/>
      <c r="CH59" s="1841"/>
      <c r="CI59" s="1841"/>
      <c r="CJ59" s="1841"/>
      <c r="CK59" s="1841"/>
      <c r="CL59" s="1841"/>
      <c r="CM59" s="1841"/>
      <c r="CN59" s="1841"/>
      <c r="CO59" s="1841"/>
      <c r="CP59" s="1841"/>
      <c r="CQ59" s="1841"/>
      <c r="CR59" s="1841"/>
      <c r="CS59" s="1841"/>
      <c r="CT59" s="1841"/>
      <c r="CU59" s="1841"/>
      <c r="CV59" s="1841"/>
      <c r="CW59" s="1841"/>
      <c r="CX59" s="1841"/>
      <c r="CY59" s="1841"/>
      <c r="CZ59" s="1841"/>
      <c r="DA59" s="1841"/>
    </row>
    <row r="60" spans="1:105"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105" ht="14.25" x14ac:dyDescent="0.25">
      <c r="A61" s="1886"/>
      <c r="B61" s="2290"/>
      <c r="C61" s="2291" t="s">
        <v>1239</v>
      </c>
      <c r="D61" s="2291" t="s">
        <v>1259</v>
      </c>
      <c r="E61" s="1953"/>
      <c r="F61" s="1953"/>
      <c r="G61" s="1953"/>
      <c r="H61" s="1953"/>
      <c r="I61" s="1953"/>
      <c r="J61" s="1953"/>
      <c r="K61" s="2292"/>
      <c r="L61" s="2293" t="s">
        <v>1262</v>
      </c>
      <c r="M61" s="2291" t="s">
        <v>1259</v>
      </c>
      <c r="N61" s="1886"/>
      <c r="O61" s="1886"/>
      <c r="P61" s="1886"/>
      <c r="Q61" s="1886"/>
      <c r="R61" s="1886"/>
      <c r="S61" s="1886"/>
      <c r="T61" s="1886"/>
    </row>
    <row r="62" spans="1:105" ht="14.25" x14ac:dyDescent="0.25">
      <c r="A62" s="1886"/>
      <c r="B62" s="2294" t="str">
        <f>+'CO2 - Cálculos'!AC16</f>
        <v>Resíduos de alimentos</v>
      </c>
      <c r="C62" s="2295">
        <f>+'CO2 - Cálculos'!AD16</f>
        <v>0</v>
      </c>
      <c r="D62" s="2020"/>
      <c r="E62" s="1953"/>
      <c r="F62" s="1953"/>
      <c r="G62" s="1953"/>
      <c r="H62" s="1953"/>
      <c r="I62" s="1953"/>
      <c r="J62" s="1953"/>
      <c r="K62" s="2296" t="str">
        <f>+'CO2 - Cálculos'!AC61</f>
        <v>Resíduos dispersos</v>
      </c>
      <c r="L62" s="2295">
        <f>+'CO2 - Cálculos'!AD61</f>
        <v>0</v>
      </c>
      <c r="M62" s="2020"/>
      <c r="N62" s="1886"/>
      <c r="O62" s="1886"/>
      <c r="P62" s="1886"/>
      <c r="Q62" s="1886"/>
      <c r="R62" s="1886"/>
      <c r="S62" s="1886"/>
      <c r="T62" s="1886"/>
    </row>
    <row r="63" spans="1:105" ht="14.25" x14ac:dyDescent="0.25">
      <c r="A63" s="1886"/>
      <c r="B63" s="2294" t="str">
        <f>+'CO2 - Cálculos'!AC17</f>
        <v>Resíduos de jardins e parques</v>
      </c>
      <c r="C63" s="2295">
        <f>+'CO2 - Cálculos'!AD17</f>
        <v>0</v>
      </c>
      <c r="D63" s="2020"/>
      <c r="E63" s="1953"/>
      <c r="F63" s="1953"/>
      <c r="G63" s="1953"/>
      <c r="H63" s="1953"/>
      <c r="I63" s="1953"/>
      <c r="J63" s="1953"/>
      <c r="K63" s="2296" t="str">
        <f>+'CO2 - Cálculos'!AC62</f>
        <v>Queima a céu aberto</v>
      </c>
      <c r="L63" s="2295">
        <f>+'CO2 - Cálculos'!AD62</f>
        <v>0</v>
      </c>
      <c r="M63" s="2020"/>
      <c r="N63" s="1886"/>
      <c r="O63" s="1886"/>
      <c r="P63" s="1886"/>
      <c r="Q63" s="1886"/>
      <c r="R63" s="1886"/>
      <c r="S63" s="1886"/>
      <c r="T63" s="1886"/>
    </row>
    <row r="64" spans="1:105" ht="14.25" x14ac:dyDescent="0.25">
      <c r="A64" s="1886"/>
      <c r="B64" s="2294" t="str">
        <f>+'CO2 - Cálculos'!AC18</f>
        <v>Papel, papelão</v>
      </c>
      <c r="C64" s="2295">
        <f>+'CO2 - Cálculos'!AD18</f>
        <v>2402.2256000000002</v>
      </c>
      <c r="D64" s="2020"/>
      <c r="E64" s="1953"/>
      <c r="F64" s="1953"/>
      <c r="G64" s="1953"/>
      <c r="H64" s="1953"/>
      <c r="I64" s="1953"/>
      <c r="J64" s="1953"/>
      <c r="K64" s="2296" t="str">
        <f>+'CO2 - Cálculos'!AC63</f>
        <v>Lixão não controlado</v>
      </c>
      <c r="L64" s="2295">
        <f>+'CO2 - Cálculos'!AD63</f>
        <v>0</v>
      </c>
      <c r="M64" s="2020"/>
      <c r="N64" s="1886"/>
      <c r="O64" s="1886"/>
      <c r="P64" s="1886"/>
      <c r="Q64" s="1886"/>
      <c r="R64" s="1886"/>
      <c r="S64" s="1886"/>
      <c r="T64" s="1886"/>
    </row>
    <row r="65" spans="1:20" ht="14.25" x14ac:dyDescent="0.25">
      <c r="A65" s="1886"/>
      <c r="B65" s="2294" t="str">
        <f>+'CO2 - Cálculos'!AC19</f>
        <v>Plásticos</v>
      </c>
      <c r="C65" s="2295">
        <f>+'CO2 - Cálculos'!AD19</f>
        <v>808.11</v>
      </c>
      <c r="D65" s="2020"/>
      <c r="E65" s="1953"/>
      <c r="F65" s="1953"/>
      <c r="G65" s="1953"/>
      <c r="H65" s="1953"/>
      <c r="I65" s="1953"/>
      <c r="J65" s="1953"/>
      <c r="K65" s="2296" t="str">
        <f>+'CO2 - Cálculos'!AC64</f>
        <v>Aterro controlado</v>
      </c>
      <c r="L65" s="2295">
        <f>+'CO2 - Cálculos'!AD64</f>
        <v>0</v>
      </c>
      <c r="M65" s="2020"/>
      <c r="N65" s="1886"/>
      <c r="O65" s="1886"/>
      <c r="P65" s="1886"/>
      <c r="Q65" s="1886"/>
      <c r="R65" s="1886"/>
      <c r="S65" s="1886"/>
      <c r="T65" s="1886"/>
    </row>
    <row r="66" spans="1:20" ht="14.25" x14ac:dyDescent="0.25">
      <c r="A66" s="1886"/>
      <c r="B66" s="2294" t="str">
        <f>+'CO2 - Cálculos'!AC20</f>
        <v>Vidros</v>
      </c>
      <c r="C66" s="2295">
        <f>+'CO2 - Cálculos'!AD20</f>
        <v>0</v>
      </c>
      <c r="D66" s="2020"/>
      <c r="E66" s="1953"/>
      <c r="F66" s="1953"/>
      <c r="G66" s="1953"/>
      <c r="H66" s="1953"/>
      <c r="I66" s="1953"/>
      <c r="J66" s="1953"/>
      <c r="K66" s="2296" t="str">
        <f>+'CO2 - Cálculos'!AC65</f>
        <v>Aterro sanitário</v>
      </c>
      <c r="L66" s="2295">
        <f>+'CO2 - Cálculos'!AD65</f>
        <v>167352.43851908133</v>
      </c>
      <c r="M66" s="2020"/>
      <c r="N66" s="1886"/>
      <c r="O66" s="1886"/>
      <c r="P66" s="1886"/>
      <c r="Q66" s="1886"/>
      <c r="R66" s="1886"/>
      <c r="S66" s="1886"/>
      <c r="T66" s="1886"/>
    </row>
    <row r="67" spans="1:20" ht="14.25" x14ac:dyDescent="0.25">
      <c r="A67" s="1886"/>
      <c r="B67" s="2294" t="str">
        <f>+'CO2 - Cálculos'!AC21</f>
        <v>Metais ferrosos</v>
      </c>
      <c r="C67" s="2295">
        <f>+'CO2 - Cálculos'!AD21</f>
        <v>42.982399999999998</v>
      </c>
      <c r="D67" s="2020"/>
      <c r="E67" s="1953"/>
      <c r="F67" s="1953"/>
      <c r="G67" s="1953"/>
      <c r="H67" s="1953"/>
      <c r="I67" s="1953"/>
      <c r="J67" s="1953"/>
      <c r="K67" s="2296" t="str">
        <f>+'CO2 - Cálculos'!AC66</f>
        <v>Trat. biol + cobertura at.</v>
      </c>
      <c r="L67" s="2295">
        <f>+'CO2 - Cálculos'!AD66</f>
        <v>0</v>
      </c>
      <c r="M67" s="2020"/>
      <c r="N67" s="1886"/>
      <c r="O67" s="1886"/>
      <c r="P67" s="1886"/>
      <c r="Q67" s="1886"/>
      <c r="R67" s="1886"/>
      <c r="S67" s="1886"/>
      <c r="T67" s="1886"/>
    </row>
    <row r="68" spans="1:20" ht="14.25" x14ac:dyDescent="0.25">
      <c r="A68" s="1886"/>
      <c r="B68" s="2294" t="str">
        <f>+'CO2 - Cálculos'!AC22</f>
        <v>Alumínio</v>
      </c>
      <c r="C68" s="2295">
        <f>+'CO2 - Cálculos'!AD22</f>
        <v>122.1144</v>
      </c>
      <c r="D68" s="2020"/>
      <c r="E68" s="1953"/>
      <c r="F68" s="1953"/>
      <c r="G68" s="1953"/>
      <c r="H68" s="1953"/>
      <c r="I68" s="1953"/>
      <c r="J68" s="1953"/>
      <c r="K68" s="2296" t="str">
        <f>+'CO2 - Cálculos'!AC67</f>
        <v>CDR seco + rejeito aterro</v>
      </c>
      <c r="L68" s="2295">
        <f>+'CO2 - Cálculos'!AD67</f>
        <v>0</v>
      </c>
      <c r="M68" s="2020"/>
      <c r="N68" s="1886"/>
      <c r="O68" s="1886"/>
      <c r="P68" s="1886"/>
      <c r="Q68" s="1886"/>
      <c r="R68" s="1886"/>
      <c r="S68" s="1886"/>
      <c r="T68" s="1886"/>
    </row>
    <row r="69" spans="1:20" ht="14.25" x14ac:dyDescent="0.25">
      <c r="A69" s="2230"/>
      <c r="B69" s="2294" t="str">
        <f>+'CO2 - Cálculos'!AC23</f>
        <v>Têxteis</v>
      </c>
      <c r="C69" s="2295">
        <f>+'CO2 - Cálculos'!AD23</f>
        <v>0</v>
      </c>
      <c r="D69" s="2020"/>
      <c r="E69" s="1953"/>
      <c r="F69" s="1953"/>
      <c r="G69" s="1953"/>
      <c r="H69" s="1953"/>
      <c r="I69" s="1953"/>
      <c r="J69" s="1953"/>
      <c r="K69" s="2296" t="str">
        <f>+'CO2 - Cálculos'!AC68</f>
        <v>CDR seco + trat. biol.</v>
      </c>
      <c r="L69" s="2295">
        <f>+'CO2 - Cálculos'!AD68</f>
        <v>0</v>
      </c>
      <c r="M69" s="2020"/>
      <c r="N69" s="1886"/>
      <c r="O69" s="1886"/>
      <c r="P69" s="1886"/>
      <c r="Q69" s="1886"/>
      <c r="R69" s="1886"/>
      <c r="S69" s="1886"/>
      <c r="T69" s="1886"/>
    </row>
    <row r="70" spans="1:20" ht="14.25" x14ac:dyDescent="0.25">
      <c r="A70" s="1886"/>
      <c r="B70" s="2294" t="s">
        <v>1257</v>
      </c>
      <c r="C70" s="2020"/>
      <c r="D70" s="2297"/>
      <c r="E70" s="1953"/>
      <c r="F70" s="1953"/>
      <c r="G70" s="1953"/>
      <c r="H70" s="1953"/>
      <c r="I70" s="1953"/>
      <c r="J70" s="1953"/>
      <c r="K70" s="2296" t="str">
        <f>+'CO2 - Cálculos'!AC69</f>
        <v>CDR seco + CDR org.</v>
      </c>
      <c r="L70" s="2295">
        <f>+'CO2 - Cálculos'!AD69</f>
        <v>0</v>
      </c>
      <c r="M70" s="2020"/>
      <c r="N70" s="1886"/>
      <c r="O70" s="1886"/>
      <c r="P70" s="1886"/>
      <c r="Q70" s="1886"/>
      <c r="R70" s="1886"/>
      <c r="S70" s="1886"/>
      <c r="T70" s="1886"/>
    </row>
    <row r="71" spans="1:20" ht="14.25" x14ac:dyDescent="0.25">
      <c r="A71" s="1886"/>
      <c r="B71" s="2298" t="str">
        <f>+'CO2 - Cálculos'!AC25</f>
        <v>Resíduos de alimentos</v>
      </c>
      <c r="C71" s="2295">
        <f>+'CO2 - Cálculos'!AD25</f>
        <v>0</v>
      </c>
      <c r="D71" s="2020"/>
      <c r="E71" s="1953"/>
      <c r="F71" s="1953"/>
      <c r="G71" s="1953"/>
      <c r="H71" s="1953"/>
      <c r="I71" s="1953"/>
      <c r="J71" s="1953"/>
      <c r="K71" s="2296" t="str">
        <f>+'CO2 - Cálculos'!AC70</f>
        <v>Incineração</v>
      </c>
      <c r="L71" s="2295">
        <f>+'CO2 - Cálculos'!AD70</f>
        <v>0</v>
      </c>
      <c r="M71" s="2020"/>
      <c r="N71" s="1886"/>
      <c r="O71" s="1886"/>
      <c r="P71" s="1886"/>
      <c r="Q71" s="1886"/>
      <c r="R71" s="1886"/>
      <c r="S71" s="1886"/>
      <c r="T71" s="1886"/>
    </row>
    <row r="72" spans="1:20" ht="14.25" x14ac:dyDescent="0.25">
      <c r="A72" s="1886"/>
      <c r="B72" s="2298" t="str">
        <f>+'CO2 - Cálculos'!AC26</f>
        <v>Resíduos de jardins e parques</v>
      </c>
      <c r="C72" s="2295">
        <f>+'CO2 - Cálculos'!AD26</f>
        <v>0</v>
      </c>
      <c r="D72" s="2020"/>
      <c r="E72" s="1953"/>
      <c r="F72" s="1953"/>
      <c r="G72" s="1953"/>
      <c r="H72" s="1953"/>
      <c r="I72" s="1953"/>
      <c r="J72" s="1953"/>
      <c r="K72" s="2299" t="s">
        <v>1257</v>
      </c>
      <c r="L72" s="2020"/>
      <c r="M72" s="2020"/>
      <c r="N72" s="1886"/>
      <c r="O72" s="1886"/>
      <c r="P72" s="1886"/>
      <c r="Q72" s="1886"/>
      <c r="R72" s="1886"/>
      <c r="S72" s="1886"/>
      <c r="T72" s="1886"/>
    </row>
    <row r="73" spans="1:20" ht="14.25" x14ac:dyDescent="0.25">
      <c r="A73" s="1886"/>
      <c r="B73" s="2298" t="str">
        <f>+'CO2 - Cálculos'!AC27</f>
        <v>Papel, papelão</v>
      </c>
      <c r="C73" s="2295">
        <f>+'CO2 - Cálculos'!AD27</f>
        <v>-2960.7048000000004</v>
      </c>
      <c r="D73" s="2020"/>
      <c r="E73" s="1953"/>
      <c r="F73" s="1953"/>
      <c r="G73" s="1953"/>
      <c r="H73" s="1953"/>
      <c r="I73" s="1953"/>
      <c r="J73" s="1953"/>
      <c r="K73" s="2296" t="str">
        <f>+'CO2 - Cálculos'!AC72</f>
        <v>Resíduos dispersos</v>
      </c>
      <c r="L73" s="2295">
        <f>+'CO2 - Cálculos'!AD72</f>
        <v>0</v>
      </c>
      <c r="M73" s="2020"/>
      <c r="N73" s="1886"/>
      <c r="O73" s="1886"/>
      <c r="P73" s="1886"/>
      <c r="Q73" s="1886"/>
      <c r="R73" s="1886"/>
      <c r="S73" s="1886"/>
      <c r="T73" s="1886"/>
    </row>
    <row r="74" spans="1:20" ht="14.25" x14ac:dyDescent="0.25">
      <c r="A74" s="1886"/>
      <c r="B74" s="2298" t="str">
        <f>+'CO2 - Cálculos'!AC28</f>
        <v>Plásticos</v>
      </c>
      <c r="C74" s="2295">
        <f>+'CO2 - Cálculos'!AD28</f>
        <v>-3764.2157999999999</v>
      </c>
      <c r="D74" s="2020"/>
      <c r="E74" s="1953"/>
      <c r="F74" s="1953"/>
      <c r="G74" s="1953"/>
      <c r="H74" s="1953"/>
      <c r="I74" s="1953"/>
      <c r="J74" s="1953"/>
      <c r="K74" s="2296" t="str">
        <f>+'CO2 - Cálculos'!AC73</f>
        <v>Queima a céu aberto</v>
      </c>
      <c r="L74" s="2295">
        <f>+'CO2 - Cálculos'!AD73</f>
        <v>0</v>
      </c>
      <c r="M74" s="2020"/>
      <c r="N74" s="1886"/>
      <c r="O74" s="1886"/>
      <c r="P74" s="1886"/>
      <c r="Q74" s="1886"/>
      <c r="R74" s="1886"/>
      <c r="S74" s="1886"/>
      <c r="T74" s="1886"/>
    </row>
    <row r="75" spans="1:20" ht="14.25" x14ac:dyDescent="0.25">
      <c r="A75" s="1886"/>
      <c r="B75" s="2298" t="str">
        <f>+'CO2 - Cálculos'!AC29</f>
        <v>Vidros</v>
      </c>
      <c r="C75" s="2295">
        <f>+'CO2 - Cálculos'!AD29</f>
        <v>0</v>
      </c>
      <c r="D75" s="2020"/>
      <c r="E75" s="1953"/>
      <c r="F75" s="1953"/>
      <c r="G75" s="1953"/>
      <c r="H75" s="1953"/>
      <c r="I75" s="1953"/>
      <c r="J75" s="1953"/>
      <c r="K75" s="2296" t="str">
        <f>+'CO2 - Cálculos'!AC74</f>
        <v>Lixão não controlado</v>
      </c>
      <c r="L75" s="2295">
        <f>+'CO2 - Cálculos'!AD74</f>
        <v>0</v>
      </c>
      <c r="M75" s="2020"/>
      <c r="N75" s="1886"/>
      <c r="O75" s="1886"/>
      <c r="P75" s="1886"/>
      <c r="Q75" s="1886"/>
      <c r="R75" s="1886"/>
      <c r="S75" s="1886"/>
      <c r="T75" s="1886"/>
    </row>
    <row r="76" spans="1:20" ht="14.25" x14ac:dyDescent="0.25">
      <c r="A76" s="1886"/>
      <c r="B76" s="2298" t="str">
        <f>+'CO2 - Cálculos'!AC30</f>
        <v>Metais ferrosos</v>
      </c>
      <c r="C76" s="2295">
        <f>+'CO2 - Cálculos'!AD30</f>
        <v>-1149.7791999999999</v>
      </c>
      <c r="D76" s="2020"/>
      <c r="E76" s="1953"/>
      <c r="F76" s="1953"/>
      <c r="G76" s="1953"/>
      <c r="H76" s="1953"/>
      <c r="I76" s="1953"/>
      <c r="J76" s="1953"/>
      <c r="K76" s="2296" t="str">
        <f>+'CO2 - Cálculos'!AC75</f>
        <v>Aterro controlado</v>
      </c>
      <c r="L76" s="2295">
        <f>+'CO2 - Cálculos'!AD75</f>
        <v>0</v>
      </c>
      <c r="M76" s="2020"/>
      <c r="N76" s="1886"/>
      <c r="O76" s="1886"/>
      <c r="P76" s="1886"/>
      <c r="Q76" s="1886"/>
      <c r="R76" s="1886"/>
      <c r="S76" s="1886"/>
      <c r="T76" s="1886"/>
    </row>
    <row r="77" spans="1:20" ht="14.25" x14ac:dyDescent="0.25">
      <c r="A77" s="1886"/>
      <c r="B77" s="2298" t="str">
        <f>+'CO2 - Cálculos'!AC31</f>
        <v>Alumínio</v>
      </c>
      <c r="C77" s="2295">
        <f>+'CO2 - Cálculos'!AD31</f>
        <v>-1730.9760000000003</v>
      </c>
      <c r="D77" s="2020"/>
      <c r="E77" s="1953"/>
      <c r="F77" s="1953"/>
      <c r="G77" s="1953"/>
      <c r="H77" s="1953"/>
      <c r="I77" s="1953"/>
      <c r="J77" s="1953"/>
      <c r="K77" s="2296" t="str">
        <f>+'CO2 - Cálculos'!AC76</f>
        <v>Aterro sanitário</v>
      </c>
      <c r="L77" s="2295">
        <f>+'CO2 - Cálculos'!AD76</f>
        <v>0</v>
      </c>
      <c r="M77" s="2020"/>
      <c r="N77" s="1886"/>
      <c r="O77" s="1886"/>
      <c r="P77" s="1886"/>
      <c r="Q77" s="1886"/>
      <c r="R77" s="1886"/>
      <c r="S77" s="1886"/>
      <c r="T77" s="1886"/>
    </row>
    <row r="78" spans="1:20" ht="14.25" x14ac:dyDescent="0.25">
      <c r="A78" s="1886"/>
      <c r="B78" s="2298" t="str">
        <f>+'CO2 - Cálculos'!AC32</f>
        <v>Têxteis</v>
      </c>
      <c r="C78" s="2295">
        <f>+'CO2 - Cálculos'!AD32</f>
        <v>0</v>
      </c>
      <c r="D78" s="2020"/>
      <c r="E78" s="1953"/>
      <c r="F78" s="1953"/>
      <c r="G78" s="1953"/>
      <c r="H78" s="1953"/>
      <c r="I78" s="1953"/>
      <c r="J78" s="1953"/>
      <c r="K78" s="2296" t="str">
        <f>+'CO2 - Cálculos'!AC77</f>
        <v>Trat. biol + cobertura at.</v>
      </c>
      <c r="L78" s="2295">
        <f>+'CO2 - Cálculos'!AD77</f>
        <v>0</v>
      </c>
      <c r="M78" s="2020"/>
      <c r="N78" s="1886"/>
      <c r="O78" s="1886"/>
      <c r="P78" s="1886"/>
      <c r="Q78" s="1886"/>
      <c r="R78" s="1886"/>
      <c r="S78" s="1886"/>
      <c r="T78" s="1886"/>
    </row>
    <row r="79" spans="1:20" ht="14.25" x14ac:dyDescent="0.25">
      <c r="A79" s="1886"/>
      <c r="B79" s="2300" t="s">
        <v>1258</v>
      </c>
      <c r="C79" s="2020"/>
      <c r="D79" s="2297"/>
      <c r="E79" s="1953"/>
      <c r="F79" s="1953"/>
      <c r="G79" s="1953"/>
      <c r="H79" s="1953"/>
      <c r="I79" s="1953"/>
      <c r="J79" s="1953"/>
      <c r="K79" s="2296" t="str">
        <f>+'CO2 - Cálculos'!AC78</f>
        <v>CDR seco + rejeito aterro</v>
      </c>
      <c r="L79" s="2295">
        <f>+'CO2 - Cálculos'!AD78</f>
        <v>0</v>
      </c>
      <c r="M79" s="2020"/>
      <c r="N79" s="1886"/>
      <c r="O79" s="1886"/>
      <c r="P79" s="1886"/>
      <c r="Q79" s="1886"/>
      <c r="R79" s="1886"/>
      <c r="S79" s="1886"/>
      <c r="T79" s="1886"/>
    </row>
    <row r="80" spans="1:20" ht="14.25" x14ac:dyDescent="0.25">
      <c r="A80" s="1886"/>
      <c r="B80" s="2300" t="s">
        <v>1263</v>
      </c>
      <c r="C80" s="2020"/>
      <c r="D80" s="2295">
        <f>SUM(C62:C69,C71:C78)</f>
        <v>-6230.2434000000012</v>
      </c>
      <c r="E80" s="1953"/>
      <c r="F80" s="1953"/>
      <c r="G80" s="1953"/>
      <c r="H80" s="1953"/>
      <c r="I80" s="1953"/>
      <c r="J80" s="1953"/>
      <c r="K80" s="2296" t="str">
        <f>+'CO2 - Cálculos'!AC79</f>
        <v>CDR seco + trat. biol.</v>
      </c>
      <c r="L80" s="2295">
        <f>+'CO2 - Cálculos'!AD79</f>
        <v>0</v>
      </c>
      <c r="M80" s="2020"/>
      <c r="N80" s="1886"/>
      <c r="O80" s="1886"/>
      <c r="P80" s="1886"/>
      <c r="Q80" s="1886"/>
      <c r="R80" s="1886"/>
      <c r="S80" s="1886"/>
      <c r="T80" s="1886"/>
    </row>
    <row r="81" spans="1:20" ht="14.25" x14ac:dyDescent="0.25">
      <c r="A81" s="1886"/>
      <c r="B81" s="1953"/>
      <c r="C81" s="1953"/>
      <c r="D81" s="1953"/>
      <c r="E81" s="1953"/>
      <c r="F81" s="1953"/>
      <c r="G81" s="1953"/>
      <c r="H81" s="1953"/>
      <c r="I81" s="1953"/>
      <c r="J81" s="1953"/>
      <c r="K81" s="2296" t="str">
        <f>+'CO2 - Cálculos'!AC80</f>
        <v>CDR seco + CDR org.</v>
      </c>
      <c r="L81" s="2295">
        <f>+'CO2 - Cálculos'!AD80</f>
        <v>0</v>
      </c>
      <c r="M81" s="2020"/>
      <c r="N81" s="1886"/>
      <c r="O81" s="1886"/>
      <c r="P81" s="1886"/>
      <c r="Q81" s="1886"/>
      <c r="R81" s="1886"/>
      <c r="S81" s="1886"/>
      <c r="T81" s="1886"/>
    </row>
    <row r="82" spans="1:20" ht="14.25" x14ac:dyDescent="0.2">
      <c r="A82" s="1886"/>
      <c r="B82" s="1886"/>
      <c r="C82" s="1886"/>
      <c r="D82" s="1886"/>
      <c r="E82" s="2263"/>
      <c r="F82" s="1886"/>
      <c r="G82" s="1886"/>
      <c r="H82" s="1886"/>
      <c r="I82" s="1886"/>
      <c r="J82" s="1886"/>
      <c r="K82" s="2296" t="str">
        <f>+'CO2 - Cálculos'!AC81</f>
        <v>Incineração</v>
      </c>
      <c r="L82" s="2295">
        <f>+'CO2 - Cálculos'!AD81</f>
        <v>0</v>
      </c>
      <c r="M82" s="2020"/>
      <c r="N82" s="1886"/>
      <c r="O82" s="1886"/>
      <c r="P82" s="1886"/>
      <c r="Q82" s="1886"/>
      <c r="R82" s="1886"/>
      <c r="S82" s="1886"/>
      <c r="T82" s="1886"/>
    </row>
    <row r="83" spans="1:20" ht="14.25" x14ac:dyDescent="0.25">
      <c r="A83" s="1886"/>
      <c r="B83" s="1886"/>
      <c r="C83" s="1886"/>
      <c r="D83" s="1886"/>
      <c r="E83" s="2263"/>
      <c r="F83" s="1886"/>
      <c r="G83" s="1886"/>
      <c r="H83" s="1886"/>
      <c r="I83" s="1886"/>
      <c r="J83" s="1886"/>
      <c r="K83" s="2300" t="s">
        <v>1258</v>
      </c>
      <c r="L83" s="2020"/>
      <c r="M83" s="2020"/>
      <c r="N83" s="1886"/>
      <c r="O83" s="1886"/>
      <c r="P83" s="1886"/>
      <c r="Q83" s="1886"/>
      <c r="R83" s="1886"/>
      <c r="S83" s="1886"/>
      <c r="T83" s="1886"/>
    </row>
    <row r="84" spans="1:20" ht="14.25" x14ac:dyDescent="0.25">
      <c r="A84" s="1886"/>
      <c r="B84" s="1886"/>
      <c r="C84" s="1886"/>
      <c r="D84" s="1886"/>
      <c r="E84" s="2263"/>
      <c r="F84" s="1886"/>
      <c r="G84" s="1886"/>
      <c r="H84" s="1886"/>
      <c r="I84" s="1886"/>
      <c r="J84" s="1886"/>
      <c r="K84" s="2300" t="s">
        <v>1259</v>
      </c>
      <c r="L84" s="2020"/>
      <c r="M84" s="2295">
        <f>SUM(L62:L71,L73:L82)</f>
        <v>167352.43851908133</v>
      </c>
      <c r="N84" s="1886"/>
      <c r="O84" s="1886"/>
      <c r="P84" s="1886"/>
      <c r="Q84" s="1886"/>
      <c r="R84" s="1886"/>
      <c r="S84" s="1886"/>
      <c r="T84" s="1886"/>
    </row>
    <row r="85" spans="1:20" ht="14.25" x14ac:dyDescent="0.25">
      <c r="A85" s="1886"/>
      <c r="B85" s="1886"/>
      <c r="C85" s="1886"/>
      <c r="D85" s="1886"/>
      <c r="E85" s="1886"/>
      <c r="F85" s="1886"/>
      <c r="G85" s="1886"/>
      <c r="H85" s="1886"/>
      <c r="I85" s="1886"/>
      <c r="J85" s="1886"/>
      <c r="K85" s="1953"/>
      <c r="L85" s="1886"/>
      <c r="M85" s="1886"/>
      <c r="N85" s="1886"/>
      <c r="O85" s="1886"/>
      <c r="P85" s="1886"/>
      <c r="Q85" s="1886"/>
      <c r="R85" s="1886"/>
      <c r="S85" s="1886"/>
      <c r="T85" s="1886"/>
    </row>
    <row r="86" spans="1:20" ht="14.25" x14ac:dyDescent="0.25">
      <c r="A86" s="1886"/>
      <c r="B86" s="1886"/>
      <c r="C86" s="1886"/>
      <c r="D86" s="1886"/>
      <c r="E86" s="1886"/>
      <c r="F86" s="1886"/>
      <c r="G86" s="1886"/>
      <c r="H86" s="1886"/>
      <c r="I86" s="1886"/>
      <c r="J86" s="1886"/>
      <c r="K86" s="1953"/>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B297F-9A24-4A20-B2DE-C2CAA5881A31}">
  <dimension ref="A1:Z121"/>
  <sheetViews>
    <sheetView zoomScale="70" zoomScaleNormal="70" zoomScalePageLayoutView="30" workbookViewId="0">
      <selection activeCell="L13" sqref="L13"/>
    </sheetView>
  </sheetViews>
  <sheetFormatPr defaultColWidth="11.42578125" defaultRowHeight="12.75" x14ac:dyDescent="0.2"/>
  <cols>
    <col min="1" max="1" width="8.42578125" style="1842" customWidth="1"/>
    <col min="2" max="2" width="37.42578125" style="1842" customWidth="1"/>
    <col min="3" max="3" width="17" style="1842" customWidth="1"/>
    <col min="4" max="4" width="15.42578125" style="1842" bestFit="1" customWidth="1"/>
    <col min="5" max="5" width="16.140625" style="1842" customWidth="1"/>
    <col min="6" max="7" width="11.42578125" style="1842"/>
    <col min="8" max="8" width="17.7109375" style="1842" bestFit="1" customWidth="1"/>
    <col min="9" max="9" width="22.85546875" style="1842" bestFit="1" customWidth="1"/>
    <col min="10" max="10" width="12" style="1842" customWidth="1"/>
    <col min="11" max="11" width="34.42578125" style="1842" customWidth="1"/>
    <col min="12" max="12" width="19.5703125" style="1842" bestFit="1" customWidth="1"/>
    <col min="13" max="13" width="10.85546875" style="1842" customWidth="1"/>
    <col min="14" max="16384" width="11.42578125" style="1842"/>
  </cols>
  <sheetData>
    <row r="1" spans="1:20" s="2225" customFormat="1" ht="26.1" customHeight="1" x14ac:dyDescent="0.2">
      <c r="A1" s="1908" t="s">
        <v>1237</v>
      </c>
      <c r="B1" s="1981"/>
      <c r="C1" s="1981"/>
      <c r="D1" s="1981"/>
      <c r="E1" s="1981"/>
      <c r="F1" s="2301"/>
      <c r="G1" s="2301"/>
      <c r="H1" s="2301"/>
      <c r="I1" s="2301"/>
      <c r="J1" s="2301"/>
      <c r="K1" s="2224"/>
      <c r="L1" s="2224"/>
      <c r="M1" s="2224"/>
      <c r="N1" s="2224"/>
      <c r="O1" s="2224"/>
      <c r="P1" s="2224"/>
      <c r="Q1" s="2224"/>
      <c r="R1" s="2224"/>
      <c r="S1" s="2224"/>
      <c r="T1" s="2224"/>
    </row>
    <row r="2" spans="1:20" ht="14.25" customHeight="1" x14ac:dyDescent="0.25">
      <c r="A2" s="2226"/>
      <c r="B2" s="2227"/>
      <c r="C2" s="2026"/>
      <c r="D2" s="2026"/>
      <c r="E2" s="2026"/>
      <c r="F2" s="2026"/>
      <c r="G2" s="2026"/>
      <c r="H2" s="2026"/>
      <c r="I2" s="2026"/>
      <c r="J2" s="2026"/>
      <c r="K2" s="1886"/>
      <c r="L2" s="1886"/>
      <c r="M2" s="1886"/>
      <c r="N2" s="1886"/>
      <c r="O2" s="1886"/>
      <c r="P2" s="1886"/>
      <c r="Q2" s="1886"/>
      <c r="R2" s="1886"/>
      <c r="S2" s="1886"/>
      <c r="T2" s="1886"/>
    </row>
    <row r="3" spans="1:20" ht="18" customHeight="1" x14ac:dyDescent="0.2">
      <c r="A3" s="1886"/>
      <c r="B3" s="2302" t="s">
        <v>1238</v>
      </c>
      <c r="C3" s="2303">
        <f>+'CO2 - Cálculos'!AE58</f>
        <v>146000</v>
      </c>
      <c r="D3" s="2230"/>
      <c r="E3" s="2230"/>
      <c r="F3" s="1886"/>
      <c r="G3" s="1886"/>
      <c r="H3" s="1886"/>
      <c r="I3" s="1886"/>
      <c r="J3" s="1886"/>
      <c r="K3" s="1886"/>
      <c r="L3" s="1886"/>
      <c r="M3" s="1886"/>
      <c r="N3" s="1886"/>
      <c r="O3" s="1886"/>
      <c r="P3" s="1886"/>
      <c r="Q3" s="1886"/>
      <c r="R3" s="1886"/>
      <c r="S3" s="1886"/>
      <c r="T3" s="1886"/>
    </row>
    <row r="4" spans="1:20" ht="18" customHeight="1" x14ac:dyDescent="0.2">
      <c r="A4" s="1886"/>
      <c r="B4" s="1904"/>
      <c r="C4" s="2304"/>
      <c r="D4" s="2233"/>
      <c r="E4" s="2233"/>
      <c r="F4" s="1886"/>
      <c r="G4" s="1886"/>
      <c r="H4" s="1886"/>
      <c r="I4" s="1886"/>
      <c r="J4" s="1886"/>
      <c r="K4" s="1886"/>
      <c r="L4" s="1886"/>
      <c r="M4" s="2305"/>
      <c r="N4" s="2305"/>
      <c r="O4" s="2305"/>
      <c r="P4" s="2305"/>
      <c r="Q4" s="2305"/>
      <c r="R4" s="2305"/>
      <c r="S4" s="1886"/>
      <c r="T4" s="1886"/>
    </row>
    <row r="5" spans="1:20" ht="18" customHeight="1" x14ac:dyDescent="0.25">
      <c r="A5" s="1886"/>
      <c r="B5" s="2302" t="s">
        <v>1239</v>
      </c>
      <c r="C5" s="2303">
        <f>+'CO2 - Cálculos'!AE13</f>
        <v>14727.458000000001</v>
      </c>
      <c r="D5" s="2230"/>
      <c r="E5" s="2230"/>
      <c r="F5" s="1886"/>
      <c r="G5" s="1886"/>
      <c r="H5" s="1886"/>
      <c r="I5" s="1886"/>
      <c r="J5" s="1886"/>
      <c r="K5" s="1886"/>
      <c r="L5" s="1953"/>
      <c r="M5" s="1953"/>
      <c r="N5" s="1953"/>
      <c r="O5" s="2962" t="s">
        <v>1264</v>
      </c>
      <c r="P5" s="2963"/>
      <c r="Q5" s="1953"/>
      <c r="R5" s="1953"/>
      <c r="S5" s="1886"/>
      <c r="T5" s="1886"/>
    </row>
    <row r="6" spans="1:20" ht="18" customHeight="1" x14ac:dyDescent="0.25">
      <c r="A6" s="1886"/>
      <c r="B6" s="2306"/>
      <c r="C6" s="2307"/>
      <c r="D6" s="2230"/>
      <c r="E6" s="2230"/>
      <c r="F6" s="1886"/>
      <c r="G6" s="1886"/>
      <c r="H6" s="1886"/>
      <c r="I6" s="1886"/>
      <c r="J6" s="1886"/>
      <c r="K6" s="1886"/>
      <c r="L6" s="1953"/>
      <c r="M6" s="1953"/>
      <c r="N6" s="1953"/>
      <c r="O6" s="2964">
        <f>+C3</f>
        <v>146000</v>
      </c>
      <c r="P6" s="2965"/>
      <c r="Q6" s="1953"/>
      <c r="R6" s="1953"/>
      <c r="S6" s="1886"/>
      <c r="T6" s="1886"/>
    </row>
    <row r="7" spans="1:20" ht="18" customHeight="1" x14ac:dyDescent="0.25">
      <c r="A7" s="1886"/>
      <c r="B7" s="2222" t="s">
        <v>1108</v>
      </c>
      <c r="C7" s="2308">
        <f>+'CO2 - Cálculos'!AE5</f>
        <v>0</v>
      </c>
      <c r="D7" s="2230"/>
      <c r="E7" s="2230"/>
      <c r="F7" s="1886"/>
      <c r="G7" s="1886"/>
      <c r="H7" s="1886"/>
      <c r="I7" s="1886"/>
      <c r="J7" s="1886"/>
      <c r="K7" s="1886"/>
      <c r="L7" s="1953"/>
      <c r="M7" s="1973"/>
      <c r="N7" s="1953"/>
      <c r="O7" s="1953"/>
      <c r="P7" s="1953"/>
      <c r="Q7" s="1953"/>
      <c r="R7" s="1953"/>
      <c r="S7" s="1886"/>
      <c r="T7" s="1886"/>
    </row>
    <row r="8" spans="1:20" ht="18" customHeight="1" x14ac:dyDescent="0.2">
      <c r="A8" s="1886"/>
      <c r="B8" s="2222" t="s">
        <v>1109</v>
      </c>
      <c r="C8" s="2308">
        <f>+'CO2 - Cálculos'!AE6</f>
        <v>0</v>
      </c>
      <c r="D8" s="2230"/>
      <c r="E8" s="2230"/>
      <c r="F8" s="1886"/>
      <c r="G8" s="1886"/>
      <c r="H8" s="1886"/>
      <c r="I8" s="1886"/>
      <c r="J8" s="1886"/>
      <c r="K8" s="1886"/>
      <c r="L8" s="2309"/>
      <c r="M8" s="2309"/>
      <c r="N8" s="2309"/>
      <c r="O8" s="2309"/>
      <c r="P8" s="2309"/>
      <c r="Q8" s="2309"/>
      <c r="R8" s="2309"/>
      <c r="S8" s="1886"/>
      <c r="T8" s="1886"/>
    </row>
    <row r="9" spans="1:20" ht="18" customHeight="1" x14ac:dyDescent="0.2">
      <c r="A9" s="1886"/>
      <c r="B9" s="2222" t="s">
        <v>1110</v>
      </c>
      <c r="C9" s="2308">
        <f>+'CO2 - Cálculos'!AE7</f>
        <v>6368.9580000000005</v>
      </c>
      <c r="D9" s="2230"/>
      <c r="E9" s="2230"/>
      <c r="F9" s="1886"/>
      <c r="G9" s="1886"/>
      <c r="H9" s="1886"/>
      <c r="I9" s="1886"/>
      <c r="J9" s="1886"/>
      <c r="K9" s="1886"/>
      <c r="L9" s="2309"/>
      <c r="M9" s="1862" t="s">
        <v>1048</v>
      </c>
      <c r="N9" s="2310">
        <f>+C5</f>
        <v>14727.458000000001</v>
      </c>
      <c r="O9" s="2311">
        <f>+N9/O6</f>
        <v>0.100873</v>
      </c>
      <c r="P9" s="2312">
        <f>+Q9/O6</f>
        <v>0.8991269999999999</v>
      </c>
      <c r="Q9" s="2313">
        <f>+C16</f>
        <v>131272.54199999999</v>
      </c>
      <c r="R9" s="2314" t="s">
        <v>1241</v>
      </c>
      <c r="S9" s="1886"/>
      <c r="T9" s="1886"/>
    </row>
    <row r="10" spans="1:20" ht="18" customHeight="1" x14ac:dyDescent="0.2">
      <c r="A10" s="1886"/>
      <c r="B10" s="2222" t="s">
        <v>1111</v>
      </c>
      <c r="C10" s="2308">
        <f>+'CO2 - Cálculos'!AE8</f>
        <v>4336.2</v>
      </c>
      <c r="D10" s="2230"/>
      <c r="E10" s="2230"/>
      <c r="F10" s="1886"/>
      <c r="G10" s="1886"/>
      <c r="H10" s="1886"/>
      <c r="I10" s="1886"/>
      <c r="J10" s="1886"/>
      <c r="K10" s="1886"/>
      <c r="L10" s="2309"/>
      <c r="M10" s="2315"/>
      <c r="N10" s="2316"/>
      <c r="O10" s="2309"/>
      <c r="P10" s="2309"/>
      <c r="Q10" s="2316"/>
      <c r="R10" s="2315"/>
      <c r="S10" s="1886"/>
      <c r="T10" s="1886"/>
    </row>
    <row r="11" spans="1:20" ht="18" customHeight="1" x14ac:dyDescent="0.2">
      <c r="A11" s="1886"/>
      <c r="B11" s="2222" t="s">
        <v>50</v>
      </c>
      <c r="C11" s="2308">
        <f>+'CO2 - Cálculos'!AE9</f>
        <v>0</v>
      </c>
      <c r="D11" s="2230"/>
      <c r="E11" s="2230"/>
      <c r="F11" s="1886"/>
      <c r="G11" s="1886"/>
      <c r="H11" s="1886"/>
      <c r="I11" s="1886"/>
      <c r="J11" s="1886"/>
      <c r="K11" s="1886"/>
      <c r="L11" s="2309"/>
      <c r="M11" s="1862" t="str">
        <f t="shared" ref="M11:N18" si="0">+B7</f>
        <v>Resíduos de alimentos</v>
      </c>
      <c r="N11" s="2317">
        <f t="shared" si="0"/>
        <v>0</v>
      </c>
      <c r="O11" s="2318">
        <f t="shared" ref="O11:O18" si="1">+N11/$N$9</f>
        <v>0</v>
      </c>
      <c r="P11" s="2319">
        <f t="shared" ref="P11:P19" si="2">+Q11/$Q$9</f>
        <v>0</v>
      </c>
      <c r="Q11" s="2320">
        <f t="shared" ref="Q11:Q19" si="3">+C18</f>
        <v>0</v>
      </c>
      <c r="R11" s="2314" t="str">
        <f t="shared" ref="R11:R19" si="4">+B18</f>
        <v>Resíduos dispersos</v>
      </c>
      <c r="S11" s="1886"/>
      <c r="T11" s="1886"/>
    </row>
    <row r="12" spans="1:20" ht="18" customHeight="1" x14ac:dyDescent="0.2">
      <c r="A12" s="1886"/>
      <c r="B12" s="2222" t="s">
        <v>1112</v>
      </c>
      <c r="C12" s="2308">
        <f>+'CO2 - Cálculos'!AE10</f>
        <v>3190.1</v>
      </c>
      <c r="D12" s="2230"/>
      <c r="E12" s="2230"/>
      <c r="F12" s="1886"/>
      <c r="G12" s="1886"/>
      <c r="H12" s="1886"/>
      <c r="I12" s="1886"/>
      <c r="J12" s="1886"/>
      <c r="K12" s="1886"/>
      <c r="L12" s="2309"/>
      <c r="M12" s="1862" t="str">
        <f t="shared" si="0"/>
        <v>Resíduos de jardins e parques</v>
      </c>
      <c r="N12" s="2317">
        <f t="shared" si="0"/>
        <v>0</v>
      </c>
      <c r="O12" s="2318">
        <f t="shared" si="1"/>
        <v>0</v>
      </c>
      <c r="P12" s="2319">
        <f t="shared" si="2"/>
        <v>0</v>
      </c>
      <c r="Q12" s="2320">
        <f t="shared" si="3"/>
        <v>0</v>
      </c>
      <c r="R12" s="2314" t="str">
        <f t="shared" si="4"/>
        <v>Queima a céu aberto</v>
      </c>
      <c r="S12" s="1886"/>
      <c r="T12" s="1886"/>
    </row>
    <row r="13" spans="1:20" ht="18" customHeight="1" x14ac:dyDescent="0.2">
      <c r="A13" s="1886"/>
      <c r="B13" s="2222" t="s">
        <v>1113</v>
      </c>
      <c r="C13" s="2308">
        <f>+'CO2 - Cálculos'!AE11</f>
        <v>832.19999999999993</v>
      </c>
      <c r="D13" s="2230"/>
      <c r="E13" s="2230"/>
      <c r="F13" s="1886"/>
      <c r="G13" s="1886"/>
      <c r="H13" s="1886"/>
      <c r="I13" s="1886"/>
      <c r="J13" s="1886"/>
      <c r="K13" s="1886"/>
      <c r="L13" s="2309"/>
      <c r="M13" s="1862" t="str">
        <f t="shared" si="0"/>
        <v>Papel, papelão</v>
      </c>
      <c r="N13" s="2317">
        <f t="shared" si="0"/>
        <v>6368.9580000000005</v>
      </c>
      <c r="O13" s="2318">
        <f t="shared" si="1"/>
        <v>0.4324546707245745</v>
      </c>
      <c r="P13" s="2319">
        <f t="shared" si="2"/>
        <v>0</v>
      </c>
      <c r="Q13" s="2320">
        <f t="shared" si="3"/>
        <v>0</v>
      </c>
      <c r="R13" s="2314" t="str">
        <f t="shared" si="4"/>
        <v>Lixão não controlado</v>
      </c>
      <c r="S13" s="1886"/>
      <c r="T13" s="1886"/>
    </row>
    <row r="14" spans="1:20" ht="18" customHeight="1" x14ac:dyDescent="0.2">
      <c r="A14" s="1886"/>
      <c r="B14" s="2222" t="s">
        <v>1114</v>
      </c>
      <c r="C14" s="2308">
        <f>+'CO2 - Cálculos'!AE12</f>
        <v>0</v>
      </c>
      <c r="D14" s="2230"/>
      <c r="E14" s="2230"/>
      <c r="F14" s="1886"/>
      <c r="G14" s="1886"/>
      <c r="H14" s="1886"/>
      <c r="I14" s="1886"/>
      <c r="J14" s="1886"/>
      <c r="K14" s="1886"/>
      <c r="L14" s="2309"/>
      <c r="M14" s="1862" t="str">
        <f t="shared" si="0"/>
        <v>Plásticos</v>
      </c>
      <c r="N14" s="2317">
        <f t="shared" si="0"/>
        <v>4336.2</v>
      </c>
      <c r="O14" s="2318">
        <f t="shared" si="1"/>
        <v>0.29442962933589761</v>
      </c>
      <c r="P14" s="2319">
        <f t="shared" si="2"/>
        <v>0</v>
      </c>
      <c r="Q14" s="2320">
        <f t="shared" si="3"/>
        <v>0</v>
      </c>
      <c r="R14" s="2314" t="str">
        <f t="shared" si="4"/>
        <v>Aterro controlado</v>
      </c>
      <c r="S14" s="1886"/>
      <c r="T14" s="1886"/>
    </row>
    <row r="15" spans="1:20" ht="18" customHeight="1" x14ac:dyDescent="0.2">
      <c r="A15" s="1886"/>
      <c r="B15" s="1904"/>
      <c r="C15" s="2304"/>
      <c r="D15" s="2230"/>
      <c r="E15" s="2230"/>
      <c r="F15" s="1886"/>
      <c r="G15" s="1886"/>
      <c r="H15" s="1886"/>
      <c r="I15" s="1886"/>
      <c r="J15" s="1886"/>
      <c r="K15" s="1886"/>
      <c r="L15" s="2309"/>
      <c r="M15" s="1862" t="str">
        <f t="shared" si="0"/>
        <v>Vidros</v>
      </c>
      <c r="N15" s="2317">
        <f t="shared" si="0"/>
        <v>0</v>
      </c>
      <c r="O15" s="2318">
        <f t="shared" si="1"/>
        <v>0</v>
      </c>
      <c r="P15" s="2319">
        <f t="shared" si="2"/>
        <v>0.35</v>
      </c>
      <c r="Q15" s="2320">
        <f t="shared" si="3"/>
        <v>45945.389699999992</v>
      </c>
      <c r="R15" s="2314" t="str">
        <f t="shared" si="4"/>
        <v>Aterro sanitário</v>
      </c>
      <c r="S15" s="1886"/>
      <c r="T15" s="1886"/>
    </row>
    <row r="16" spans="1:20" ht="18" customHeight="1" x14ac:dyDescent="0.2">
      <c r="A16" s="1886"/>
      <c r="B16" s="1975" t="s">
        <v>1265</v>
      </c>
      <c r="C16" s="2303">
        <f>+'CO2 - Cálculos'!AE57</f>
        <v>131272.54199999999</v>
      </c>
      <c r="D16" s="2230"/>
      <c r="E16" s="2230"/>
      <c r="F16" s="1886"/>
      <c r="G16" s="1886"/>
      <c r="H16" s="1886"/>
      <c r="I16" s="1886"/>
      <c r="J16" s="1886"/>
      <c r="K16" s="1886"/>
      <c r="L16" s="2309"/>
      <c r="M16" s="1862" t="str">
        <f t="shared" si="0"/>
        <v>Metais ferrosos</v>
      </c>
      <c r="N16" s="2317">
        <f t="shared" si="0"/>
        <v>3190.1</v>
      </c>
      <c r="O16" s="2318">
        <f t="shared" si="1"/>
        <v>0.21660900340031525</v>
      </c>
      <c r="P16" s="2319">
        <f t="shared" si="2"/>
        <v>0</v>
      </c>
      <c r="Q16" s="2320">
        <f t="shared" si="3"/>
        <v>0</v>
      </c>
      <c r="R16" s="2314" t="str">
        <f t="shared" si="4"/>
        <v>Trat. biol + cobertura at.</v>
      </c>
      <c r="S16" s="1886"/>
      <c r="T16" s="1886"/>
    </row>
    <row r="17" spans="1:26" ht="18" customHeight="1" x14ac:dyDescent="0.2">
      <c r="A17" s="1886"/>
      <c r="B17" s="2306"/>
      <c r="C17" s="2307"/>
      <c r="D17" s="2230"/>
      <c r="E17" s="2230"/>
      <c r="F17" s="1886"/>
      <c r="G17" s="1886"/>
      <c r="H17" s="1886"/>
      <c r="I17" s="1886"/>
      <c r="J17" s="1886"/>
      <c r="K17" s="1886"/>
      <c r="L17" s="2309"/>
      <c r="M17" s="1862" t="str">
        <f t="shared" si="0"/>
        <v>Alumínio</v>
      </c>
      <c r="N17" s="2317">
        <f t="shared" si="0"/>
        <v>832.19999999999993</v>
      </c>
      <c r="O17" s="2318">
        <f t="shared" si="1"/>
        <v>5.650669653921267E-2</v>
      </c>
      <c r="P17" s="2319">
        <f t="shared" si="2"/>
        <v>0.125</v>
      </c>
      <c r="Q17" s="2320">
        <f t="shared" si="3"/>
        <v>16409.067749999998</v>
      </c>
      <c r="R17" s="2314" t="str">
        <f t="shared" si="4"/>
        <v>CDR seco + rejeito aterro</v>
      </c>
      <c r="S17" s="1886"/>
      <c r="T17" s="1886"/>
    </row>
    <row r="18" spans="1:26" ht="18" customHeight="1" x14ac:dyDescent="0.2">
      <c r="A18" s="1886"/>
      <c r="B18" s="2222" t="s">
        <v>1243</v>
      </c>
      <c r="C18" s="2308">
        <f>+'CO2 - Cálculos'!AE47</f>
        <v>0</v>
      </c>
      <c r="D18" s="2230"/>
      <c r="E18" s="2230"/>
      <c r="F18" s="1886"/>
      <c r="G18" s="1886"/>
      <c r="H18" s="1886"/>
      <c r="I18" s="1886"/>
      <c r="J18" s="1886"/>
      <c r="K18" s="1886"/>
      <c r="L18" s="2309"/>
      <c r="M18" s="1862" t="str">
        <f t="shared" si="0"/>
        <v>Têxteis</v>
      </c>
      <c r="N18" s="2317">
        <f t="shared" si="0"/>
        <v>0</v>
      </c>
      <c r="O18" s="2318">
        <f t="shared" si="1"/>
        <v>0</v>
      </c>
      <c r="P18" s="2319">
        <f t="shared" si="2"/>
        <v>0.52500000000000002</v>
      </c>
      <c r="Q18" s="2320">
        <f t="shared" si="3"/>
        <v>68918.08455</v>
      </c>
      <c r="R18" s="2314" t="str">
        <f t="shared" si="4"/>
        <v>CDR seco + trat. biol.</v>
      </c>
      <c r="S18" s="1886"/>
      <c r="T18" s="1886"/>
    </row>
    <row r="19" spans="1:26" ht="18" customHeight="1" x14ac:dyDescent="0.2">
      <c r="A19" s="1886"/>
      <c r="B19" s="2222" t="s">
        <v>1244</v>
      </c>
      <c r="C19" s="2308">
        <f>+'CO2 - Cálculos'!AE48</f>
        <v>0</v>
      </c>
      <c r="D19" s="2230"/>
      <c r="E19" s="2230"/>
      <c r="F19" s="1886"/>
      <c r="G19" s="1886"/>
      <c r="H19" s="1886"/>
      <c r="I19" s="1886"/>
      <c r="J19" s="1886"/>
      <c r="K19" s="1886"/>
      <c r="L19" s="2309"/>
      <c r="M19" s="2309"/>
      <c r="N19" s="2309"/>
      <c r="O19" s="2321"/>
      <c r="P19" s="2319">
        <f t="shared" si="2"/>
        <v>0</v>
      </c>
      <c r="Q19" s="2320">
        <f t="shared" si="3"/>
        <v>0</v>
      </c>
      <c r="R19" s="2314" t="str">
        <f t="shared" si="4"/>
        <v>CDR seco + CDR org.</v>
      </c>
      <c r="S19" s="1886"/>
      <c r="T19" s="1886"/>
    </row>
    <row r="20" spans="1:26" ht="18" customHeight="1" x14ac:dyDescent="0.2">
      <c r="A20" s="1886"/>
      <c r="B20" s="2222" t="s">
        <v>1245</v>
      </c>
      <c r="C20" s="2308">
        <f>+'CO2 - Cálculos'!AE49</f>
        <v>0</v>
      </c>
      <c r="D20" s="2230"/>
      <c r="E20" s="2230"/>
      <c r="F20" s="1886"/>
      <c r="G20" s="1886"/>
      <c r="H20" s="1886"/>
      <c r="I20" s="1886"/>
      <c r="J20" s="1886"/>
      <c r="K20" s="1886"/>
      <c r="L20" s="2309"/>
      <c r="M20" s="2309"/>
      <c r="N20" s="2309"/>
      <c r="O20" s="2309"/>
      <c r="P20" s="2319">
        <f>+Q20/$Q$9</f>
        <v>0</v>
      </c>
      <c r="Q20" s="2320">
        <f>+C27</f>
        <v>0</v>
      </c>
      <c r="R20" s="2314" t="str">
        <f>+B27</f>
        <v>Incineração</v>
      </c>
      <c r="S20" s="1886"/>
      <c r="T20" s="1886"/>
    </row>
    <row r="21" spans="1:26" ht="18" customHeight="1" x14ac:dyDescent="0.2">
      <c r="A21" s="1886"/>
      <c r="B21" s="2222" t="s">
        <v>1246</v>
      </c>
      <c r="C21" s="2308">
        <f>+'CO2 - Cálculos'!AE50</f>
        <v>0</v>
      </c>
      <c r="D21" s="2230"/>
      <c r="E21" s="2230"/>
      <c r="F21" s="1886"/>
      <c r="G21" s="1886"/>
      <c r="H21" s="1886"/>
      <c r="I21" s="1886"/>
      <c r="J21" s="1886"/>
      <c r="K21" s="1886"/>
      <c r="L21" s="1886"/>
      <c r="M21" s="1886"/>
      <c r="N21" s="1886"/>
      <c r="O21" s="1886"/>
      <c r="P21" s="1886"/>
      <c r="Q21" s="1886"/>
      <c r="R21" s="1886"/>
      <c r="S21" s="1886"/>
      <c r="T21" s="1886"/>
    </row>
    <row r="22" spans="1:26" ht="18" customHeight="1" x14ac:dyDescent="0.2">
      <c r="A22" s="1886"/>
      <c r="B22" s="2322" t="s">
        <v>64</v>
      </c>
      <c r="C22" s="2308">
        <f>+'CO2 - Cálculos'!AE51</f>
        <v>45945.389699999992</v>
      </c>
      <c r="D22" s="2230"/>
      <c r="E22" s="2230"/>
      <c r="F22" s="1886"/>
      <c r="G22" s="1886"/>
      <c r="H22" s="1886"/>
      <c r="I22" s="1886"/>
      <c r="J22" s="1886"/>
      <c r="K22" s="1886"/>
      <c r="L22" s="1886"/>
      <c r="M22" s="1886"/>
      <c r="N22" s="1886"/>
      <c r="O22" s="1886"/>
      <c r="P22" s="1886"/>
      <c r="Q22" s="1886"/>
      <c r="R22" s="1886"/>
      <c r="S22" s="1886"/>
      <c r="T22" s="1886"/>
    </row>
    <row r="23" spans="1:26" ht="18" customHeight="1" x14ac:dyDescent="0.2">
      <c r="A23" s="1886"/>
      <c r="B23" s="2323" t="s">
        <v>1247</v>
      </c>
      <c r="C23" s="2324">
        <f>+'CO2 - Cálculos'!AE52</f>
        <v>0</v>
      </c>
      <c r="D23" s="2230"/>
      <c r="E23" s="2230"/>
      <c r="F23" s="1886"/>
      <c r="G23" s="1886"/>
      <c r="H23" s="1886"/>
      <c r="I23" s="1886"/>
      <c r="J23" s="1886"/>
      <c r="K23" s="1886"/>
      <c r="L23" s="1886"/>
      <c r="M23" s="1886"/>
      <c r="N23" s="1886"/>
      <c r="O23" s="1886"/>
      <c r="P23" s="1886"/>
      <c r="Q23" s="1886"/>
      <c r="R23" s="1886"/>
      <c r="S23" s="1886"/>
      <c r="T23" s="1886"/>
    </row>
    <row r="24" spans="1:26" ht="18" customHeight="1" x14ac:dyDescent="0.2">
      <c r="A24" s="1886"/>
      <c r="B24" s="2323" t="s">
        <v>1248</v>
      </c>
      <c r="C24" s="2308">
        <f>+'CO2 - Cálculos'!AE53</f>
        <v>16409.067749999998</v>
      </c>
      <c r="D24" s="2230"/>
      <c r="E24" s="2230"/>
      <c r="F24" s="1886"/>
      <c r="G24" s="1886"/>
      <c r="H24" s="1886"/>
      <c r="I24" s="1886"/>
      <c r="J24" s="1886"/>
      <c r="K24" s="1886"/>
      <c r="L24" s="1886"/>
      <c r="M24" s="1886"/>
      <c r="N24" s="1886"/>
      <c r="O24" s="1886"/>
      <c r="P24" s="1886"/>
      <c r="Q24" s="1886"/>
      <c r="R24" s="1886"/>
      <c r="S24" s="1886"/>
      <c r="T24" s="1886"/>
    </row>
    <row r="25" spans="1:26" ht="18" customHeight="1" x14ac:dyDescent="0.2">
      <c r="A25" s="1886"/>
      <c r="B25" s="2323" t="s">
        <v>1249</v>
      </c>
      <c r="C25" s="2308">
        <f>+'CO2 - Cálculos'!AE54</f>
        <v>68918.08455</v>
      </c>
      <c r="D25" s="2230"/>
      <c r="E25" s="2230"/>
      <c r="F25" s="1886"/>
      <c r="G25" s="1886"/>
      <c r="H25" s="1886"/>
      <c r="I25" s="1886"/>
      <c r="J25" s="1886"/>
      <c r="K25" s="1886"/>
      <c r="L25" s="1886"/>
      <c r="M25" s="1886"/>
      <c r="N25" s="1886"/>
      <c r="O25" s="1886"/>
      <c r="P25" s="1886"/>
      <c r="Q25" s="1886"/>
      <c r="R25" s="1886"/>
      <c r="S25" s="1886"/>
      <c r="T25" s="1886"/>
    </row>
    <row r="26" spans="1:26" ht="18" customHeight="1" x14ac:dyDescent="0.2">
      <c r="A26" s="1886"/>
      <c r="B26" s="2323" t="s">
        <v>1250</v>
      </c>
      <c r="C26" s="2308">
        <f>+'CO2 - Cálculos'!AE55</f>
        <v>0</v>
      </c>
      <c r="D26" s="2230"/>
      <c r="E26" s="2230"/>
      <c r="F26" s="1886"/>
      <c r="G26" s="1886"/>
      <c r="H26" s="1886"/>
      <c r="I26" s="1886"/>
      <c r="J26" s="1886"/>
      <c r="K26" s="1886"/>
      <c r="L26" s="1886"/>
      <c r="M26" s="1886"/>
      <c r="N26" s="1886"/>
      <c r="O26" s="1886"/>
      <c r="P26" s="1886"/>
      <c r="Q26" s="1886"/>
      <c r="R26" s="1886"/>
      <c r="S26" s="1886"/>
      <c r="T26" s="1886"/>
    </row>
    <row r="27" spans="1:26" ht="18" customHeight="1" x14ac:dyDescent="0.2">
      <c r="A27" s="1886"/>
      <c r="B27" s="2222" t="s">
        <v>63</v>
      </c>
      <c r="C27" s="2308">
        <f>+'CO2 - Cálculos'!AE56</f>
        <v>0</v>
      </c>
      <c r="D27" s="2230"/>
      <c r="E27" s="2230"/>
      <c r="F27" s="1886"/>
      <c r="G27" s="1886"/>
      <c r="H27" s="1886"/>
      <c r="I27" s="1886"/>
      <c r="J27" s="1886"/>
      <c r="K27" s="1886"/>
      <c r="L27" s="1886"/>
      <c r="M27" s="1886"/>
      <c r="N27" s="1886"/>
      <c r="O27" s="1886"/>
      <c r="P27" s="1886"/>
      <c r="Q27" s="1886"/>
      <c r="R27" s="1886"/>
      <c r="S27" s="1886"/>
      <c r="T27" s="1886"/>
    </row>
    <row r="28" spans="1:26" x14ac:dyDescent="0.2">
      <c r="A28" s="1886"/>
      <c r="B28" s="1886"/>
      <c r="C28" s="2230"/>
      <c r="D28" s="2230"/>
      <c r="E28" s="2230"/>
      <c r="F28" s="1886"/>
      <c r="G28" s="1886"/>
      <c r="H28" s="1886"/>
      <c r="I28" s="1886"/>
      <c r="J28" s="1886"/>
      <c r="K28" s="1886"/>
      <c r="L28" s="1886"/>
      <c r="M28" s="1886"/>
      <c r="N28" s="1886"/>
      <c r="O28" s="1886"/>
      <c r="P28" s="1886"/>
      <c r="Q28" s="1886"/>
      <c r="R28" s="1886"/>
      <c r="S28" s="1886"/>
      <c r="T28" s="1886"/>
    </row>
    <row r="29" spans="1:26" s="2225" customFormat="1" ht="26.1" customHeight="1" x14ac:dyDescent="0.2">
      <c r="A29" s="2059" t="s">
        <v>1266</v>
      </c>
      <c r="B29" s="2325"/>
      <c r="C29" s="2326"/>
      <c r="D29" s="2326"/>
      <c r="E29" s="2326"/>
      <c r="F29" s="2026"/>
      <c r="G29" s="2026"/>
      <c r="H29" s="2026"/>
      <c r="I29" s="2026"/>
      <c r="J29" s="2026"/>
      <c r="K29" s="2026"/>
      <c r="L29" s="2026"/>
      <c r="M29" s="2026"/>
      <c r="N29" s="2026"/>
      <c r="O29" s="2026"/>
      <c r="P29" s="2026"/>
      <c r="Q29" s="2026"/>
      <c r="R29" s="2026"/>
      <c r="S29" s="2026"/>
      <c r="T29" s="2026"/>
      <c r="U29" s="1841"/>
      <c r="V29" s="1841"/>
      <c r="W29" s="1841"/>
      <c r="X29" s="1841"/>
      <c r="Y29" s="1841"/>
      <c r="Z29" s="1841"/>
    </row>
    <row r="30" spans="1:26"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26" ht="18" customHeight="1" x14ac:dyDescent="0.2">
      <c r="A31" s="1886"/>
      <c r="B31" s="2327"/>
      <c r="C31" s="2328" t="s">
        <v>1252</v>
      </c>
      <c r="D31" s="2075" t="s">
        <v>1253</v>
      </c>
      <c r="E31" s="2075" t="s">
        <v>1254</v>
      </c>
      <c r="F31" s="2329"/>
      <c r="G31" s="2329"/>
      <c r="H31" s="2330"/>
      <c r="I31" s="2329"/>
      <c r="J31" s="2329"/>
      <c r="K31" s="2329"/>
      <c r="L31" s="1886"/>
      <c r="M31" s="1886"/>
      <c r="N31" s="1886"/>
      <c r="O31" s="1886"/>
      <c r="P31" s="1886"/>
      <c r="Q31" s="1886"/>
      <c r="R31" s="1886"/>
      <c r="S31" s="1886"/>
      <c r="T31" s="1886"/>
    </row>
    <row r="32" spans="1:26" ht="18" customHeight="1" x14ac:dyDescent="0.2">
      <c r="A32" s="1886"/>
      <c r="B32" s="2331" t="s">
        <v>1239</v>
      </c>
      <c r="C32" s="2332"/>
      <c r="D32" s="2333"/>
      <c r="E32" s="2333"/>
      <c r="F32" s="2329"/>
      <c r="G32" s="2329"/>
      <c r="H32" s="2329"/>
      <c r="I32" s="2329"/>
      <c r="J32" s="2329"/>
      <c r="K32" s="2329"/>
      <c r="L32" s="1886"/>
      <c r="M32" s="1886"/>
      <c r="N32" s="1886"/>
      <c r="O32" s="1886"/>
      <c r="P32" s="1886"/>
      <c r="Q32" s="1886"/>
      <c r="R32" s="1886"/>
      <c r="S32" s="1886"/>
      <c r="T32" s="1886"/>
    </row>
    <row r="33" spans="1:20" ht="18" customHeight="1" x14ac:dyDescent="0.2">
      <c r="A33" s="1886"/>
      <c r="B33" s="2334"/>
      <c r="C33" s="2333"/>
      <c r="D33" s="2333"/>
      <c r="E33" s="2333"/>
      <c r="F33" s="2329"/>
      <c r="G33" s="2329"/>
      <c r="H33" s="2329"/>
      <c r="I33" s="2329"/>
      <c r="J33" s="2329"/>
      <c r="K33" s="2329"/>
      <c r="L33" s="1886"/>
      <c r="M33" s="1886"/>
      <c r="N33" s="1886"/>
      <c r="O33" s="1886"/>
      <c r="P33" s="1886"/>
      <c r="Q33" s="1886"/>
      <c r="R33" s="1886"/>
      <c r="S33" s="1886"/>
      <c r="T33" s="1886"/>
    </row>
    <row r="34" spans="1:20" ht="18" customHeight="1" x14ac:dyDescent="0.2">
      <c r="A34" s="1886"/>
      <c r="B34" s="2222" t="str">
        <f>B7</f>
        <v>Resíduos de alimentos</v>
      </c>
      <c r="C34" s="2335">
        <f t="shared" ref="C34:C41" si="5">+C62</f>
        <v>0</v>
      </c>
      <c r="D34" s="2335">
        <f t="shared" ref="D34:D41" si="6">+C71</f>
        <v>0</v>
      </c>
      <c r="E34" s="2335">
        <f t="shared" ref="E34:E41" si="7">+D34+C34</f>
        <v>0</v>
      </c>
      <c r="F34" s="2329"/>
      <c r="G34" s="2329"/>
      <c r="H34" s="2329"/>
      <c r="I34" s="2329"/>
      <c r="J34" s="2329"/>
      <c r="K34" s="2329"/>
      <c r="L34" s="1886"/>
      <c r="M34" s="1886"/>
      <c r="N34" s="1886"/>
      <c r="O34" s="1886"/>
      <c r="P34" s="1886"/>
      <c r="Q34" s="1886"/>
      <c r="R34" s="1886"/>
      <c r="S34" s="1886"/>
      <c r="T34" s="1886"/>
    </row>
    <row r="35" spans="1:20" ht="18" customHeight="1" x14ac:dyDescent="0.2">
      <c r="A35" s="1886"/>
      <c r="B35" s="2222" t="str">
        <f t="shared" ref="B35:B41" si="8">B8</f>
        <v>Resíduos de jardins e parques</v>
      </c>
      <c r="C35" s="2335">
        <f t="shared" si="5"/>
        <v>0</v>
      </c>
      <c r="D35" s="2335">
        <f t="shared" si="6"/>
        <v>0</v>
      </c>
      <c r="E35" s="2335">
        <f t="shared" si="7"/>
        <v>0</v>
      </c>
      <c r="F35" s="2329"/>
      <c r="G35" s="2329"/>
      <c r="H35" s="2329"/>
      <c r="I35" s="2329"/>
      <c r="J35" s="2329"/>
      <c r="K35" s="2329"/>
      <c r="L35" s="1886"/>
      <c r="M35" s="1886"/>
      <c r="N35" s="1886"/>
      <c r="O35" s="1886"/>
      <c r="P35" s="1886"/>
      <c r="Q35" s="1886"/>
      <c r="R35" s="1886"/>
      <c r="S35" s="1886"/>
      <c r="T35" s="1886"/>
    </row>
    <row r="36" spans="1:20" ht="18" customHeight="1" x14ac:dyDescent="0.2">
      <c r="A36" s="1886"/>
      <c r="B36" s="2222" t="str">
        <f t="shared" si="8"/>
        <v>Papel, papelão</v>
      </c>
      <c r="C36" s="2335">
        <f t="shared" si="5"/>
        <v>7999.4112480000003</v>
      </c>
      <c r="D36" s="2335">
        <f t="shared" si="6"/>
        <v>-9859.1469840000009</v>
      </c>
      <c r="E36" s="2335">
        <f t="shared" si="7"/>
        <v>-1859.7357360000005</v>
      </c>
      <c r="F36" s="2329"/>
      <c r="G36" s="2329"/>
      <c r="H36" s="2329"/>
      <c r="I36" s="2329"/>
      <c r="J36" s="2329"/>
      <c r="K36" s="2329"/>
      <c r="L36" s="1886"/>
      <c r="M36" s="1886"/>
      <c r="N36" s="1886"/>
      <c r="O36" s="1886"/>
      <c r="P36" s="1886"/>
      <c r="Q36" s="1886"/>
      <c r="R36" s="1886"/>
      <c r="S36" s="1886"/>
      <c r="T36" s="1886"/>
    </row>
    <row r="37" spans="1:20" ht="18" customHeight="1" x14ac:dyDescent="0.2">
      <c r="A37" s="1886"/>
      <c r="B37" s="2222" t="str">
        <f t="shared" si="8"/>
        <v>Plásticos</v>
      </c>
      <c r="C37" s="2335">
        <f t="shared" si="5"/>
        <v>1777.8420000000001</v>
      </c>
      <c r="D37" s="2335">
        <f t="shared" si="6"/>
        <v>-8281.2747600000002</v>
      </c>
      <c r="E37" s="2335">
        <f t="shared" si="7"/>
        <v>-6503.4327599999997</v>
      </c>
      <c r="F37" s="2329"/>
      <c r="G37" s="2329"/>
      <c r="H37" s="2329"/>
      <c r="I37" s="2329"/>
      <c r="J37" s="2329"/>
      <c r="K37" s="2329"/>
      <c r="L37" s="1886"/>
      <c r="M37" s="1886"/>
      <c r="N37" s="1886"/>
      <c r="O37" s="1886"/>
      <c r="P37" s="1886"/>
      <c r="Q37" s="1886"/>
      <c r="R37" s="1886"/>
      <c r="S37" s="1886"/>
      <c r="T37" s="1886"/>
    </row>
    <row r="38" spans="1:20" ht="18" customHeight="1" x14ac:dyDescent="0.2">
      <c r="A38" s="1886"/>
      <c r="B38" s="2222" t="str">
        <f t="shared" si="8"/>
        <v>Vidros</v>
      </c>
      <c r="C38" s="2335">
        <f t="shared" si="5"/>
        <v>0</v>
      </c>
      <c r="D38" s="2335">
        <f t="shared" si="6"/>
        <v>0</v>
      </c>
      <c r="E38" s="2335">
        <f t="shared" si="7"/>
        <v>0</v>
      </c>
      <c r="F38" s="2329"/>
      <c r="G38" s="2329"/>
      <c r="H38" s="2329"/>
      <c r="I38" s="2329"/>
      <c r="J38" s="2329"/>
      <c r="K38" s="2329"/>
      <c r="L38" s="1886"/>
      <c r="M38" s="1886"/>
      <c r="N38" s="1886"/>
      <c r="O38" s="1886"/>
      <c r="P38" s="1886"/>
      <c r="Q38" s="1886"/>
      <c r="R38" s="1886"/>
      <c r="S38" s="1886"/>
      <c r="T38" s="1886"/>
    </row>
    <row r="39" spans="1:20" ht="18" customHeight="1" x14ac:dyDescent="0.2">
      <c r="A39" s="1886"/>
      <c r="B39" s="2222" t="str">
        <f t="shared" si="8"/>
        <v>Metais ferrosos</v>
      </c>
      <c r="C39" s="2335">
        <f t="shared" si="5"/>
        <v>204.16639999999998</v>
      </c>
      <c r="D39" s="2335">
        <f t="shared" si="6"/>
        <v>-5461.4512000000004</v>
      </c>
      <c r="E39" s="2335">
        <f t="shared" si="7"/>
        <v>-5257.2848000000004</v>
      </c>
      <c r="F39" s="2329"/>
      <c r="G39" s="2329"/>
      <c r="H39" s="2329"/>
      <c r="I39" s="2329"/>
      <c r="J39" s="2329"/>
      <c r="K39" s="2329"/>
      <c r="L39" s="1886"/>
      <c r="M39" s="1886"/>
      <c r="N39" s="1886"/>
      <c r="O39" s="1886"/>
      <c r="P39" s="1886"/>
      <c r="Q39" s="1886"/>
      <c r="R39" s="1886"/>
      <c r="S39" s="1886"/>
      <c r="T39" s="1886"/>
    </row>
    <row r="40" spans="1:20" ht="18" customHeight="1" x14ac:dyDescent="0.2">
      <c r="A40" s="1886"/>
      <c r="B40" s="2222" t="str">
        <f t="shared" si="8"/>
        <v>Alumínio</v>
      </c>
      <c r="C40" s="2335">
        <f t="shared" si="5"/>
        <v>580.04339999999991</v>
      </c>
      <c r="D40" s="2335">
        <f t="shared" si="6"/>
        <v>-8222.1359999999986</v>
      </c>
      <c r="E40" s="2335">
        <f t="shared" si="7"/>
        <v>-7642.092599999999</v>
      </c>
      <c r="F40" s="2329"/>
      <c r="G40" s="2329"/>
      <c r="H40" s="2329"/>
      <c r="I40" s="2329"/>
      <c r="J40" s="2329"/>
      <c r="K40" s="2329"/>
      <c r="L40" s="1886"/>
      <c r="M40" s="1886"/>
      <c r="N40" s="1886"/>
      <c r="O40" s="1886"/>
      <c r="P40" s="1886"/>
      <c r="Q40" s="1886"/>
      <c r="R40" s="1886"/>
      <c r="S40" s="1886"/>
      <c r="T40" s="1886"/>
    </row>
    <row r="41" spans="1:20" ht="18" customHeight="1" x14ac:dyDescent="0.2">
      <c r="A41" s="1886"/>
      <c r="B41" s="2222" t="str">
        <f t="shared" si="8"/>
        <v>Têxteis</v>
      </c>
      <c r="C41" s="2335">
        <f t="shared" si="5"/>
        <v>0</v>
      </c>
      <c r="D41" s="2335">
        <f t="shared" si="6"/>
        <v>0</v>
      </c>
      <c r="E41" s="2335">
        <f t="shared" si="7"/>
        <v>0</v>
      </c>
      <c r="F41" s="2329"/>
      <c r="G41" s="2329"/>
      <c r="H41" s="2329"/>
      <c r="I41" s="2329"/>
      <c r="J41" s="2329"/>
      <c r="K41" s="2329"/>
      <c r="L41" s="1886"/>
      <c r="M41" s="1886"/>
      <c r="N41" s="1886"/>
      <c r="O41" s="1886"/>
      <c r="P41" s="1886"/>
      <c r="Q41" s="1886"/>
      <c r="R41" s="1886"/>
      <c r="S41" s="1886"/>
      <c r="T41" s="1886"/>
    </row>
    <row r="42" spans="1:20" ht="18" customHeight="1" x14ac:dyDescent="0.2">
      <c r="A42" s="1886"/>
      <c r="B42" s="2336"/>
      <c r="C42" s="2337"/>
      <c r="D42" s="2338"/>
      <c r="E42" s="2337"/>
      <c r="F42" s="2329"/>
      <c r="G42" s="2329"/>
      <c r="H42" s="2329"/>
      <c r="I42" s="2329"/>
      <c r="J42" s="2329"/>
      <c r="K42" s="2329"/>
      <c r="L42" s="1886"/>
      <c r="M42" s="1886"/>
      <c r="N42" s="1886"/>
      <c r="O42" s="1886"/>
      <c r="P42" s="1886"/>
      <c r="Q42" s="1886"/>
      <c r="R42" s="1886"/>
      <c r="S42" s="1886"/>
      <c r="T42" s="1886"/>
    </row>
    <row r="43" spans="1:20" ht="18" customHeight="1" x14ac:dyDescent="0.2">
      <c r="A43" s="1886"/>
      <c r="B43" s="2339" t="s">
        <v>1265</v>
      </c>
      <c r="C43" s="2340"/>
      <c r="D43" s="2341"/>
      <c r="E43" s="2341"/>
      <c r="F43" s="2329"/>
      <c r="G43" s="2329"/>
      <c r="H43" s="2329"/>
      <c r="I43" s="2329"/>
      <c r="J43" s="2329"/>
      <c r="K43" s="2329"/>
      <c r="L43" s="1886"/>
      <c r="M43" s="1886"/>
      <c r="N43" s="1886"/>
      <c r="O43" s="1886"/>
      <c r="P43" s="1886"/>
      <c r="Q43" s="1886"/>
      <c r="R43" s="1886"/>
      <c r="S43" s="1886"/>
      <c r="T43" s="1886"/>
    </row>
    <row r="44" spans="1:20" ht="18" customHeight="1" x14ac:dyDescent="0.2">
      <c r="A44" s="1886"/>
      <c r="B44" s="2334"/>
      <c r="C44" s="2332"/>
      <c r="D44" s="2332"/>
      <c r="E44" s="2332"/>
      <c r="F44" s="2329"/>
      <c r="G44" s="2329"/>
      <c r="H44" s="2329"/>
      <c r="I44" s="2329"/>
      <c r="J44" s="2329"/>
      <c r="K44" s="2329"/>
      <c r="L44" s="1886"/>
      <c r="M44" s="1886"/>
      <c r="N44" s="1886"/>
      <c r="O44" s="1886"/>
      <c r="P44" s="1886"/>
      <c r="Q44" s="1886"/>
      <c r="R44" s="1886"/>
      <c r="S44" s="1886"/>
      <c r="T44" s="1886"/>
    </row>
    <row r="45" spans="1:20" ht="18" customHeight="1" x14ac:dyDescent="0.2">
      <c r="A45" s="1886"/>
      <c r="B45" s="2222" t="str">
        <f>B18</f>
        <v>Resíduos dispersos</v>
      </c>
      <c r="C45" s="2335">
        <f t="shared" ref="C45:C53" si="9">+L62</f>
        <v>0</v>
      </c>
      <c r="D45" s="2335">
        <f t="shared" ref="D45:D54" si="10">+L73</f>
        <v>0</v>
      </c>
      <c r="E45" s="2335">
        <f t="shared" ref="E45:E53" si="11">+D45+C45</f>
        <v>0</v>
      </c>
      <c r="F45" s="2329"/>
      <c r="G45" s="2329"/>
      <c r="H45" s="2329"/>
      <c r="I45" s="2329"/>
      <c r="J45" s="2329"/>
      <c r="K45" s="2329"/>
      <c r="L45" s="1886"/>
      <c r="M45" s="1886"/>
      <c r="N45" s="1886"/>
      <c r="O45" s="1886"/>
      <c r="P45" s="1886"/>
      <c r="Q45" s="1886"/>
      <c r="R45" s="1886"/>
      <c r="S45" s="1886"/>
      <c r="T45" s="1886"/>
    </row>
    <row r="46" spans="1:20" ht="18" customHeight="1" x14ac:dyDescent="0.2">
      <c r="A46" s="1886"/>
      <c r="B46" s="2222" t="str">
        <f t="shared" ref="B46:B54" si="12">B19</f>
        <v>Queima a céu aberto</v>
      </c>
      <c r="C46" s="2335">
        <f t="shared" si="9"/>
        <v>0</v>
      </c>
      <c r="D46" s="2335">
        <f t="shared" si="10"/>
        <v>0</v>
      </c>
      <c r="E46" s="2335">
        <f t="shared" si="11"/>
        <v>0</v>
      </c>
      <c r="F46" s="2329"/>
      <c r="G46" s="2329"/>
      <c r="H46" s="2329"/>
      <c r="I46" s="2329"/>
      <c r="J46" s="2329"/>
      <c r="K46" s="2329"/>
      <c r="L46" s="1886"/>
      <c r="M46" s="1886"/>
      <c r="N46" s="1886"/>
      <c r="O46" s="1886"/>
      <c r="P46" s="1886"/>
      <c r="Q46" s="1886"/>
      <c r="R46" s="1886"/>
      <c r="S46" s="1886"/>
      <c r="T46" s="1886"/>
    </row>
    <row r="47" spans="1:20" ht="18" customHeight="1" x14ac:dyDescent="0.2">
      <c r="A47" s="1886"/>
      <c r="B47" s="2222" t="str">
        <f t="shared" si="12"/>
        <v>Lixão não controlado</v>
      </c>
      <c r="C47" s="2335">
        <f t="shared" si="9"/>
        <v>0</v>
      </c>
      <c r="D47" s="2335">
        <f t="shared" si="10"/>
        <v>0</v>
      </c>
      <c r="E47" s="2335">
        <f t="shared" si="11"/>
        <v>0</v>
      </c>
      <c r="F47" s="2329"/>
      <c r="G47" s="2329"/>
      <c r="H47" s="2329"/>
      <c r="I47" s="2329"/>
      <c r="J47" s="2329"/>
      <c r="K47" s="2329"/>
      <c r="L47" s="1886"/>
      <c r="M47" s="1886"/>
      <c r="N47" s="1886"/>
      <c r="O47" s="1886"/>
      <c r="P47" s="1886"/>
      <c r="Q47" s="1886"/>
      <c r="R47" s="1886"/>
      <c r="S47" s="1886"/>
      <c r="T47" s="1886"/>
    </row>
    <row r="48" spans="1:20" ht="18" customHeight="1" x14ac:dyDescent="0.2">
      <c r="A48" s="1886"/>
      <c r="B48" s="2222" t="str">
        <f t="shared" si="12"/>
        <v>Aterro controlado</v>
      </c>
      <c r="C48" s="2335">
        <f t="shared" si="9"/>
        <v>0</v>
      </c>
      <c r="D48" s="2335">
        <f t="shared" si="10"/>
        <v>0</v>
      </c>
      <c r="E48" s="2335">
        <f t="shared" si="11"/>
        <v>0</v>
      </c>
      <c r="F48" s="2329"/>
      <c r="G48" s="2329"/>
      <c r="H48" s="2329"/>
      <c r="I48" s="2329"/>
      <c r="J48" s="2329"/>
      <c r="K48" s="2329"/>
      <c r="L48" s="1886"/>
      <c r="M48" s="1886"/>
      <c r="N48" s="1886"/>
      <c r="O48" s="1886"/>
      <c r="P48" s="1886"/>
      <c r="Q48" s="1886"/>
      <c r="R48" s="1886"/>
      <c r="S48" s="1886"/>
      <c r="T48" s="1886"/>
    </row>
    <row r="49" spans="1:21" ht="18" customHeight="1" x14ac:dyDescent="0.2">
      <c r="A49" s="1886"/>
      <c r="B49" s="2222" t="str">
        <f t="shared" si="12"/>
        <v>Aterro sanitário</v>
      </c>
      <c r="C49" s="2335">
        <f t="shared" si="9"/>
        <v>53980.946707938478</v>
      </c>
      <c r="D49" s="2335">
        <f t="shared" si="10"/>
        <v>0</v>
      </c>
      <c r="E49" s="2335">
        <f t="shared" si="11"/>
        <v>53980.946707938478</v>
      </c>
      <c r="F49" s="2329"/>
      <c r="G49" s="2329"/>
      <c r="H49" s="2329"/>
      <c r="I49" s="2329"/>
      <c r="J49" s="2329"/>
      <c r="K49" s="2329"/>
      <c r="L49" s="1886"/>
      <c r="M49" s="1886"/>
      <c r="N49" s="1886"/>
      <c r="O49" s="1886"/>
      <c r="P49" s="1886"/>
      <c r="Q49" s="1886"/>
      <c r="R49" s="1886"/>
      <c r="S49" s="1886"/>
      <c r="T49" s="1886"/>
    </row>
    <row r="50" spans="1:21" ht="18" customHeight="1" x14ac:dyDescent="0.2">
      <c r="A50" s="1886"/>
      <c r="B50" s="2222" t="str">
        <f t="shared" si="12"/>
        <v>Trat. biol + cobertura at.</v>
      </c>
      <c r="C50" s="2335">
        <f t="shared" si="9"/>
        <v>0</v>
      </c>
      <c r="D50" s="2335">
        <f t="shared" si="10"/>
        <v>0</v>
      </c>
      <c r="E50" s="2335">
        <f t="shared" si="11"/>
        <v>0</v>
      </c>
      <c r="F50" s="2329"/>
      <c r="G50" s="2329"/>
      <c r="H50" s="2329"/>
      <c r="I50" s="2329"/>
      <c r="J50" s="2329"/>
      <c r="K50" s="2329"/>
      <c r="L50" s="1886"/>
      <c r="M50" s="1886"/>
      <c r="N50" s="1886"/>
      <c r="O50" s="1886"/>
      <c r="P50" s="1886"/>
      <c r="Q50" s="1886"/>
      <c r="R50" s="1886"/>
      <c r="S50" s="1886"/>
      <c r="T50" s="1886"/>
    </row>
    <row r="51" spans="1:21" ht="18" customHeight="1" x14ac:dyDescent="0.2">
      <c r="A51" s="1886"/>
      <c r="B51" s="2222" t="str">
        <f t="shared" si="12"/>
        <v>CDR seco + rejeito aterro</v>
      </c>
      <c r="C51" s="2335">
        <f t="shared" si="9"/>
        <v>9878.871077030024</v>
      </c>
      <c r="D51" s="2335">
        <f t="shared" si="10"/>
        <v>-8213.3557915298534</v>
      </c>
      <c r="E51" s="2335">
        <f t="shared" si="11"/>
        <v>1665.5152855001706</v>
      </c>
      <c r="F51" s="2329"/>
      <c r="G51" s="2342"/>
      <c r="H51" s="2343"/>
      <c r="I51" s="2343"/>
      <c r="J51" s="2343"/>
      <c r="K51" s="2329"/>
      <c r="L51" s="1886"/>
      <c r="M51" s="1886"/>
      <c r="N51" s="1886"/>
      <c r="O51" s="1886"/>
      <c r="P51" s="1886"/>
      <c r="Q51" s="1886"/>
      <c r="R51" s="1886"/>
      <c r="S51" s="1886"/>
      <c r="T51" s="1886"/>
    </row>
    <row r="52" spans="1:21" ht="18" customHeight="1" x14ac:dyDescent="0.2">
      <c r="A52" s="1886"/>
      <c r="B52" s="2222" t="str">
        <f t="shared" si="12"/>
        <v>CDR seco + trat. biol.</v>
      </c>
      <c r="C52" s="2335">
        <f t="shared" si="9"/>
        <v>7289.5189941719445</v>
      </c>
      <c r="D52" s="2335">
        <f t="shared" si="10"/>
        <v>-34946.287241831815</v>
      </c>
      <c r="E52" s="2335">
        <f t="shared" si="11"/>
        <v>-27656.768247659871</v>
      </c>
      <c r="F52" s="2329"/>
      <c r="G52" s="2344"/>
      <c r="H52" s="2345" t="s">
        <v>1255</v>
      </c>
      <c r="I52" s="2346" t="s">
        <v>1267</v>
      </c>
      <c r="J52" s="2346" t="s">
        <v>1256</v>
      </c>
      <c r="K52" s="2329"/>
      <c r="L52" s="1886"/>
      <c r="M52" s="1886"/>
      <c r="N52" s="1886"/>
      <c r="O52" s="1886"/>
      <c r="P52" s="1886"/>
      <c r="Q52" s="1886"/>
      <c r="R52" s="1886"/>
      <c r="S52" s="1886"/>
      <c r="T52" s="1886"/>
    </row>
    <row r="53" spans="1:21" ht="18" customHeight="1" x14ac:dyDescent="0.2">
      <c r="A53" s="1886"/>
      <c r="B53" s="2222" t="str">
        <f t="shared" si="12"/>
        <v>CDR seco + CDR org.</v>
      </c>
      <c r="C53" s="2335">
        <f t="shared" si="9"/>
        <v>0</v>
      </c>
      <c r="D53" s="2335">
        <f t="shared" si="10"/>
        <v>0</v>
      </c>
      <c r="E53" s="2335">
        <f t="shared" si="11"/>
        <v>0</v>
      </c>
      <c r="F53" s="2329"/>
      <c r="G53" s="2347" t="s">
        <v>1257</v>
      </c>
      <c r="H53" s="2348">
        <f>SUM(C34:C41)</f>
        <v>10561.463048000001</v>
      </c>
      <c r="I53" s="2348">
        <f>SUM(C45:C54)</f>
        <v>71149.336779140445</v>
      </c>
      <c r="J53" s="2348">
        <f>+I53+H53</f>
        <v>81710.79982714045</v>
      </c>
      <c r="K53" s="2329"/>
      <c r="L53" s="1886"/>
      <c r="M53" s="1886"/>
      <c r="N53" s="1886"/>
      <c r="O53" s="1886"/>
      <c r="P53" s="1886"/>
      <c r="Q53" s="1886"/>
      <c r="R53" s="1886"/>
      <c r="S53" s="1886"/>
      <c r="T53" s="1886"/>
    </row>
    <row r="54" spans="1:21" ht="18" customHeight="1" x14ac:dyDescent="0.2">
      <c r="A54" s="1886"/>
      <c r="B54" s="2222" t="str">
        <f t="shared" si="12"/>
        <v>Incineração</v>
      </c>
      <c r="C54" s="2335">
        <f>+L71</f>
        <v>0</v>
      </c>
      <c r="D54" s="2335">
        <f t="shared" si="10"/>
        <v>0</v>
      </c>
      <c r="E54" s="2335">
        <f>+D54+C54</f>
        <v>0</v>
      </c>
      <c r="F54" s="2329"/>
      <c r="G54" s="2347" t="s">
        <v>1258</v>
      </c>
      <c r="H54" s="2348">
        <f>SUM(D34:D41)</f>
        <v>-31824.008943999997</v>
      </c>
      <c r="I54" s="2348">
        <f>SUM(D45:D54)</f>
        <v>-43159.643033361666</v>
      </c>
      <c r="J54" s="2348">
        <f>+I54+H54</f>
        <v>-74983.65197736166</v>
      </c>
      <c r="K54" s="2329"/>
      <c r="L54" s="1886"/>
      <c r="M54" s="1886"/>
      <c r="N54" s="1886"/>
      <c r="O54" s="1886"/>
      <c r="P54" s="1886"/>
      <c r="Q54" s="1886"/>
      <c r="R54" s="1886"/>
      <c r="S54" s="1886"/>
      <c r="T54" s="1886"/>
    </row>
    <row r="55" spans="1:21" ht="18" customHeight="1" x14ac:dyDescent="0.2">
      <c r="A55" s="1886"/>
      <c r="B55" s="2336"/>
      <c r="C55" s="2349"/>
      <c r="D55" s="2350"/>
      <c r="E55" s="2349"/>
      <c r="F55" s="2329"/>
      <c r="G55" s="2347" t="s">
        <v>1259</v>
      </c>
      <c r="H55" s="2348">
        <f>+H53+H54</f>
        <v>-21262.545895999996</v>
      </c>
      <c r="I55" s="2348">
        <f>+I53+I54</f>
        <v>27989.693745778779</v>
      </c>
      <c r="J55" s="2348">
        <f>+I55+H55</f>
        <v>6727.147849778783</v>
      </c>
      <c r="K55" s="2329"/>
      <c r="L55" s="1886"/>
      <c r="M55" s="1886"/>
      <c r="N55" s="1886"/>
      <c r="O55" s="1886"/>
      <c r="P55" s="1886"/>
      <c r="Q55" s="1886"/>
      <c r="R55" s="1886"/>
      <c r="S55" s="1886"/>
      <c r="T55" s="1886"/>
    </row>
    <row r="56" spans="1:21" ht="18" customHeight="1" x14ac:dyDescent="0.2">
      <c r="A56" s="1886"/>
      <c r="B56" s="2339" t="s">
        <v>52</v>
      </c>
      <c r="C56" s="2351">
        <f>SUM(C34:C54)</f>
        <v>81710.79982714045</v>
      </c>
      <c r="D56" s="2351">
        <f>SUM(D34:D54)</f>
        <v>-74983.651977361675</v>
      </c>
      <c r="E56" s="2351">
        <f>+D56+C56</f>
        <v>6727.1478497787757</v>
      </c>
      <c r="F56" s="2329"/>
      <c r="G56" s="2342"/>
      <c r="H56" s="2352"/>
      <c r="I56" s="2352"/>
      <c r="J56" s="2352"/>
      <c r="K56" s="2329"/>
      <c r="L56" s="1886"/>
      <c r="M56" s="1886"/>
      <c r="N56" s="1886"/>
      <c r="O56" s="1886"/>
      <c r="P56" s="1886"/>
      <c r="Q56" s="1886"/>
      <c r="R56" s="1886"/>
      <c r="S56" s="1886"/>
      <c r="T56" s="1886"/>
    </row>
    <row r="57" spans="1:21"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21"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21" s="2225" customFormat="1" ht="26.1" customHeight="1" x14ac:dyDescent="0.25">
      <c r="A59" s="2287" t="s">
        <v>1260</v>
      </c>
      <c r="B59" s="2353"/>
      <c r="C59" s="2353"/>
      <c r="D59" s="2353"/>
      <c r="E59" s="2353"/>
      <c r="F59" s="2224"/>
      <c r="G59" s="1936"/>
      <c r="H59" s="1981"/>
      <c r="I59" s="1981"/>
      <c r="J59" s="1981"/>
      <c r="K59" s="1908" t="s">
        <v>1268</v>
      </c>
      <c r="L59" s="1981"/>
      <c r="M59" s="1981"/>
      <c r="N59" s="1981"/>
      <c r="O59" s="1981"/>
      <c r="P59" s="1936"/>
      <c r="Q59" s="1936"/>
      <c r="R59" s="1936"/>
      <c r="S59" s="1936"/>
      <c r="T59" s="1936"/>
      <c r="U59" s="2354"/>
    </row>
    <row r="60" spans="1:21"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21" ht="18" customHeight="1" x14ac:dyDescent="0.25">
      <c r="A61" s="1886"/>
      <c r="B61" s="2290"/>
      <c r="C61" s="2355" t="s">
        <v>1239</v>
      </c>
      <c r="D61" s="2355" t="s">
        <v>1259</v>
      </c>
      <c r="E61" s="1886"/>
      <c r="F61" s="1886"/>
      <c r="G61" s="1886"/>
      <c r="H61" s="1886"/>
      <c r="I61" s="1886"/>
      <c r="J61" s="1886"/>
      <c r="K61" s="2356"/>
      <c r="L61" s="2357" t="s">
        <v>1267</v>
      </c>
      <c r="M61" s="2355" t="s">
        <v>1259</v>
      </c>
      <c r="N61" s="1886"/>
      <c r="O61" s="1886"/>
      <c r="P61" s="1886"/>
      <c r="Q61" s="1886"/>
      <c r="R61" s="1886"/>
      <c r="S61" s="1886"/>
      <c r="T61" s="1886"/>
    </row>
    <row r="62" spans="1:21" ht="18" customHeight="1" x14ac:dyDescent="0.25">
      <c r="A62" s="1886"/>
      <c r="B62" s="2299" t="str">
        <f>+'CO2 - Cálculos'!AC16</f>
        <v>Resíduos de alimentos</v>
      </c>
      <c r="C62" s="2238">
        <f>+'CO2 - Cálculos'!AE16</f>
        <v>0</v>
      </c>
      <c r="D62" s="2271"/>
      <c r="E62" s="1886"/>
      <c r="F62" s="1886"/>
      <c r="G62" s="1886"/>
      <c r="H62" s="1886"/>
      <c r="I62" s="1886"/>
      <c r="J62" s="1886"/>
      <c r="K62" s="2298" t="str">
        <f>+'CO2 - Cálculos'!AC61</f>
        <v>Resíduos dispersos</v>
      </c>
      <c r="L62" s="2238">
        <f>+'CO2 - Cálculos'!AE61</f>
        <v>0</v>
      </c>
      <c r="M62" s="2271"/>
      <c r="N62" s="1886"/>
      <c r="O62" s="1886"/>
      <c r="P62" s="1886"/>
      <c r="Q62" s="1886"/>
      <c r="R62" s="1886"/>
      <c r="S62" s="1886"/>
      <c r="T62" s="1886"/>
    </row>
    <row r="63" spans="1:21" ht="18" customHeight="1" x14ac:dyDescent="0.25">
      <c r="A63" s="1886"/>
      <c r="B63" s="2299" t="str">
        <f>+'CO2 - Cálculos'!AC17</f>
        <v>Resíduos de jardins e parques</v>
      </c>
      <c r="C63" s="2238">
        <f>+'CO2 - Cálculos'!AE17</f>
        <v>0</v>
      </c>
      <c r="D63" s="2271"/>
      <c r="E63" s="1886"/>
      <c r="F63" s="1886"/>
      <c r="G63" s="1886"/>
      <c r="H63" s="1886"/>
      <c r="I63" s="1886"/>
      <c r="J63" s="1886"/>
      <c r="K63" s="2298" t="str">
        <f>+'CO2 - Cálculos'!AC62</f>
        <v>Queima a céu aberto</v>
      </c>
      <c r="L63" s="2238">
        <f>+'CO2 - Cálculos'!AE62</f>
        <v>0</v>
      </c>
      <c r="M63" s="2271"/>
      <c r="N63" s="1886"/>
      <c r="O63" s="1886"/>
      <c r="P63" s="1886"/>
      <c r="Q63" s="1886"/>
      <c r="R63" s="1886"/>
      <c r="S63" s="1886"/>
      <c r="T63" s="1886"/>
    </row>
    <row r="64" spans="1:21" ht="18" customHeight="1" x14ac:dyDescent="0.25">
      <c r="A64" s="1886"/>
      <c r="B64" s="2299" t="str">
        <f>+'CO2 - Cálculos'!AC18</f>
        <v>Papel, papelão</v>
      </c>
      <c r="C64" s="2238">
        <f>+'CO2 - Cálculos'!AE18</f>
        <v>7999.4112480000003</v>
      </c>
      <c r="D64" s="2271"/>
      <c r="E64" s="1886"/>
      <c r="F64" s="1886"/>
      <c r="G64" s="1886"/>
      <c r="H64" s="1886"/>
      <c r="I64" s="1886"/>
      <c r="J64" s="1886"/>
      <c r="K64" s="2298" t="str">
        <f>+'CO2 - Cálculos'!AC63</f>
        <v>Lixão não controlado</v>
      </c>
      <c r="L64" s="2238">
        <f>+'CO2 - Cálculos'!AE63</f>
        <v>0</v>
      </c>
      <c r="M64" s="2271"/>
      <c r="N64" s="1886"/>
      <c r="O64" s="1886"/>
      <c r="P64" s="1886"/>
      <c r="Q64" s="1886"/>
      <c r="R64" s="1886"/>
      <c r="S64" s="1886"/>
      <c r="T64" s="1886"/>
    </row>
    <row r="65" spans="1:20" ht="18" customHeight="1" x14ac:dyDescent="0.25">
      <c r="A65" s="1886"/>
      <c r="B65" s="2299" t="str">
        <f>+'CO2 - Cálculos'!AC19</f>
        <v>Plásticos</v>
      </c>
      <c r="C65" s="2238">
        <f>+'CO2 - Cálculos'!AE19</f>
        <v>1777.8420000000001</v>
      </c>
      <c r="D65" s="2271"/>
      <c r="E65" s="1886"/>
      <c r="F65" s="1886"/>
      <c r="G65" s="1886"/>
      <c r="H65" s="1886"/>
      <c r="I65" s="1886"/>
      <c r="J65" s="1886"/>
      <c r="K65" s="2298" t="str">
        <f>+'CO2 - Cálculos'!AC64</f>
        <v>Aterro controlado</v>
      </c>
      <c r="L65" s="2238">
        <f>+'CO2 - Cálculos'!AE64</f>
        <v>0</v>
      </c>
      <c r="M65" s="2271"/>
      <c r="N65" s="1886"/>
      <c r="O65" s="1886"/>
      <c r="P65" s="1886"/>
      <c r="Q65" s="1886"/>
      <c r="R65" s="1886"/>
      <c r="S65" s="1886"/>
      <c r="T65" s="1886"/>
    </row>
    <row r="66" spans="1:20" ht="18" customHeight="1" x14ac:dyDescent="0.25">
      <c r="A66" s="1886"/>
      <c r="B66" s="2299" t="str">
        <f>+'CO2 - Cálculos'!AC20</f>
        <v>Vidros</v>
      </c>
      <c r="C66" s="2238">
        <f>+'CO2 - Cálculos'!AE20</f>
        <v>0</v>
      </c>
      <c r="D66" s="2271"/>
      <c r="E66" s="1886"/>
      <c r="F66" s="1886"/>
      <c r="G66" s="1886"/>
      <c r="H66" s="1886"/>
      <c r="I66" s="1886"/>
      <c r="J66" s="1886"/>
      <c r="K66" s="2298" t="str">
        <f>+'CO2 - Cálculos'!AC65</f>
        <v>Aterro sanitário</v>
      </c>
      <c r="L66" s="2238">
        <f>+'CO2 - Cálculos'!AE65</f>
        <v>53980.946707938478</v>
      </c>
      <c r="M66" s="2271"/>
      <c r="N66" s="1886"/>
      <c r="O66" s="1886"/>
      <c r="P66" s="1886"/>
      <c r="Q66" s="1886"/>
      <c r="R66" s="1886"/>
      <c r="S66" s="1886"/>
      <c r="T66" s="1886"/>
    </row>
    <row r="67" spans="1:20" ht="18" customHeight="1" x14ac:dyDescent="0.25">
      <c r="A67" s="1886"/>
      <c r="B67" s="2299" t="str">
        <f>+'CO2 - Cálculos'!AC21</f>
        <v>Metais ferrosos</v>
      </c>
      <c r="C67" s="2238">
        <f>+'CO2 - Cálculos'!AE21</f>
        <v>204.16639999999998</v>
      </c>
      <c r="D67" s="2271"/>
      <c r="E67" s="1886"/>
      <c r="F67" s="1886"/>
      <c r="G67" s="1886"/>
      <c r="H67" s="1886"/>
      <c r="I67" s="1886"/>
      <c r="J67" s="2358"/>
      <c r="K67" s="2298" t="str">
        <f>+'CO2 - Cálculos'!AC66</f>
        <v>Trat. biol + cobertura at.</v>
      </c>
      <c r="L67" s="2238">
        <f>+'CO2 - Cálculos'!AE66</f>
        <v>0</v>
      </c>
      <c r="M67" s="2271"/>
      <c r="N67" s="1886"/>
      <c r="O67" s="1886"/>
      <c r="P67" s="1886"/>
      <c r="Q67" s="1886"/>
      <c r="R67" s="1886"/>
      <c r="S67" s="1886"/>
      <c r="T67" s="1886"/>
    </row>
    <row r="68" spans="1:20" ht="18" customHeight="1" x14ac:dyDescent="0.25">
      <c r="A68" s="1886"/>
      <c r="B68" s="2299" t="str">
        <f>+'CO2 - Cálculos'!AC22</f>
        <v>Alumínio</v>
      </c>
      <c r="C68" s="2238">
        <f>+'CO2 - Cálculos'!AE22</f>
        <v>580.04339999999991</v>
      </c>
      <c r="D68" s="2271"/>
      <c r="E68" s="1886"/>
      <c r="F68" s="1886"/>
      <c r="G68" s="1886"/>
      <c r="H68" s="1886"/>
      <c r="I68" s="1886"/>
      <c r="J68" s="2358"/>
      <c r="K68" s="2298" t="str">
        <f>+'CO2 - Cálculos'!AC67</f>
        <v>CDR seco + rejeito aterro</v>
      </c>
      <c r="L68" s="2238">
        <f>+'CO2 - Cálculos'!AE67</f>
        <v>9878.871077030024</v>
      </c>
      <c r="M68" s="2271"/>
      <c r="N68" s="1886"/>
      <c r="O68" s="1886"/>
      <c r="P68" s="1886"/>
      <c r="Q68" s="1886"/>
      <c r="R68" s="1886"/>
      <c r="S68" s="1886"/>
      <c r="T68" s="1886"/>
    </row>
    <row r="69" spans="1:20" ht="18" customHeight="1" x14ac:dyDescent="0.25">
      <c r="A69" s="2230"/>
      <c r="B69" s="2299" t="str">
        <f>+'CO2 - Cálculos'!AC23</f>
        <v>Têxteis</v>
      </c>
      <c r="C69" s="2238">
        <f>+'CO2 - Cálculos'!AE23</f>
        <v>0</v>
      </c>
      <c r="D69" s="2271"/>
      <c r="E69" s="1886"/>
      <c r="F69" s="1886"/>
      <c r="G69" s="1886"/>
      <c r="H69" s="1886"/>
      <c r="I69" s="1886"/>
      <c r="J69" s="2358"/>
      <c r="K69" s="2298" t="str">
        <f>+'CO2 - Cálculos'!AC68</f>
        <v>CDR seco + trat. biol.</v>
      </c>
      <c r="L69" s="2238">
        <f>+'CO2 - Cálculos'!AE68</f>
        <v>7289.5189941719445</v>
      </c>
      <c r="M69" s="2271"/>
      <c r="N69" s="1886"/>
      <c r="O69" s="1886"/>
      <c r="P69" s="1886"/>
      <c r="Q69" s="1886"/>
      <c r="R69" s="1886"/>
      <c r="S69" s="1886"/>
      <c r="T69" s="1886"/>
    </row>
    <row r="70" spans="1:20" ht="18" customHeight="1" x14ac:dyDescent="0.25">
      <c r="A70" s="1886"/>
      <c r="B70" s="2359" t="s">
        <v>1257</v>
      </c>
      <c r="C70" s="2271"/>
      <c r="D70" s="2236"/>
      <c r="E70" s="1886"/>
      <c r="F70" s="1886"/>
      <c r="G70" s="1886"/>
      <c r="H70" s="1886"/>
      <c r="I70" s="1886"/>
      <c r="J70" s="1886"/>
      <c r="K70" s="2298" t="str">
        <f>+'CO2 - Cálculos'!AC69</f>
        <v>CDR seco + CDR org.</v>
      </c>
      <c r="L70" s="2238">
        <f>+'CO2 - Cálculos'!AE69</f>
        <v>0</v>
      </c>
      <c r="M70" s="2271"/>
      <c r="N70" s="1886"/>
      <c r="O70" s="1886"/>
      <c r="P70" s="1886"/>
      <c r="Q70" s="1886"/>
      <c r="R70" s="1886"/>
      <c r="S70" s="1886"/>
      <c r="T70" s="1886"/>
    </row>
    <row r="71" spans="1:20" ht="18" customHeight="1" x14ac:dyDescent="0.25">
      <c r="A71" s="1886"/>
      <c r="B71" s="2296" t="str">
        <f>+'CO2 - Cálculos'!AC25</f>
        <v>Resíduos de alimentos</v>
      </c>
      <c r="C71" s="2238">
        <f>+'CO2 - Cálculos'!AE25</f>
        <v>0</v>
      </c>
      <c r="D71" s="2271"/>
      <c r="E71" s="1886"/>
      <c r="F71" s="1886"/>
      <c r="G71" s="1886"/>
      <c r="H71" s="1886"/>
      <c r="I71" s="1886"/>
      <c r="J71" s="1886"/>
      <c r="K71" s="2298" t="str">
        <f>+'CO2 - Cálculos'!AC70</f>
        <v>Incineração</v>
      </c>
      <c r="L71" s="2238">
        <f>+'CO2 - Cálculos'!AE70</f>
        <v>0</v>
      </c>
      <c r="M71" s="2271"/>
      <c r="N71" s="1886"/>
      <c r="O71" s="1886"/>
      <c r="P71" s="1886"/>
      <c r="Q71" s="1886"/>
      <c r="R71" s="1886"/>
      <c r="S71" s="1886"/>
      <c r="T71" s="1886"/>
    </row>
    <row r="72" spans="1:20" ht="18" customHeight="1" x14ac:dyDescent="0.25">
      <c r="A72" s="1886"/>
      <c r="B72" s="2296" t="str">
        <f>+'CO2 - Cálculos'!AC26</f>
        <v>Resíduos de jardins e parques</v>
      </c>
      <c r="C72" s="2238">
        <f>+'CO2 - Cálculos'!AE26</f>
        <v>0</v>
      </c>
      <c r="D72" s="2271"/>
      <c r="E72" s="1886"/>
      <c r="F72" s="1886"/>
      <c r="G72" s="1886"/>
      <c r="H72" s="1886"/>
      <c r="I72" s="1886"/>
      <c r="J72" s="1886"/>
      <c r="K72" s="2360" t="s">
        <v>1257</v>
      </c>
      <c r="L72" s="2271"/>
      <c r="M72" s="2271"/>
      <c r="N72" s="1886"/>
      <c r="O72" s="1886"/>
      <c r="P72" s="1886"/>
      <c r="Q72" s="1886"/>
      <c r="R72" s="1886"/>
      <c r="S72" s="1886"/>
      <c r="T72" s="1886"/>
    </row>
    <row r="73" spans="1:20" ht="18" customHeight="1" x14ac:dyDescent="0.25">
      <c r="A73" s="1886"/>
      <c r="B73" s="2296" t="str">
        <f>+'CO2 - Cálculos'!AC27</f>
        <v>Papel, papelão</v>
      </c>
      <c r="C73" s="2238">
        <f>+'CO2 - Cálculos'!AE27</f>
        <v>-9859.1469840000009</v>
      </c>
      <c r="D73" s="2271"/>
      <c r="E73" s="1886"/>
      <c r="F73" s="1886"/>
      <c r="G73" s="1886"/>
      <c r="H73" s="1886"/>
      <c r="I73" s="1886"/>
      <c r="J73" s="1886"/>
      <c r="K73" s="2298" t="str">
        <f>+'CO2 - Cálculos'!AC72</f>
        <v>Resíduos dispersos</v>
      </c>
      <c r="L73" s="2238">
        <f>+'CO2 - Cálculos'!AE72</f>
        <v>0</v>
      </c>
      <c r="M73" s="2271"/>
      <c r="N73" s="1886"/>
      <c r="O73" s="1886"/>
      <c r="P73" s="1886"/>
      <c r="Q73" s="1886"/>
      <c r="R73" s="1886"/>
      <c r="S73" s="1886"/>
      <c r="T73" s="1886"/>
    </row>
    <row r="74" spans="1:20" ht="18" customHeight="1" x14ac:dyDescent="0.25">
      <c r="A74" s="1886"/>
      <c r="B74" s="2296" t="str">
        <f>+'CO2 - Cálculos'!AC28</f>
        <v>Plásticos</v>
      </c>
      <c r="C74" s="2238">
        <f>+'CO2 - Cálculos'!AE28</f>
        <v>-8281.2747600000002</v>
      </c>
      <c r="D74" s="2271"/>
      <c r="E74" s="1886"/>
      <c r="F74" s="1886"/>
      <c r="G74" s="1886"/>
      <c r="H74" s="1886"/>
      <c r="I74" s="1886"/>
      <c r="J74" s="1886"/>
      <c r="K74" s="2298" t="str">
        <f>+'CO2 - Cálculos'!AC73</f>
        <v>Queima a céu aberto</v>
      </c>
      <c r="L74" s="2238">
        <f>+'CO2 - Cálculos'!AE73</f>
        <v>0</v>
      </c>
      <c r="M74" s="2271"/>
      <c r="N74" s="1886"/>
      <c r="O74" s="1886"/>
      <c r="P74" s="1886"/>
      <c r="Q74" s="1886"/>
      <c r="R74" s="1886"/>
      <c r="S74" s="1886"/>
      <c r="T74" s="1886"/>
    </row>
    <row r="75" spans="1:20" ht="18" customHeight="1" x14ac:dyDescent="0.25">
      <c r="A75" s="1886"/>
      <c r="B75" s="2296" t="str">
        <f>+'CO2 - Cálculos'!AC29</f>
        <v>Vidros</v>
      </c>
      <c r="C75" s="2238">
        <f>+'CO2 - Cálculos'!AE29</f>
        <v>0</v>
      </c>
      <c r="D75" s="2271"/>
      <c r="E75" s="1886"/>
      <c r="F75" s="1886"/>
      <c r="G75" s="1886"/>
      <c r="H75" s="1886"/>
      <c r="I75" s="1886"/>
      <c r="J75" s="1886"/>
      <c r="K75" s="2298" t="str">
        <f>+'CO2 - Cálculos'!AC74</f>
        <v>Lixão não controlado</v>
      </c>
      <c r="L75" s="2238">
        <f>+'CO2 - Cálculos'!AE74</f>
        <v>0</v>
      </c>
      <c r="M75" s="2271"/>
      <c r="N75" s="1886"/>
      <c r="O75" s="1886"/>
      <c r="P75" s="1886"/>
      <c r="Q75" s="1886"/>
      <c r="R75" s="1886"/>
      <c r="S75" s="1886"/>
      <c r="T75" s="1886"/>
    </row>
    <row r="76" spans="1:20" ht="18" customHeight="1" x14ac:dyDescent="0.25">
      <c r="A76" s="1886"/>
      <c r="B76" s="2296" t="str">
        <f>+'CO2 - Cálculos'!AC30</f>
        <v>Metais ferrosos</v>
      </c>
      <c r="C76" s="2238">
        <f>+'CO2 - Cálculos'!AE30</f>
        <v>-5461.4512000000004</v>
      </c>
      <c r="D76" s="2271"/>
      <c r="E76" s="1886"/>
      <c r="F76" s="1886"/>
      <c r="G76" s="1886"/>
      <c r="H76" s="1886"/>
      <c r="I76" s="1886"/>
      <c r="J76" s="1886"/>
      <c r="K76" s="2298" t="str">
        <f>+'CO2 - Cálculos'!AC75</f>
        <v>Aterro controlado</v>
      </c>
      <c r="L76" s="2238">
        <f>+'CO2 - Cálculos'!AE75</f>
        <v>0</v>
      </c>
      <c r="M76" s="2271"/>
      <c r="N76" s="1886"/>
      <c r="O76" s="1886"/>
      <c r="P76" s="1886"/>
      <c r="Q76" s="1886"/>
      <c r="R76" s="1886"/>
      <c r="S76" s="1886"/>
      <c r="T76" s="1886"/>
    </row>
    <row r="77" spans="1:20" ht="18" customHeight="1" x14ac:dyDescent="0.25">
      <c r="A77" s="1886"/>
      <c r="B77" s="2296" t="str">
        <f>+'CO2 - Cálculos'!AC31</f>
        <v>Alumínio</v>
      </c>
      <c r="C77" s="2238">
        <f>+'CO2 - Cálculos'!AE31</f>
        <v>-8222.1359999999986</v>
      </c>
      <c r="D77" s="2271"/>
      <c r="E77" s="1886"/>
      <c r="F77" s="1886"/>
      <c r="G77" s="1886"/>
      <c r="H77" s="1886"/>
      <c r="I77" s="1886"/>
      <c r="J77" s="2358"/>
      <c r="K77" s="2298" t="str">
        <f>+'CO2 - Cálculos'!AC76</f>
        <v>Aterro sanitário</v>
      </c>
      <c r="L77" s="2238">
        <f>+'CO2 - Cálculos'!AE76</f>
        <v>0</v>
      </c>
      <c r="M77" s="2271"/>
      <c r="N77" s="1886"/>
      <c r="O77" s="1886"/>
      <c r="P77" s="1886"/>
      <c r="Q77" s="1886"/>
      <c r="R77" s="1886"/>
      <c r="S77" s="1886"/>
      <c r="T77" s="1886"/>
    </row>
    <row r="78" spans="1:20" ht="18" customHeight="1" x14ac:dyDescent="0.25">
      <c r="A78" s="1886"/>
      <c r="B78" s="2296" t="str">
        <f>+'CO2 - Cálculos'!AC32</f>
        <v>Têxteis</v>
      </c>
      <c r="C78" s="2238">
        <f>+'CO2 - Cálculos'!AE32</f>
        <v>0</v>
      </c>
      <c r="D78" s="2271"/>
      <c r="E78" s="1886"/>
      <c r="F78" s="1886"/>
      <c r="G78" s="1886"/>
      <c r="H78" s="1886"/>
      <c r="I78" s="1886"/>
      <c r="K78" s="2298" t="str">
        <f>+'CO2 - Cálculos'!AC77</f>
        <v>Trat. biol + cobertura at.</v>
      </c>
      <c r="L78" s="2238">
        <f>+'CO2 - Cálculos'!AE77</f>
        <v>0</v>
      </c>
      <c r="M78" s="2271"/>
      <c r="N78" s="1886"/>
      <c r="O78" s="1886"/>
      <c r="P78" s="1886"/>
      <c r="Q78" s="1886"/>
      <c r="R78" s="1886"/>
      <c r="S78" s="1886"/>
      <c r="T78" s="1886"/>
    </row>
    <row r="79" spans="1:20" ht="18" customHeight="1" x14ac:dyDescent="0.25">
      <c r="A79" s="1886"/>
      <c r="B79" s="2361" t="s">
        <v>1258</v>
      </c>
      <c r="C79" s="2271"/>
      <c r="D79" s="2236"/>
      <c r="E79" s="1886"/>
      <c r="F79" s="1886"/>
      <c r="G79" s="1886"/>
      <c r="H79" s="1886"/>
      <c r="I79" s="1886"/>
      <c r="J79" s="2358"/>
      <c r="K79" s="2298" t="str">
        <f>+'CO2 - Cálculos'!AC78</f>
        <v>CDR seco + rejeito aterro</v>
      </c>
      <c r="L79" s="2238">
        <f>+'CO2 - Cálculos'!AE78</f>
        <v>-8213.3557915298534</v>
      </c>
      <c r="M79" s="2271"/>
      <c r="N79" s="1886"/>
      <c r="O79" s="1886"/>
      <c r="P79" s="1886"/>
      <c r="Q79" s="1886"/>
      <c r="R79" s="1886"/>
      <c r="S79" s="1886"/>
      <c r="T79" s="1886"/>
    </row>
    <row r="80" spans="1:20" ht="18" customHeight="1" x14ac:dyDescent="0.25">
      <c r="A80" s="1886"/>
      <c r="B80" s="2361" t="s">
        <v>1259</v>
      </c>
      <c r="C80" s="2271"/>
      <c r="D80" s="2238">
        <f>SUM(C62:C69,C71:C78)</f>
        <v>-21262.545896</v>
      </c>
      <c r="E80" s="1886"/>
      <c r="F80" s="1886"/>
      <c r="G80" s="1886"/>
      <c r="H80" s="1886"/>
      <c r="I80" s="1886"/>
      <c r="J80" s="1886"/>
      <c r="K80" s="2298" t="str">
        <f>+'CO2 - Cálculos'!AC79</f>
        <v>CDR seco + trat. biol.</v>
      </c>
      <c r="L80" s="2238">
        <f>+'CO2 - Cálculos'!AE79</f>
        <v>-34946.287241831815</v>
      </c>
      <c r="M80" s="2271"/>
      <c r="N80" s="1886"/>
      <c r="O80" s="1886"/>
      <c r="P80" s="1886"/>
      <c r="Q80" s="1886"/>
      <c r="R80" s="1886"/>
      <c r="S80" s="1886"/>
      <c r="T80" s="1886"/>
    </row>
    <row r="81" spans="1:20" ht="14.25" x14ac:dyDescent="0.25">
      <c r="A81" s="1886"/>
      <c r="B81" s="1886"/>
      <c r="C81" s="1886"/>
      <c r="D81" s="1886"/>
      <c r="E81" s="1886"/>
      <c r="F81" s="1886"/>
      <c r="G81" s="1886"/>
      <c r="H81" s="1886"/>
      <c r="I81" s="1886"/>
      <c r="J81" s="1886"/>
      <c r="K81" s="2298" t="str">
        <f>+'CO2 - Cálculos'!AC80</f>
        <v>CDR seco + CDR org.</v>
      </c>
      <c r="L81" s="2238">
        <f>+'CO2 - Cálculos'!AE80</f>
        <v>0</v>
      </c>
      <c r="M81" s="2271"/>
      <c r="N81" s="1886"/>
      <c r="O81" s="1886"/>
      <c r="P81" s="1886"/>
      <c r="Q81" s="1886"/>
      <c r="R81" s="1886"/>
      <c r="S81" s="1886"/>
      <c r="T81" s="1886"/>
    </row>
    <row r="82" spans="1:20" ht="14.25" x14ac:dyDescent="0.25">
      <c r="A82" s="1886"/>
      <c r="B82" s="1886"/>
      <c r="C82" s="1886"/>
      <c r="D82" s="1886"/>
      <c r="E82" s="2263"/>
      <c r="F82" s="1886"/>
      <c r="G82" s="1886"/>
      <c r="H82" s="1886"/>
      <c r="I82" s="1886"/>
      <c r="J82" s="1886"/>
      <c r="K82" s="2298" t="str">
        <f>+'CO2 - Cálculos'!AC81</f>
        <v>Incineração</v>
      </c>
      <c r="L82" s="2238">
        <f>+'CO2 - Cálculos'!AE81</f>
        <v>0</v>
      </c>
      <c r="M82" s="2271"/>
      <c r="N82" s="1886"/>
      <c r="O82" s="1886"/>
      <c r="P82" s="1886"/>
      <c r="Q82" s="1886"/>
      <c r="R82" s="1886"/>
      <c r="S82" s="1886"/>
      <c r="T82" s="1886"/>
    </row>
    <row r="83" spans="1:20" ht="14.25" x14ac:dyDescent="0.25">
      <c r="A83" s="1886"/>
      <c r="B83" s="1886"/>
      <c r="C83" s="1886"/>
      <c r="D83" s="1886"/>
      <c r="E83" s="2263"/>
      <c r="F83" s="1886"/>
      <c r="G83" s="1886"/>
      <c r="H83" s="1886"/>
      <c r="I83" s="1886"/>
      <c r="J83" s="1886"/>
      <c r="K83" s="2300" t="s">
        <v>1258</v>
      </c>
      <c r="L83" s="2271"/>
      <c r="M83" s="2271"/>
      <c r="N83" s="1886"/>
      <c r="O83" s="1886"/>
      <c r="P83" s="1886"/>
      <c r="Q83" s="1886"/>
      <c r="R83" s="1886"/>
      <c r="S83" s="1886"/>
      <c r="T83" s="1886"/>
    </row>
    <row r="84" spans="1:20" ht="14.25" x14ac:dyDescent="0.25">
      <c r="A84" s="1886"/>
      <c r="B84" s="1886"/>
      <c r="C84" s="1886"/>
      <c r="D84" s="1886"/>
      <c r="E84" s="2263"/>
      <c r="F84" s="1886"/>
      <c r="G84" s="1886"/>
      <c r="H84" s="1886"/>
      <c r="I84" s="1886"/>
      <c r="J84" s="1886"/>
      <c r="K84" s="2300" t="s">
        <v>1259</v>
      </c>
      <c r="L84" s="2271"/>
      <c r="M84" s="2238">
        <f>SUM(L62:L71,L73:L82)</f>
        <v>27989.693745778779</v>
      </c>
      <c r="N84" s="1886"/>
      <c r="O84" s="1886"/>
      <c r="P84" s="1886"/>
      <c r="Q84" s="1886"/>
      <c r="R84" s="1886"/>
      <c r="S84" s="1886"/>
      <c r="T84" s="1886"/>
    </row>
    <row r="85" spans="1:20" x14ac:dyDescent="0.2">
      <c r="A85" s="1886"/>
      <c r="B85" s="1886"/>
      <c r="C85" s="1886"/>
      <c r="D85" s="1886"/>
      <c r="E85" s="1886"/>
      <c r="F85" s="1886"/>
      <c r="G85" s="1886"/>
      <c r="H85" s="1886"/>
      <c r="I85" s="1886"/>
      <c r="J85" s="1886"/>
      <c r="K85" s="1886"/>
      <c r="L85" s="1886"/>
      <c r="M85" s="1886"/>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row r="121" spans="1:20" x14ac:dyDescent="0.2">
      <c r="A121" s="1886"/>
      <c r="B121" s="1886"/>
      <c r="C121" s="1886"/>
      <c r="D121" s="1886"/>
      <c r="E121" s="1886"/>
      <c r="F121" s="1886"/>
      <c r="G121" s="1886"/>
      <c r="H121" s="1886"/>
      <c r="I121" s="1886"/>
      <c r="J121" s="1886"/>
      <c r="K121" s="1886"/>
      <c r="L121" s="1886"/>
      <c r="M121" s="1886"/>
      <c r="N121" s="1886"/>
      <c r="O121" s="1886"/>
      <c r="P121" s="1886"/>
      <c r="Q121" s="1886"/>
      <c r="R121" s="1886"/>
      <c r="S121" s="1886"/>
      <c r="T121"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AD067-04C1-49A5-840D-A264C73220A0}">
  <dimension ref="A1:Z121"/>
  <sheetViews>
    <sheetView zoomScale="70" zoomScaleNormal="70" zoomScalePageLayoutView="30" workbookViewId="0">
      <selection activeCell="L13" sqref="L13"/>
    </sheetView>
  </sheetViews>
  <sheetFormatPr defaultColWidth="11.42578125" defaultRowHeight="12.75" x14ac:dyDescent="0.2"/>
  <cols>
    <col min="1" max="1" width="8.42578125" style="1842" customWidth="1"/>
    <col min="2" max="2" width="37.42578125" style="1842" customWidth="1"/>
    <col min="3" max="3" width="17" style="1842" customWidth="1"/>
    <col min="4" max="4" width="15.42578125" style="1842" bestFit="1" customWidth="1"/>
    <col min="5" max="5" width="16.140625" style="1842" customWidth="1"/>
    <col min="6" max="7" width="11.42578125" style="1842"/>
    <col min="8" max="8" width="17.7109375" style="1842" bestFit="1" customWidth="1"/>
    <col min="9" max="9" width="22.85546875" style="1842" bestFit="1" customWidth="1"/>
    <col min="10" max="10" width="12" style="1842" customWidth="1"/>
    <col min="11" max="11" width="34.42578125" style="1842" customWidth="1"/>
    <col min="12" max="12" width="19.5703125" style="1842" bestFit="1" customWidth="1"/>
    <col min="13" max="13" width="10.85546875" style="1842" customWidth="1"/>
    <col min="14" max="16384" width="11.42578125" style="1842"/>
  </cols>
  <sheetData>
    <row r="1" spans="1:20" s="2225" customFormat="1" ht="26.1" customHeight="1" x14ac:dyDescent="0.2">
      <c r="A1" s="1908" t="s">
        <v>1237</v>
      </c>
      <c r="B1" s="1981"/>
      <c r="C1" s="1981"/>
      <c r="D1" s="1981"/>
      <c r="E1" s="1981"/>
      <c r="F1" s="2301"/>
      <c r="G1" s="2301"/>
      <c r="H1" s="2301"/>
      <c r="I1" s="2301"/>
      <c r="J1" s="2301"/>
      <c r="K1" s="2224"/>
      <c r="L1" s="2224"/>
      <c r="M1" s="2224"/>
      <c r="N1" s="2224"/>
      <c r="O1" s="2224"/>
      <c r="P1" s="2224"/>
      <c r="Q1" s="2224"/>
      <c r="R1" s="2224"/>
      <c r="S1" s="2224"/>
      <c r="T1" s="2224"/>
    </row>
    <row r="2" spans="1:20" ht="14.25" customHeight="1" x14ac:dyDescent="0.25">
      <c r="A2" s="2226"/>
      <c r="B2" s="2227"/>
      <c r="C2" s="2026"/>
      <c r="D2" s="2026"/>
      <c r="E2" s="2026"/>
      <c r="F2" s="2026"/>
      <c r="G2" s="2026"/>
      <c r="H2" s="2026"/>
      <c r="I2" s="2026"/>
      <c r="J2" s="2026"/>
      <c r="K2" s="1886"/>
      <c r="L2" s="1886"/>
      <c r="M2" s="1886"/>
      <c r="N2" s="1886"/>
      <c r="O2" s="1886"/>
      <c r="P2" s="1886"/>
      <c r="Q2" s="1886"/>
      <c r="R2" s="1886"/>
      <c r="S2" s="1886"/>
      <c r="T2" s="1886"/>
    </row>
    <row r="3" spans="1:20" ht="18" customHeight="1" x14ac:dyDescent="0.2">
      <c r="A3" s="1886"/>
      <c r="B3" s="2302" t="s">
        <v>1238</v>
      </c>
      <c r="C3" s="2303">
        <f>+'CO2 - Cálculos'!AE58</f>
        <v>146000</v>
      </c>
      <c r="D3" s="2230"/>
      <c r="E3" s="2230"/>
      <c r="F3" s="1886"/>
      <c r="G3" s="1886"/>
      <c r="H3" s="1886"/>
      <c r="I3" s="1886"/>
      <c r="J3" s="1886"/>
      <c r="K3" s="1886"/>
      <c r="L3" s="1886"/>
      <c r="M3" s="1886"/>
      <c r="N3" s="1886"/>
      <c r="O3" s="1886"/>
      <c r="P3" s="1886"/>
      <c r="Q3" s="1886"/>
      <c r="R3" s="1886"/>
      <c r="S3" s="1886"/>
      <c r="T3" s="1886"/>
    </row>
    <row r="4" spans="1:20" ht="18" customHeight="1" x14ac:dyDescent="0.2">
      <c r="A4" s="1886"/>
      <c r="B4" s="1904"/>
      <c r="C4" s="2304"/>
      <c r="D4" s="2233"/>
      <c r="E4" s="2233"/>
      <c r="F4" s="1886"/>
      <c r="G4" s="1886"/>
      <c r="H4" s="1886"/>
      <c r="I4" s="1886"/>
      <c r="J4" s="1886"/>
      <c r="K4" s="1886"/>
      <c r="L4" s="1886"/>
      <c r="M4" s="2305"/>
      <c r="N4" s="2305"/>
      <c r="O4" s="2305"/>
      <c r="P4" s="2305"/>
      <c r="Q4" s="2305"/>
      <c r="R4" s="2305"/>
      <c r="S4" s="1886"/>
      <c r="T4" s="1886"/>
    </row>
    <row r="5" spans="1:20" ht="18" customHeight="1" x14ac:dyDescent="0.25">
      <c r="A5" s="1886"/>
      <c r="B5" s="2302" t="s">
        <v>1239</v>
      </c>
      <c r="C5" s="2303">
        <f>+'CO2 - Cálculos'!AE13</f>
        <v>14727.458000000001</v>
      </c>
      <c r="D5" s="2230"/>
      <c r="E5" s="2230"/>
      <c r="F5" s="1886"/>
      <c r="G5" s="1886"/>
      <c r="H5" s="1886"/>
      <c r="I5" s="1886"/>
      <c r="J5" s="1886"/>
      <c r="K5" s="1886"/>
      <c r="L5" s="1953"/>
      <c r="M5" s="1953"/>
      <c r="N5" s="1953"/>
      <c r="O5" s="2962" t="s">
        <v>1264</v>
      </c>
      <c r="P5" s="2963"/>
      <c r="Q5" s="1953"/>
      <c r="R5" s="1953"/>
      <c r="S5" s="1886"/>
      <c r="T5" s="1886"/>
    </row>
    <row r="6" spans="1:20" ht="18" customHeight="1" x14ac:dyDescent="0.25">
      <c r="A6" s="1886"/>
      <c r="B6" s="2306"/>
      <c r="C6" s="2307"/>
      <c r="D6" s="2230"/>
      <c r="E6" s="2230"/>
      <c r="F6" s="1886"/>
      <c r="G6" s="1886"/>
      <c r="H6" s="1886"/>
      <c r="I6" s="1886"/>
      <c r="J6" s="1886"/>
      <c r="K6" s="1886"/>
      <c r="L6" s="1953"/>
      <c r="M6" s="1953"/>
      <c r="N6" s="1953"/>
      <c r="O6" s="2964">
        <f>+C3</f>
        <v>146000</v>
      </c>
      <c r="P6" s="2965"/>
      <c r="Q6" s="1953"/>
      <c r="R6" s="1953"/>
      <c r="S6" s="1886"/>
      <c r="T6" s="1886"/>
    </row>
    <row r="7" spans="1:20" ht="18" customHeight="1" x14ac:dyDescent="0.25">
      <c r="A7" s="1886"/>
      <c r="B7" s="2222" t="s">
        <v>1108</v>
      </c>
      <c r="C7" s="2308">
        <f>+'CO2 - Cálculos'!AG5</f>
        <v>0</v>
      </c>
      <c r="D7" s="2230"/>
      <c r="E7" s="2230"/>
      <c r="F7" s="1886"/>
      <c r="G7" s="1886"/>
      <c r="H7" s="1886"/>
      <c r="I7" s="1886"/>
      <c r="J7" s="1886"/>
      <c r="K7" s="1886"/>
      <c r="L7" s="1953"/>
      <c r="M7" s="1973"/>
      <c r="N7" s="1953"/>
      <c r="O7" s="1953"/>
      <c r="P7" s="1953"/>
      <c r="Q7" s="1953"/>
      <c r="R7" s="1953"/>
      <c r="S7" s="1886"/>
      <c r="T7" s="1886"/>
    </row>
    <row r="8" spans="1:20" ht="18" customHeight="1" x14ac:dyDescent="0.2">
      <c r="A8" s="1886"/>
      <c r="B8" s="2222" t="s">
        <v>1109</v>
      </c>
      <c r="C8" s="2308">
        <f>+'CO2 - Cálculos'!AG6</f>
        <v>0</v>
      </c>
      <c r="D8" s="2230"/>
      <c r="E8" s="2230"/>
      <c r="F8" s="1886"/>
      <c r="G8" s="1886"/>
      <c r="H8" s="1886"/>
      <c r="I8" s="1886"/>
      <c r="J8" s="1886"/>
      <c r="K8" s="1886"/>
      <c r="L8" s="2309"/>
      <c r="M8" s="2309"/>
      <c r="N8" s="2309"/>
      <c r="O8" s="2309"/>
      <c r="P8" s="2309"/>
      <c r="Q8" s="2309"/>
      <c r="R8" s="2309"/>
      <c r="S8" s="1886"/>
      <c r="T8" s="1886"/>
    </row>
    <row r="9" spans="1:20" ht="18" customHeight="1" x14ac:dyDescent="0.2">
      <c r="A9" s="1886"/>
      <c r="B9" s="2222" t="s">
        <v>1110</v>
      </c>
      <c r="C9" s="2308">
        <f>+'CO2 - Cálculos'!AG7</f>
        <v>6368.9580000000005</v>
      </c>
      <c r="D9" s="2230"/>
      <c r="E9" s="2230"/>
      <c r="F9" s="1886"/>
      <c r="G9" s="1886"/>
      <c r="H9" s="1886"/>
      <c r="I9" s="1886"/>
      <c r="J9" s="1886"/>
      <c r="K9" s="1886"/>
      <c r="L9" s="2309"/>
      <c r="M9" s="1862" t="s">
        <v>1048</v>
      </c>
      <c r="N9" s="2310">
        <f>+C5</f>
        <v>14727.458000000001</v>
      </c>
      <c r="O9" s="2311">
        <f>+N9/O6</f>
        <v>0.100873</v>
      </c>
      <c r="P9" s="2312">
        <f>+Q9/O6</f>
        <v>0.8991269999999999</v>
      </c>
      <c r="Q9" s="2313">
        <f>+C16</f>
        <v>131272.54199999999</v>
      </c>
      <c r="R9" s="2314" t="s">
        <v>1241</v>
      </c>
      <c r="S9" s="1886"/>
      <c r="T9" s="1886"/>
    </row>
    <row r="10" spans="1:20" ht="18" customHeight="1" x14ac:dyDescent="0.2">
      <c r="A10" s="1886"/>
      <c r="B10" s="2222" t="s">
        <v>1111</v>
      </c>
      <c r="C10" s="2308">
        <f>+'CO2 - Cálculos'!AG8</f>
        <v>4336.2</v>
      </c>
      <c r="D10" s="2230"/>
      <c r="E10" s="2230"/>
      <c r="F10" s="1886"/>
      <c r="G10" s="1886"/>
      <c r="H10" s="1886"/>
      <c r="I10" s="1886"/>
      <c r="J10" s="1886"/>
      <c r="K10" s="1886"/>
      <c r="L10" s="2309"/>
      <c r="M10" s="2315"/>
      <c r="N10" s="2316"/>
      <c r="O10" s="2309"/>
      <c r="P10" s="2309"/>
      <c r="Q10" s="2316"/>
      <c r="R10" s="2315"/>
      <c r="S10" s="1886"/>
      <c r="T10" s="1886"/>
    </row>
    <row r="11" spans="1:20" ht="18" customHeight="1" x14ac:dyDescent="0.2">
      <c r="A11" s="1886"/>
      <c r="B11" s="2222" t="s">
        <v>50</v>
      </c>
      <c r="C11" s="2308">
        <f>+'CO2 - Cálculos'!AG9</f>
        <v>0</v>
      </c>
      <c r="D11" s="2230"/>
      <c r="E11" s="2230"/>
      <c r="F11" s="1886"/>
      <c r="G11" s="1886"/>
      <c r="H11" s="1886"/>
      <c r="I11" s="1886"/>
      <c r="J11" s="1886"/>
      <c r="K11" s="1886"/>
      <c r="L11" s="2309"/>
      <c r="M11" s="1862" t="str">
        <f t="shared" ref="M11:N18" si="0">+B7</f>
        <v>Resíduos de alimentos</v>
      </c>
      <c r="N11" s="2317">
        <f t="shared" si="0"/>
        <v>0</v>
      </c>
      <c r="O11" s="2318">
        <f t="shared" ref="O11:O18" si="1">+N11/$N$9</f>
        <v>0</v>
      </c>
      <c r="P11" s="2319">
        <f t="shared" ref="P11:P19" si="2">+Q11/$Q$9</f>
        <v>0</v>
      </c>
      <c r="Q11" s="2320">
        <f t="shared" ref="Q11:Q19" si="3">+C18</f>
        <v>0</v>
      </c>
      <c r="R11" s="2314" t="str">
        <f t="shared" ref="R11:R19" si="4">+B18</f>
        <v>Resíduos dispersos</v>
      </c>
      <c r="S11" s="1886"/>
      <c r="T11" s="1886"/>
    </row>
    <row r="12" spans="1:20" ht="18" customHeight="1" x14ac:dyDescent="0.2">
      <c r="A12" s="1886"/>
      <c r="B12" s="2222" t="s">
        <v>1112</v>
      </c>
      <c r="C12" s="2308">
        <f>+'CO2 - Cálculos'!AG10</f>
        <v>3190.1</v>
      </c>
      <c r="D12" s="2230"/>
      <c r="E12" s="2230"/>
      <c r="F12" s="1886"/>
      <c r="G12" s="1886"/>
      <c r="H12" s="1886"/>
      <c r="I12" s="1886"/>
      <c r="J12" s="1886"/>
      <c r="K12" s="1886"/>
      <c r="L12" s="2309"/>
      <c r="M12" s="1862" t="str">
        <f t="shared" si="0"/>
        <v>Resíduos de jardins e parques</v>
      </c>
      <c r="N12" s="2317">
        <f t="shared" si="0"/>
        <v>0</v>
      </c>
      <c r="O12" s="2318">
        <f t="shared" si="1"/>
        <v>0</v>
      </c>
      <c r="P12" s="2319">
        <f t="shared" si="2"/>
        <v>0</v>
      </c>
      <c r="Q12" s="2320">
        <f t="shared" si="3"/>
        <v>0</v>
      </c>
      <c r="R12" s="2314" t="str">
        <f t="shared" si="4"/>
        <v>Queima a céu aberto</v>
      </c>
      <c r="S12" s="1886"/>
      <c r="T12" s="1886"/>
    </row>
    <row r="13" spans="1:20" ht="18" customHeight="1" x14ac:dyDescent="0.2">
      <c r="A13" s="1886"/>
      <c r="B13" s="2222" t="s">
        <v>1113</v>
      </c>
      <c r="C13" s="2308">
        <f>+'CO2 - Cálculos'!AG11</f>
        <v>832.19999999999993</v>
      </c>
      <c r="D13" s="2230"/>
      <c r="E13" s="2230"/>
      <c r="F13" s="1886"/>
      <c r="G13" s="1886"/>
      <c r="H13" s="1886"/>
      <c r="I13" s="1886"/>
      <c r="J13" s="1886"/>
      <c r="K13" s="1886"/>
      <c r="L13" s="2309"/>
      <c r="M13" s="1862" t="str">
        <f t="shared" si="0"/>
        <v>Papel, papelão</v>
      </c>
      <c r="N13" s="2317">
        <f t="shared" si="0"/>
        <v>6368.9580000000005</v>
      </c>
      <c r="O13" s="2318">
        <f t="shared" si="1"/>
        <v>0.4324546707245745</v>
      </c>
      <c r="P13" s="2319">
        <f t="shared" si="2"/>
        <v>0</v>
      </c>
      <c r="Q13" s="2320">
        <f t="shared" si="3"/>
        <v>0</v>
      </c>
      <c r="R13" s="2314" t="str">
        <f t="shared" si="4"/>
        <v>Lixão não controlado</v>
      </c>
      <c r="S13" s="1886"/>
      <c r="T13" s="1886"/>
    </row>
    <row r="14" spans="1:20" ht="18" customHeight="1" x14ac:dyDescent="0.2">
      <c r="A14" s="1886"/>
      <c r="B14" s="2222" t="s">
        <v>1114</v>
      </c>
      <c r="C14" s="2308">
        <f>+'CO2 - Cálculos'!AG12</f>
        <v>0</v>
      </c>
      <c r="D14" s="2230"/>
      <c r="E14" s="2230"/>
      <c r="F14" s="1886"/>
      <c r="G14" s="1886"/>
      <c r="H14" s="1886"/>
      <c r="I14" s="1886"/>
      <c r="J14" s="1886"/>
      <c r="K14" s="1886"/>
      <c r="L14" s="2309"/>
      <c r="M14" s="1862" t="str">
        <f t="shared" si="0"/>
        <v>Plásticos</v>
      </c>
      <c r="N14" s="2317">
        <f t="shared" si="0"/>
        <v>4336.2</v>
      </c>
      <c r="O14" s="2318">
        <f t="shared" si="1"/>
        <v>0.29442962933589761</v>
      </c>
      <c r="P14" s="2319">
        <f t="shared" si="2"/>
        <v>0</v>
      </c>
      <c r="Q14" s="2320">
        <f t="shared" si="3"/>
        <v>0</v>
      </c>
      <c r="R14" s="2314" t="str">
        <f t="shared" si="4"/>
        <v>Aterro controlado</v>
      </c>
      <c r="S14" s="1886"/>
      <c r="T14" s="1886"/>
    </row>
    <row r="15" spans="1:20" ht="18" customHeight="1" x14ac:dyDescent="0.2">
      <c r="A15" s="1886"/>
      <c r="B15" s="1904"/>
      <c r="C15" s="2304"/>
      <c r="D15" s="2230"/>
      <c r="E15" s="2230"/>
      <c r="F15" s="1886"/>
      <c r="G15" s="1886"/>
      <c r="H15" s="1886"/>
      <c r="I15" s="1886"/>
      <c r="J15" s="1886"/>
      <c r="K15" s="1886"/>
      <c r="L15" s="2309"/>
      <c r="M15" s="1862" t="str">
        <f t="shared" si="0"/>
        <v>Vidros</v>
      </c>
      <c r="N15" s="2317">
        <f t="shared" si="0"/>
        <v>0</v>
      </c>
      <c r="O15" s="2318">
        <f t="shared" si="1"/>
        <v>0</v>
      </c>
      <c r="P15" s="2319">
        <f t="shared" si="2"/>
        <v>0.35</v>
      </c>
      <c r="Q15" s="2320">
        <f t="shared" si="3"/>
        <v>45945.389699999992</v>
      </c>
      <c r="R15" s="2314" t="str">
        <f t="shared" si="4"/>
        <v>Aterro sanitário</v>
      </c>
      <c r="S15" s="1886"/>
      <c r="T15" s="1886"/>
    </row>
    <row r="16" spans="1:20" ht="18" customHeight="1" x14ac:dyDescent="0.2">
      <c r="A16" s="1886"/>
      <c r="B16" s="1975" t="s">
        <v>1265</v>
      </c>
      <c r="C16" s="2303">
        <f>+'CO2 - Cálculos'!AE57</f>
        <v>131272.54199999999</v>
      </c>
      <c r="D16" s="2230"/>
      <c r="E16" s="2230"/>
      <c r="F16" s="1886"/>
      <c r="G16" s="1886"/>
      <c r="H16" s="1886"/>
      <c r="I16" s="1886"/>
      <c r="J16" s="1886"/>
      <c r="K16" s="1886"/>
      <c r="L16" s="2309"/>
      <c r="M16" s="1862" t="str">
        <f t="shared" si="0"/>
        <v>Metais ferrosos</v>
      </c>
      <c r="N16" s="2317">
        <f t="shared" si="0"/>
        <v>3190.1</v>
      </c>
      <c r="O16" s="2318">
        <f t="shared" si="1"/>
        <v>0.21660900340031525</v>
      </c>
      <c r="P16" s="2319">
        <f t="shared" si="2"/>
        <v>0</v>
      </c>
      <c r="Q16" s="2320">
        <f t="shared" si="3"/>
        <v>0</v>
      </c>
      <c r="R16" s="2314" t="str">
        <f t="shared" si="4"/>
        <v>Trat. biol + cobertura at.</v>
      </c>
      <c r="S16" s="1886"/>
      <c r="T16" s="1886"/>
    </row>
    <row r="17" spans="1:26" ht="18" customHeight="1" x14ac:dyDescent="0.2">
      <c r="A17" s="1886"/>
      <c r="B17" s="2306"/>
      <c r="C17" s="2307"/>
      <c r="D17" s="2230"/>
      <c r="E17" s="2230"/>
      <c r="F17" s="1886"/>
      <c r="G17" s="1886"/>
      <c r="H17" s="1886"/>
      <c r="I17" s="1886"/>
      <c r="J17" s="1886"/>
      <c r="K17" s="1886"/>
      <c r="L17" s="2309"/>
      <c r="M17" s="1862" t="str">
        <f t="shared" si="0"/>
        <v>Alumínio</v>
      </c>
      <c r="N17" s="2317">
        <f t="shared" si="0"/>
        <v>832.19999999999993</v>
      </c>
      <c r="O17" s="2318">
        <f t="shared" si="1"/>
        <v>5.650669653921267E-2</v>
      </c>
      <c r="P17" s="2319">
        <f t="shared" si="2"/>
        <v>0.125</v>
      </c>
      <c r="Q17" s="2320">
        <f t="shared" si="3"/>
        <v>16409.067749999998</v>
      </c>
      <c r="R17" s="2314" t="str">
        <f t="shared" si="4"/>
        <v>CDR seco + rejeito aterro</v>
      </c>
      <c r="S17" s="1886"/>
      <c r="T17" s="1886"/>
    </row>
    <row r="18" spans="1:26" ht="18" customHeight="1" x14ac:dyDescent="0.2">
      <c r="A18" s="1886"/>
      <c r="B18" s="2222" t="s">
        <v>1243</v>
      </c>
      <c r="C18" s="2308">
        <f>+'CO2 - Cálculos'!AG47</f>
        <v>0</v>
      </c>
      <c r="D18" s="2230"/>
      <c r="E18" s="2230"/>
      <c r="F18" s="1886"/>
      <c r="G18" s="1886"/>
      <c r="H18" s="1886"/>
      <c r="I18" s="1886"/>
      <c r="J18" s="1886"/>
      <c r="K18" s="1886"/>
      <c r="L18" s="2309"/>
      <c r="M18" s="1862" t="str">
        <f t="shared" si="0"/>
        <v>Têxteis</v>
      </c>
      <c r="N18" s="2317">
        <f t="shared" si="0"/>
        <v>0</v>
      </c>
      <c r="O18" s="2318">
        <f t="shared" si="1"/>
        <v>0</v>
      </c>
      <c r="P18" s="2319">
        <f t="shared" si="2"/>
        <v>0.52500000000000002</v>
      </c>
      <c r="Q18" s="2320">
        <f t="shared" si="3"/>
        <v>68918.08455</v>
      </c>
      <c r="R18" s="2314" t="str">
        <f t="shared" si="4"/>
        <v>CDR seco + trat. biol.</v>
      </c>
      <c r="S18" s="1886"/>
      <c r="T18" s="1886"/>
    </row>
    <row r="19" spans="1:26" ht="18" customHeight="1" x14ac:dyDescent="0.2">
      <c r="A19" s="1886"/>
      <c r="B19" s="2222" t="s">
        <v>1244</v>
      </c>
      <c r="C19" s="2308">
        <f>+'CO2 - Cálculos'!AG48</f>
        <v>0</v>
      </c>
      <c r="D19" s="2230"/>
      <c r="E19" s="2230"/>
      <c r="F19" s="1886"/>
      <c r="G19" s="1886"/>
      <c r="H19" s="1886"/>
      <c r="I19" s="1886"/>
      <c r="J19" s="1886"/>
      <c r="K19" s="1886"/>
      <c r="L19" s="2309"/>
      <c r="M19" s="2309"/>
      <c r="N19" s="2309"/>
      <c r="O19" s="2321"/>
      <c r="P19" s="2319">
        <f t="shared" si="2"/>
        <v>0</v>
      </c>
      <c r="Q19" s="2320">
        <f t="shared" si="3"/>
        <v>0</v>
      </c>
      <c r="R19" s="2314" t="str">
        <f t="shared" si="4"/>
        <v>CDR seco + CDR org.</v>
      </c>
      <c r="S19" s="1886"/>
      <c r="T19" s="1886"/>
    </row>
    <row r="20" spans="1:26" ht="18" customHeight="1" x14ac:dyDescent="0.2">
      <c r="A20" s="1886"/>
      <c r="B20" s="2222" t="s">
        <v>1245</v>
      </c>
      <c r="C20" s="2308">
        <f>+'CO2 - Cálculos'!AG49</f>
        <v>0</v>
      </c>
      <c r="D20" s="2230"/>
      <c r="E20" s="2230"/>
      <c r="F20" s="1886"/>
      <c r="G20" s="1886"/>
      <c r="H20" s="1886"/>
      <c r="I20" s="1886"/>
      <c r="J20" s="1886"/>
      <c r="K20" s="1886"/>
      <c r="L20" s="2309"/>
      <c r="M20" s="2309"/>
      <c r="N20" s="2309"/>
      <c r="O20" s="2309"/>
      <c r="P20" s="2319">
        <f>+Q20/$Q$9</f>
        <v>0</v>
      </c>
      <c r="Q20" s="2320">
        <f>+C27</f>
        <v>0</v>
      </c>
      <c r="R20" s="2314" t="str">
        <f>+B27</f>
        <v>Incineração</v>
      </c>
      <c r="S20" s="1886"/>
      <c r="T20" s="1886"/>
    </row>
    <row r="21" spans="1:26" ht="18" customHeight="1" x14ac:dyDescent="0.2">
      <c r="A21" s="1886"/>
      <c r="B21" s="2222" t="s">
        <v>1246</v>
      </c>
      <c r="C21" s="2308">
        <f>+'CO2 - Cálculos'!AG50</f>
        <v>0</v>
      </c>
      <c r="D21" s="2230"/>
      <c r="E21" s="2230"/>
      <c r="F21" s="1886"/>
      <c r="G21" s="1886"/>
      <c r="H21" s="1886"/>
      <c r="I21" s="1886"/>
      <c r="J21" s="1886"/>
      <c r="K21" s="1886"/>
      <c r="L21" s="1886"/>
      <c r="M21" s="1886"/>
      <c r="N21" s="1886"/>
      <c r="O21" s="1886"/>
      <c r="P21" s="1886"/>
      <c r="Q21" s="1886"/>
      <c r="R21" s="1886"/>
      <c r="S21" s="1886"/>
      <c r="T21" s="1886"/>
    </row>
    <row r="22" spans="1:26" ht="18" customHeight="1" x14ac:dyDescent="0.2">
      <c r="A22" s="1886"/>
      <c r="B22" s="2322" t="s">
        <v>64</v>
      </c>
      <c r="C22" s="2308">
        <f>+'CO2 - Cálculos'!AG51</f>
        <v>45945.389699999992</v>
      </c>
      <c r="D22" s="2230"/>
      <c r="E22" s="2230"/>
      <c r="F22" s="1886"/>
      <c r="G22" s="1886"/>
      <c r="H22" s="1886"/>
      <c r="I22" s="1886"/>
      <c r="J22" s="1886"/>
      <c r="K22" s="1886"/>
      <c r="L22" s="1886"/>
      <c r="M22" s="1886"/>
      <c r="N22" s="1886"/>
      <c r="O22" s="1886"/>
      <c r="P22" s="1886"/>
      <c r="Q22" s="1886"/>
      <c r="R22" s="1886"/>
      <c r="S22" s="1886"/>
      <c r="T22" s="1886"/>
    </row>
    <row r="23" spans="1:26" ht="18" customHeight="1" x14ac:dyDescent="0.2">
      <c r="A23" s="1886"/>
      <c r="B23" s="2323" t="s">
        <v>1247</v>
      </c>
      <c r="C23" s="2324">
        <f>+'CO2 - Cálculos'!AG52</f>
        <v>0</v>
      </c>
      <c r="D23" s="2230"/>
      <c r="E23" s="2230"/>
      <c r="F23" s="1886"/>
      <c r="G23" s="1886"/>
      <c r="H23" s="1886"/>
      <c r="I23" s="1886"/>
      <c r="J23" s="1886"/>
      <c r="K23" s="1886"/>
      <c r="L23" s="1886"/>
      <c r="M23" s="1886"/>
      <c r="N23" s="1886"/>
      <c r="O23" s="1886"/>
      <c r="P23" s="1886"/>
      <c r="Q23" s="1886"/>
      <c r="R23" s="1886"/>
      <c r="S23" s="1886"/>
      <c r="T23" s="1886"/>
    </row>
    <row r="24" spans="1:26" ht="18" customHeight="1" x14ac:dyDescent="0.2">
      <c r="A24" s="1886"/>
      <c r="B24" s="2323" t="s">
        <v>1248</v>
      </c>
      <c r="C24" s="2308">
        <f>+'CO2 - Cálculos'!AG53</f>
        <v>16409.067749999998</v>
      </c>
      <c r="D24" s="2230"/>
      <c r="E24" s="2230"/>
      <c r="F24" s="1886"/>
      <c r="G24" s="1886"/>
      <c r="H24" s="1886"/>
      <c r="I24" s="1886"/>
      <c r="J24" s="1886"/>
      <c r="K24" s="1886"/>
      <c r="L24" s="1886"/>
      <c r="M24" s="1886"/>
      <c r="N24" s="1886"/>
      <c r="O24" s="1886"/>
      <c r="P24" s="1886"/>
      <c r="Q24" s="1886"/>
      <c r="R24" s="1886"/>
      <c r="S24" s="1886"/>
      <c r="T24" s="1886"/>
    </row>
    <row r="25" spans="1:26" ht="18" customHeight="1" x14ac:dyDescent="0.2">
      <c r="A25" s="1886"/>
      <c r="B25" s="2323" t="s">
        <v>1249</v>
      </c>
      <c r="C25" s="2308">
        <f>+'CO2 - Cálculos'!AG54</f>
        <v>68918.08455</v>
      </c>
      <c r="D25" s="2230"/>
      <c r="E25" s="2230"/>
      <c r="F25" s="1886"/>
      <c r="G25" s="1886"/>
      <c r="H25" s="1886"/>
      <c r="I25" s="1886"/>
      <c r="J25" s="1886"/>
      <c r="K25" s="1886"/>
      <c r="L25" s="1886"/>
      <c r="M25" s="1886"/>
      <c r="N25" s="1886"/>
      <c r="O25" s="1886"/>
      <c r="P25" s="1886"/>
      <c r="Q25" s="1886"/>
      <c r="R25" s="1886"/>
      <c r="S25" s="1886"/>
      <c r="T25" s="1886"/>
    </row>
    <row r="26" spans="1:26" ht="18" customHeight="1" x14ac:dyDescent="0.2">
      <c r="A26" s="1886"/>
      <c r="B26" s="2323" t="s">
        <v>1250</v>
      </c>
      <c r="C26" s="2308">
        <f>+'CO2 - Cálculos'!AG55</f>
        <v>0</v>
      </c>
      <c r="D26" s="2230"/>
      <c r="E26" s="2230"/>
      <c r="F26" s="1886"/>
      <c r="G26" s="1886"/>
      <c r="H26" s="1886"/>
      <c r="I26" s="1886"/>
      <c r="J26" s="1886"/>
      <c r="K26" s="1886"/>
      <c r="L26" s="1886"/>
      <c r="M26" s="1886"/>
      <c r="N26" s="1886"/>
      <c r="O26" s="1886"/>
      <c r="P26" s="1886"/>
      <c r="Q26" s="1886"/>
      <c r="R26" s="1886"/>
      <c r="S26" s="1886"/>
      <c r="T26" s="1886"/>
    </row>
    <row r="27" spans="1:26" ht="18" customHeight="1" x14ac:dyDescent="0.2">
      <c r="A27" s="1886"/>
      <c r="B27" s="2222" t="s">
        <v>63</v>
      </c>
      <c r="C27" s="2308">
        <f>+'CO2 - Cálculos'!AG56</f>
        <v>0</v>
      </c>
      <c r="D27" s="2230"/>
      <c r="E27" s="2230"/>
      <c r="F27" s="1886"/>
      <c r="G27" s="1886"/>
      <c r="H27" s="1886"/>
      <c r="I27" s="1886"/>
      <c r="J27" s="1886"/>
      <c r="K27" s="1886"/>
      <c r="L27" s="1886"/>
      <c r="M27" s="1886"/>
      <c r="N27" s="1886"/>
      <c r="O27" s="1886"/>
      <c r="P27" s="1886"/>
      <c r="Q27" s="1886"/>
      <c r="R27" s="1886"/>
      <c r="S27" s="1886"/>
      <c r="T27" s="1886"/>
    </row>
    <row r="28" spans="1:26" x14ac:dyDescent="0.2">
      <c r="A28" s="1886"/>
      <c r="B28" s="1886"/>
      <c r="C28" s="2230"/>
      <c r="D28" s="2230"/>
      <c r="E28" s="2230"/>
      <c r="F28" s="1886"/>
      <c r="G28" s="1886"/>
      <c r="H28" s="1886"/>
      <c r="I28" s="1886"/>
      <c r="J28" s="1886"/>
      <c r="K28" s="1886"/>
      <c r="L28" s="1886"/>
      <c r="M28" s="1886"/>
      <c r="N28" s="1886"/>
      <c r="O28" s="1886"/>
      <c r="P28" s="1886"/>
      <c r="Q28" s="1886"/>
      <c r="R28" s="1886"/>
      <c r="S28" s="1886"/>
      <c r="T28" s="1886"/>
    </row>
    <row r="29" spans="1:26" s="2225" customFormat="1" ht="26.1" customHeight="1" x14ac:dyDescent="0.2">
      <c r="A29" s="2059" t="s">
        <v>1266</v>
      </c>
      <c r="B29" s="2325"/>
      <c r="C29" s="2326"/>
      <c r="D29" s="2326"/>
      <c r="E29" s="2326"/>
      <c r="F29" s="2026"/>
      <c r="G29" s="2026"/>
      <c r="H29" s="2026"/>
      <c r="I29" s="2026"/>
      <c r="J29" s="2026"/>
      <c r="K29" s="2026"/>
      <c r="L29" s="2026"/>
      <c r="M29" s="2026"/>
      <c r="N29" s="2026"/>
      <c r="O29" s="2026"/>
      <c r="P29" s="2026"/>
      <c r="Q29" s="2026"/>
      <c r="R29" s="2026"/>
      <c r="S29" s="2026"/>
      <c r="T29" s="2026"/>
      <c r="U29" s="1841"/>
      <c r="V29" s="1841"/>
      <c r="W29" s="1841"/>
      <c r="X29" s="1841"/>
      <c r="Y29" s="1841"/>
      <c r="Z29" s="1841"/>
    </row>
    <row r="30" spans="1:26"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26" ht="18" customHeight="1" x14ac:dyDescent="0.2">
      <c r="A31" s="1886"/>
      <c r="B31" s="2327"/>
      <c r="C31" s="2328" t="s">
        <v>1252</v>
      </c>
      <c r="D31" s="2075" t="s">
        <v>1253</v>
      </c>
      <c r="E31" s="2075" t="s">
        <v>1254</v>
      </c>
      <c r="F31" s="2329"/>
      <c r="G31" s="2329"/>
      <c r="H31" s="2330"/>
      <c r="I31" s="2329"/>
      <c r="J31" s="2329"/>
      <c r="K31" s="2329"/>
      <c r="L31" s="1886"/>
      <c r="M31" s="1886"/>
      <c r="N31" s="1886"/>
      <c r="O31" s="1886"/>
      <c r="P31" s="1886"/>
      <c r="Q31" s="1886"/>
      <c r="R31" s="1886"/>
      <c r="S31" s="1886"/>
      <c r="T31" s="1886"/>
    </row>
    <row r="32" spans="1:26" ht="18" customHeight="1" x14ac:dyDescent="0.2">
      <c r="A32" s="1886"/>
      <c r="B32" s="2331" t="s">
        <v>1239</v>
      </c>
      <c r="C32" s="2332"/>
      <c r="D32" s="2333"/>
      <c r="E32" s="2333"/>
      <c r="F32" s="2329"/>
      <c r="G32" s="2329"/>
      <c r="H32" s="2329"/>
      <c r="I32" s="2329"/>
      <c r="J32" s="2329"/>
      <c r="K32" s="2329"/>
      <c r="L32" s="1886"/>
      <c r="M32" s="1886"/>
      <c r="N32" s="1886"/>
      <c r="O32" s="1886"/>
      <c r="P32" s="1886"/>
      <c r="Q32" s="1886"/>
      <c r="R32" s="1886"/>
      <c r="S32" s="1886"/>
      <c r="T32" s="1886"/>
    </row>
    <row r="33" spans="1:20" ht="18" customHeight="1" x14ac:dyDescent="0.2">
      <c r="A33" s="1886"/>
      <c r="B33" s="2334"/>
      <c r="C33" s="2333"/>
      <c r="D33" s="2333"/>
      <c r="E33" s="2333"/>
      <c r="F33" s="2329"/>
      <c r="G33" s="2329"/>
      <c r="H33" s="2329"/>
      <c r="I33" s="2329"/>
      <c r="J33" s="2329"/>
      <c r="K33" s="2329"/>
      <c r="L33" s="1886"/>
      <c r="M33" s="1886"/>
      <c r="N33" s="1886"/>
      <c r="O33" s="1886"/>
      <c r="P33" s="1886"/>
      <c r="Q33" s="1886"/>
      <c r="R33" s="1886"/>
      <c r="S33" s="1886"/>
      <c r="T33" s="1886"/>
    </row>
    <row r="34" spans="1:20" ht="18" customHeight="1" x14ac:dyDescent="0.2">
      <c r="A34" s="1886"/>
      <c r="B34" s="2222" t="str">
        <f>B7</f>
        <v>Resíduos de alimentos</v>
      </c>
      <c r="C34" s="2335">
        <f t="shared" ref="C34:C41" si="5">+C62</f>
        <v>0</v>
      </c>
      <c r="D34" s="2335">
        <f t="shared" ref="D34:D41" si="6">+C71</f>
        <v>0</v>
      </c>
      <c r="E34" s="2335">
        <f t="shared" ref="E34:E41" si="7">+D34+C34</f>
        <v>0</v>
      </c>
      <c r="F34" s="2329"/>
      <c r="G34" s="2329"/>
      <c r="H34" s="2329"/>
      <c r="I34" s="2329"/>
      <c r="J34" s="2329"/>
      <c r="K34" s="2329"/>
      <c r="L34" s="1886"/>
      <c r="M34" s="1886"/>
      <c r="N34" s="1886"/>
      <c r="O34" s="1886"/>
      <c r="P34" s="1886"/>
      <c r="Q34" s="1886"/>
      <c r="R34" s="1886"/>
      <c r="S34" s="1886"/>
      <c r="T34" s="1886"/>
    </row>
    <row r="35" spans="1:20" ht="18" customHeight="1" x14ac:dyDescent="0.2">
      <c r="A35" s="1886"/>
      <c r="B35" s="2222" t="str">
        <f t="shared" ref="B35:B41" si="8">B8</f>
        <v>Resíduos de jardins e parques</v>
      </c>
      <c r="C35" s="2335">
        <f t="shared" si="5"/>
        <v>0</v>
      </c>
      <c r="D35" s="2335">
        <f t="shared" si="6"/>
        <v>0</v>
      </c>
      <c r="E35" s="2335">
        <f t="shared" si="7"/>
        <v>0</v>
      </c>
      <c r="F35" s="2329"/>
      <c r="G35" s="2329"/>
      <c r="H35" s="2329"/>
      <c r="I35" s="2329"/>
      <c r="J35" s="2329"/>
      <c r="K35" s="2329"/>
      <c r="L35" s="1886"/>
      <c r="M35" s="1886"/>
      <c r="N35" s="1886"/>
      <c r="O35" s="1886"/>
      <c r="P35" s="1886"/>
      <c r="Q35" s="1886"/>
      <c r="R35" s="1886"/>
      <c r="S35" s="1886"/>
      <c r="T35" s="1886"/>
    </row>
    <row r="36" spans="1:20" ht="18" customHeight="1" x14ac:dyDescent="0.2">
      <c r="A36" s="1886"/>
      <c r="B36" s="2222" t="str">
        <f t="shared" si="8"/>
        <v>Papel, papelão</v>
      </c>
      <c r="C36" s="2335">
        <f t="shared" si="5"/>
        <v>7999.4112480000003</v>
      </c>
      <c r="D36" s="2335">
        <f t="shared" si="6"/>
        <v>-9859.1469840000009</v>
      </c>
      <c r="E36" s="2335">
        <f t="shared" si="7"/>
        <v>-1859.7357360000005</v>
      </c>
      <c r="F36" s="2329"/>
      <c r="G36" s="2329"/>
      <c r="H36" s="2329"/>
      <c r="I36" s="2329"/>
      <c r="J36" s="2329"/>
      <c r="K36" s="2329"/>
      <c r="L36" s="1886"/>
      <c r="M36" s="1886"/>
      <c r="N36" s="1886"/>
      <c r="O36" s="1886"/>
      <c r="P36" s="1886"/>
      <c r="Q36" s="1886"/>
      <c r="R36" s="1886"/>
      <c r="S36" s="1886"/>
      <c r="T36" s="1886"/>
    </row>
    <row r="37" spans="1:20" ht="18" customHeight="1" x14ac:dyDescent="0.2">
      <c r="A37" s="1886"/>
      <c r="B37" s="2222" t="str">
        <f t="shared" si="8"/>
        <v>Plásticos</v>
      </c>
      <c r="C37" s="2335">
        <f t="shared" si="5"/>
        <v>1777.8420000000001</v>
      </c>
      <c r="D37" s="2335">
        <f t="shared" si="6"/>
        <v>-8281.2747600000002</v>
      </c>
      <c r="E37" s="2335">
        <f t="shared" si="7"/>
        <v>-6503.4327599999997</v>
      </c>
      <c r="F37" s="2329"/>
      <c r="G37" s="2329"/>
      <c r="H37" s="2329"/>
      <c r="I37" s="2329"/>
      <c r="J37" s="2329"/>
      <c r="K37" s="2329"/>
      <c r="L37" s="1886"/>
      <c r="M37" s="1886"/>
      <c r="N37" s="1886"/>
      <c r="O37" s="1886"/>
      <c r="P37" s="1886"/>
      <c r="Q37" s="1886"/>
      <c r="R37" s="1886"/>
      <c r="S37" s="1886"/>
      <c r="T37" s="1886"/>
    </row>
    <row r="38" spans="1:20" ht="18" customHeight="1" x14ac:dyDescent="0.2">
      <c r="A38" s="1886"/>
      <c r="B38" s="2222" t="str">
        <f t="shared" si="8"/>
        <v>Vidros</v>
      </c>
      <c r="C38" s="2335">
        <f t="shared" si="5"/>
        <v>0</v>
      </c>
      <c r="D38" s="2335">
        <f t="shared" si="6"/>
        <v>0</v>
      </c>
      <c r="E38" s="2335">
        <f t="shared" si="7"/>
        <v>0</v>
      </c>
      <c r="F38" s="2329"/>
      <c r="G38" s="2329"/>
      <c r="H38" s="2329"/>
      <c r="I38" s="2329"/>
      <c r="J38" s="2329"/>
      <c r="K38" s="2329"/>
      <c r="L38" s="1886"/>
      <c r="M38" s="1886"/>
      <c r="N38" s="1886"/>
      <c r="O38" s="1886"/>
      <c r="P38" s="1886"/>
      <c r="Q38" s="1886"/>
      <c r="R38" s="1886"/>
      <c r="S38" s="1886"/>
      <c r="T38" s="1886"/>
    </row>
    <row r="39" spans="1:20" ht="18" customHeight="1" x14ac:dyDescent="0.2">
      <c r="A39" s="1886"/>
      <c r="B39" s="2222" t="str">
        <f t="shared" si="8"/>
        <v>Metais ferrosos</v>
      </c>
      <c r="C39" s="2335">
        <f t="shared" si="5"/>
        <v>204.16639999999998</v>
      </c>
      <c r="D39" s="2335">
        <f t="shared" si="6"/>
        <v>-5461.4512000000004</v>
      </c>
      <c r="E39" s="2335">
        <f t="shared" si="7"/>
        <v>-5257.2848000000004</v>
      </c>
      <c r="F39" s="2329"/>
      <c r="G39" s="2329"/>
      <c r="H39" s="2329"/>
      <c r="I39" s="2329"/>
      <c r="J39" s="2329"/>
      <c r="K39" s="2329"/>
      <c r="L39" s="1886"/>
      <c r="M39" s="1886"/>
      <c r="N39" s="1886"/>
      <c r="O39" s="1886"/>
      <c r="P39" s="1886"/>
      <c r="Q39" s="1886"/>
      <c r="R39" s="1886"/>
      <c r="S39" s="1886"/>
      <c r="T39" s="1886"/>
    </row>
    <row r="40" spans="1:20" ht="18" customHeight="1" x14ac:dyDescent="0.2">
      <c r="A40" s="1886"/>
      <c r="B40" s="2222" t="str">
        <f t="shared" si="8"/>
        <v>Alumínio</v>
      </c>
      <c r="C40" s="2335">
        <f t="shared" si="5"/>
        <v>580.04339999999991</v>
      </c>
      <c r="D40" s="2335">
        <f t="shared" si="6"/>
        <v>-8222.1359999999986</v>
      </c>
      <c r="E40" s="2335">
        <f t="shared" si="7"/>
        <v>-7642.092599999999</v>
      </c>
      <c r="F40" s="2329"/>
      <c r="G40" s="2329"/>
      <c r="H40" s="2329"/>
      <c r="I40" s="2329"/>
      <c r="J40" s="2329"/>
      <c r="K40" s="2329"/>
      <c r="L40" s="1886"/>
      <c r="M40" s="1886"/>
      <c r="N40" s="1886"/>
      <c r="O40" s="1886"/>
      <c r="P40" s="1886"/>
      <c r="Q40" s="1886"/>
      <c r="R40" s="1886"/>
      <c r="S40" s="1886"/>
      <c r="T40" s="1886"/>
    </row>
    <row r="41" spans="1:20" ht="18" customHeight="1" x14ac:dyDescent="0.2">
      <c r="A41" s="1886"/>
      <c r="B41" s="2222" t="str">
        <f t="shared" si="8"/>
        <v>Têxteis</v>
      </c>
      <c r="C41" s="2335">
        <f t="shared" si="5"/>
        <v>0</v>
      </c>
      <c r="D41" s="2335">
        <f t="shared" si="6"/>
        <v>0</v>
      </c>
      <c r="E41" s="2335">
        <f t="shared" si="7"/>
        <v>0</v>
      </c>
      <c r="F41" s="2329"/>
      <c r="G41" s="2329"/>
      <c r="H41" s="2329"/>
      <c r="I41" s="2329"/>
      <c r="J41" s="2329"/>
      <c r="K41" s="2329"/>
      <c r="L41" s="1886"/>
      <c r="M41" s="1886"/>
      <c r="N41" s="1886"/>
      <c r="O41" s="1886"/>
      <c r="P41" s="1886"/>
      <c r="Q41" s="1886"/>
      <c r="R41" s="1886"/>
      <c r="S41" s="1886"/>
      <c r="T41" s="1886"/>
    </row>
    <row r="42" spans="1:20" ht="18" customHeight="1" x14ac:dyDescent="0.2">
      <c r="A42" s="1886"/>
      <c r="B42" s="2336"/>
      <c r="C42" s="2337"/>
      <c r="D42" s="2338"/>
      <c r="E42" s="2337"/>
      <c r="F42" s="2329"/>
      <c r="G42" s="2329"/>
      <c r="H42" s="2329"/>
      <c r="I42" s="2329"/>
      <c r="J42" s="2329"/>
      <c r="K42" s="2329"/>
      <c r="L42" s="1886"/>
      <c r="M42" s="1886"/>
      <c r="N42" s="1886"/>
      <c r="O42" s="1886"/>
      <c r="P42" s="1886"/>
      <c r="Q42" s="1886"/>
      <c r="R42" s="1886"/>
      <c r="S42" s="1886"/>
      <c r="T42" s="1886"/>
    </row>
    <row r="43" spans="1:20" ht="18" customHeight="1" x14ac:dyDescent="0.2">
      <c r="A43" s="1886"/>
      <c r="B43" s="2339" t="s">
        <v>1265</v>
      </c>
      <c r="C43" s="2340"/>
      <c r="D43" s="2341"/>
      <c r="E43" s="2341"/>
      <c r="F43" s="2329"/>
      <c r="G43" s="2329"/>
      <c r="H43" s="2329"/>
      <c r="I43" s="2329"/>
      <c r="J43" s="2329"/>
      <c r="K43" s="2329"/>
      <c r="L43" s="1886"/>
      <c r="M43" s="1886"/>
      <c r="N43" s="1886"/>
      <c r="O43" s="1886"/>
      <c r="P43" s="1886"/>
      <c r="Q43" s="1886"/>
      <c r="R43" s="1886"/>
      <c r="S43" s="1886"/>
      <c r="T43" s="1886"/>
    </row>
    <row r="44" spans="1:20" ht="18" customHeight="1" x14ac:dyDescent="0.2">
      <c r="A44" s="1886"/>
      <c r="B44" s="2334"/>
      <c r="C44" s="2332"/>
      <c r="D44" s="2332"/>
      <c r="E44" s="2332"/>
      <c r="F44" s="2329"/>
      <c r="G44" s="2329"/>
      <c r="H44" s="2329"/>
      <c r="I44" s="2329"/>
      <c r="J44" s="2329"/>
      <c r="K44" s="2329"/>
      <c r="L44" s="1886"/>
      <c r="M44" s="1886"/>
      <c r="N44" s="1886"/>
      <c r="O44" s="1886"/>
      <c r="P44" s="1886"/>
      <c r="Q44" s="1886"/>
      <c r="R44" s="1886"/>
      <c r="S44" s="1886"/>
      <c r="T44" s="1886"/>
    </row>
    <row r="45" spans="1:20" ht="18" customHeight="1" x14ac:dyDescent="0.2">
      <c r="A45" s="1886"/>
      <c r="B45" s="2222" t="str">
        <f>B18</f>
        <v>Resíduos dispersos</v>
      </c>
      <c r="C45" s="2335">
        <f t="shared" ref="C45:C53" si="9">+L62</f>
        <v>0</v>
      </c>
      <c r="D45" s="2335">
        <f t="shared" ref="D45:D54" si="10">+L73</f>
        <v>0</v>
      </c>
      <c r="E45" s="2335">
        <f t="shared" ref="E45:E53" si="11">+D45+C45</f>
        <v>0</v>
      </c>
      <c r="F45" s="2329"/>
      <c r="G45" s="2329"/>
      <c r="H45" s="2329"/>
      <c r="I45" s="2329"/>
      <c r="J45" s="2329"/>
      <c r="K45" s="2329"/>
      <c r="L45" s="1886"/>
      <c r="M45" s="1886"/>
      <c r="N45" s="1886"/>
      <c r="O45" s="1886"/>
      <c r="P45" s="1886"/>
      <c r="Q45" s="1886"/>
      <c r="R45" s="1886"/>
      <c r="S45" s="1886"/>
      <c r="T45" s="1886"/>
    </row>
    <row r="46" spans="1:20" ht="18" customHeight="1" x14ac:dyDescent="0.2">
      <c r="A46" s="1886"/>
      <c r="B46" s="2222" t="str">
        <f t="shared" ref="B46:B54" si="12">B19</f>
        <v>Queima a céu aberto</v>
      </c>
      <c r="C46" s="2335">
        <f t="shared" si="9"/>
        <v>0</v>
      </c>
      <c r="D46" s="2335">
        <f t="shared" si="10"/>
        <v>0</v>
      </c>
      <c r="E46" s="2335">
        <f t="shared" si="11"/>
        <v>0</v>
      </c>
      <c r="F46" s="2329"/>
      <c r="G46" s="2329"/>
      <c r="H46" s="2329"/>
      <c r="I46" s="2329"/>
      <c r="J46" s="2329"/>
      <c r="K46" s="2329"/>
      <c r="L46" s="1886"/>
      <c r="M46" s="1886"/>
      <c r="N46" s="1886"/>
      <c r="O46" s="1886"/>
      <c r="P46" s="1886"/>
      <c r="Q46" s="1886"/>
      <c r="R46" s="1886"/>
      <c r="S46" s="1886"/>
      <c r="T46" s="1886"/>
    </row>
    <row r="47" spans="1:20" ht="18" customHeight="1" x14ac:dyDescent="0.2">
      <c r="A47" s="1886"/>
      <c r="B47" s="2222" t="str">
        <f t="shared" si="12"/>
        <v>Lixão não controlado</v>
      </c>
      <c r="C47" s="2335">
        <f t="shared" si="9"/>
        <v>0</v>
      </c>
      <c r="D47" s="2335">
        <f t="shared" si="10"/>
        <v>0</v>
      </c>
      <c r="E47" s="2335">
        <f t="shared" si="11"/>
        <v>0</v>
      </c>
      <c r="F47" s="2329"/>
      <c r="G47" s="2329"/>
      <c r="H47" s="2329"/>
      <c r="I47" s="2329"/>
      <c r="J47" s="2329"/>
      <c r="K47" s="2329"/>
      <c r="L47" s="1886"/>
      <c r="M47" s="1886"/>
      <c r="N47" s="1886"/>
      <c r="O47" s="1886"/>
      <c r="P47" s="1886"/>
      <c r="Q47" s="1886"/>
      <c r="R47" s="1886"/>
      <c r="S47" s="1886"/>
      <c r="T47" s="1886"/>
    </row>
    <row r="48" spans="1:20" ht="18" customHeight="1" x14ac:dyDescent="0.2">
      <c r="A48" s="1886"/>
      <c r="B48" s="2222" t="str">
        <f t="shared" si="12"/>
        <v>Aterro controlado</v>
      </c>
      <c r="C48" s="2335">
        <f t="shared" si="9"/>
        <v>0</v>
      </c>
      <c r="D48" s="2335">
        <f t="shared" si="10"/>
        <v>0</v>
      </c>
      <c r="E48" s="2335">
        <f t="shared" si="11"/>
        <v>0</v>
      </c>
      <c r="F48" s="2329"/>
      <c r="G48" s="2329"/>
      <c r="H48" s="2329"/>
      <c r="I48" s="2329"/>
      <c r="J48" s="2329"/>
      <c r="K48" s="2329"/>
      <c r="L48" s="1886"/>
      <c r="M48" s="1886"/>
      <c r="N48" s="1886"/>
      <c r="O48" s="1886"/>
      <c r="P48" s="1886"/>
      <c r="Q48" s="1886"/>
      <c r="R48" s="1886"/>
      <c r="S48" s="1886"/>
      <c r="T48" s="1886"/>
    </row>
    <row r="49" spans="1:21" ht="18" customHeight="1" x14ac:dyDescent="0.2">
      <c r="A49" s="1886"/>
      <c r="B49" s="2222" t="str">
        <f t="shared" si="12"/>
        <v>Aterro sanitário</v>
      </c>
      <c r="C49" s="2335">
        <f t="shared" si="9"/>
        <v>53980.946707938478</v>
      </c>
      <c r="D49" s="2335">
        <f t="shared" si="10"/>
        <v>0</v>
      </c>
      <c r="E49" s="2335">
        <f t="shared" si="11"/>
        <v>53980.946707938478</v>
      </c>
      <c r="F49" s="2329"/>
      <c r="G49" s="2329"/>
      <c r="H49" s="2329"/>
      <c r="I49" s="2329"/>
      <c r="J49" s="2329"/>
      <c r="K49" s="2329"/>
      <c r="L49" s="1886"/>
      <c r="M49" s="1886"/>
      <c r="N49" s="1886"/>
      <c r="O49" s="1886"/>
      <c r="P49" s="1886"/>
      <c r="Q49" s="1886"/>
      <c r="R49" s="1886"/>
      <c r="S49" s="1886"/>
      <c r="T49" s="1886"/>
    </row>
    <row r="50" spans="1:21" ht="18" customHeight="1" x14ac:dyDescent="0.2">
      <c r="A50" s="1886"/>
      <c r="B50" s="2222" t="str">
        <f t="shared" si="12"/>
        <v>Trat. biol + cobertura at.</v>
      </c>
      <c r="C50" s="2335">
        <f t="shared" si="9"/>
        <v>0</v>
      </c>
      <c r="D50" s="2335">
        <f t="shared" si="10"/>
        <v>0</v>
      </c>
      <c r="E50" s="2335">
        <f t="shared" si="11"/>
        <v>0</v>
      </c>
      <c r="F50" s="2329"/>
      <c r="G50" s="2329"/>
      <c r="H50" s="2329"/>
      <c r="I50" s="2329"/>
      <c r="J50" s="2329"/>
      <c r="K50" s="2329"/>
      <c r="L50" s="1886"/>
      <c r="M50" s="1886"/>
      <c r="N50" s="1886"/>
      <c r="O50" s="1886"/>
      <c r="P50" s="1886"/>
      <c r="Q50" s="1886"/>
      <c r="R50" s="1886"/>
      <c r="S50" s="1886"/>
      <c r="T50" s="1886"/>
    </row>
    <row r="51" spans="1:21" ht="18" customHeight="1" x14ac:dyDescent="0.2">
      <c r="A51" s="1886"/>
      <c r="B51" s="2222" t="str">
        <f t="shared" si="12"/>
        <v>CDR seco + rejeito aterro</v>
      </c>
      <c r="C51" s="2335">
        <f t="shared" si="9"/>
        <v>9878.871077030024</v>
      </c>
      <c r="D51" s="2335">
        <f t="shared" si="10"/>
        <v>-8213.3557915298534</v>
      </c>
      <c r="E51" s="2335">
        <f t="shared" si="11"/>
        <v>1665.5152855001706</v>
      </c>
      <c r="F51" s="2329"/>
      <c r="G51" s="2342"/>
      <c r="H51" s="2343"/>
      <c r="I51" s="2343"/>
      <c r="J51" s="2343"/>
      <c r="K51" s="2329"/>
      <c r="L51" s="1886"/>
      <c r="M51" s="1886"/>
      <c r="N51" s="1886"/>
      <c r="O51" s="1886"/>
      <c r="P51" s="1886"/>
      <c r="Q51" s="1886"/>
      <c r="R51" s="1886"/>
      <c r="S51" s="1886"/>
      <c r="T51" s="1886"/>
    </row>
    <row r="52" spans="1:21" ht="18" customHeight="1" x14ac:dyDescent="0.2">
      <c r="A52" s="1886"/>
      <c r="B52" s="2222" t="str">
        <f t="shared" si="12"/>
        <v>CDR seco + trat. biol.</v>
      </c>
      <c r="C52" s="2335">
        <f t="shared" si="9"/>
        <v>7289.5189941719445</v>
      </c>
      <c r="D52" s="2335">
        <f t="shared" si="10"/>
        <v>-41186.708432916232</v>
      </c>
      <c r="E52" s="2335">
        <f t="shared" si="11"/>
        <v>-33897.189438744288</v>
      </c>
      <c r="F52" s="2329"/>
      <c r="G52" s="2344"/>
      <c r="H52" s="2345" t="s">
        <v>1255</v>
      </c>
      <c r="I52" s="2346" t="s">
        <v>1267</v>
      </c>
      <c r="J52" s="2346" t="s">
        <v>1256</v>
      </c>
      <c r="K52" s="2329"/>
      <c r="L52" s="1886"/>
      <c r="M52" s="1886"/>
      <c r="N52" s="1886"/>
      <c r="O52" s="1886"/>
      <c r="P52" s="1886"/>
      <c r="Q52" s="1886"/>
      <c r="R52" s="1886"/>
      <c r="S52" s="1886"/>
      <c r="T52" s="1886"/>
    </row>
    <row r="53" spans="1:21" ht="18" customHeight="1" x14ac:dyDescent="0.2">
      <c r="A53" s="1886"/>
      <c r="B53" s="2222" t="str">
        <f t="shared" si="12"/>
        <v>CDR seco + CDR org.</v>
      </c>
      <c r="C53" s="2335">
        <f t="shared" si="9"/>
        <v>0</v>
      </c>
      <c r="D53" s="2335">
        <f t="shared" si="10"/>
        <v>0</v>
      </c>
      <c r="E53" s="2335">
        <f t="shared" si="11"/>
        <v>0</v>
      </c>
      <c r="F53" s="2329"/>
      <c r="G53" s="2347" t="s">
        <v>1257</v>
      </c>
      <c r="H53" s="2348">
        <f>SUM(C34:C41)</f>
        <v>10561.463048000001</v>
      </c>
      <c r="I53" s="2348">
        <f>SUM(C45:C54)</f>
        <v>71149.336779140445</v>
      </c>
      <c r="J53" s="2348">
        <f>+I53+H53</f>
        <v>81710.79982714045</v>
      </c>
      <c r="K53" s="2329"/>
      <c r="L53" s="1886"/>
      <c r="M53" s="1886"/>
      <c r="N53" s="1886"/>
      <c r="O53" s="1886"/>
      <c r="P53" s="1886"/>
      <c r="Q53" s="1886"/>
      <c r="R53" s="1886"/>
      <c r="S53" s="1886"/>
      <c r="T53" s="1886"/>
    </row>
    <row r="54" spans="1:21" ht="18" customHeight="1" x14ac:dyDescent="0.2">
      <c r="A54" s="1886"/>
      <c r="B54" s="2222" t="str">
        <f t="shared" si="12"/>
        <v>Incineração</v>
      </c>
      <c r="C54" s="2335">
        <f>+L71</f>
        <v>0</v>
      </c>
      <c r="D54" s="2335">
        <f t="shared" si="10"/>
        <v>0</v>
      </c>
      <c r="E54" s="2335">
        <f>+D54+C54</f>
        <v>0</v>
      </c>
      <c r="F54" s="2329"/>
      <c r="G54" s="2347" t="s">
        <v>1258</v>
      </c>
      <c r="H54" s="2348">
        <f>SUM(D34:D41)</f>
        <v>-31824.008943999997</v>
      </c>
      <c r="I54" s="2348">
        <f>SUM(D45:D54)</f>
        <v>-49400.064224446083</v>
      </c>
      <c r="J54" s="2348">
        <f>+I54+H54</f>
        <v>-81224.073168446077</v>
      </c>
      <c r="K54" s="2329"/>
      <c r="L54" s="1886"/>
      <c r="M54" s="1886"/>
      <c r="N54" s="1886"/>
      <c r="O54" s="1886"/>
      <c r="P54" s="1886"/>
      <c r="Q54" s="1886"/>
      <c r="R54" s="1886"/>
      <c r="S54" s="1886"/>
      <c r="T54" s="1886"/>
    </row>
    <row r="55" spans="1:21" ht="18" customHeight="1" x14ac:dyDescent="0.2">
      <c r="A55" s="1886"/>
      <c r="B55" s="2336"/>
      <c r="C55" s="2349"/>
      <c r="D55" s="2350"/>
      <c r="E55" s="2349"/>
      <c r="F55" s="2329"/>
      <c r="G55" s="2347" t="s">
        <v>1259</v>
      </c>
      <c r="H55" s="2348">
        <f>+H53+H54</f>
        <v>-21262.545895999996</v>
      </c>
      <c r="I55" s="2348">
        <f>+I53+I54</f>
        <v>21749.272554694362</v>
      </c>
      <c r="J55" s="2348">
        <f>+I55+H55</f>
        <v>486.72665869436605</v>
      </c>
      <c r="K55" s="2329"/>
      <c r="L55" s="1886"/>
      <c r="M55" s="1886"/>
      <c r="N55" s="1886"/>
      <c r="O55" s="1886"/>
      <c r="P55" s="1886"/>
      <c r="Q55" s="1886"/>
      <c r="R55" s="1886"/>
      <c r="S55" s="1886"/>
      <c r="T55" s="1886"/>
    </row>
    <row r="56" spans="1:21" ht="18" customHeight="1" x14ac:dyDescent="0.2">
      <c r="A56" s="1886"/>
      <c r="B56" s="2339" t="s">
        <v>52</v>
      </c>
      <c r="C56" s="2351">
        <f>SUM(C34:C54)</f>
        <v>81710.79982714045</v>
      </c>
      <c r="D56" s="2351">
        <f>SUM(D34:D54)</f>
        <v>-81224.073168446077</v>
      </c>
      <c r="E56" s="2351">
        <f>+D56+C56</f>
        <v>486.72665869437333</v>
      </c>
      <c r="F56" s="2329"/>
      <c r="G56" s="2342"/>
      <c r="H56" s="2352"/>
      <c r="I56" s="2352"/>
      <c r="J56" s="2352"/>
      <c r="K56" s="2329"/>
      <c r="L56" s="1886"/>
      <c r="M56" s="1886"/>
      <c r="N56" s="1886"/>
      <c r="O56" s="1886"/>
      <c r="P56" s="1886"/>
      <c r="Q56" s="1886"/>
      <c r="R56" s="1886"/>
      <c r="S56" s="1886"/>
      <c r="T56" s="1886"/>
    </row>
    <row r="57" spans="1:21"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21"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21" s="2225" customFormat="1" ht="26.1" customHeight="1" x14ac:dyDescent="0.25">
      <c r="A59" s="2287" t="s">
        <v>1260</v>
      </c>
      <c r="B59" s="2353"/>
      <c r="C59" s="2353"/>
      <c r="D59" s="2353"/>
      <c r="E59" s="2353"/>
      <c r="F59" s="2224"/>
      <c r="G59" s="1936"/>
      <c r="H59" s="1981"/>
      <c r="I59" s="1981"/>
      <c r="J59" s="1981"/>
      <c r="K59" s="1908" t="s">
        <v>1268</v>
      </c>
      <c r="L59" s="1981"/>
      <c r="M59" s="1981"/>
      <c r="N59" s="1981"/>
      <c r="O59" s="1981"/>
      <c r="P59" s="1936"/>
      <c r="Q59" s="1936"/>
      <c r="R59" s="1936"/>
      <c r="S59" s="1936"/>
      <c r="T59" s="1936"/>
      <c r="U59" s="2354"/>
    </row>
    <row r="60" spans="1:21"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21" ht="18" customHeight="1" x14ac:dyDescent="0.25">
      <c r="A61" s="1886"/>
      <c r="B61" s="2290"/>
      <c r="C61" s="2355" t="s">
        <v>1239</v>
      </c>
      <c r="D61" s="2355" t="s">
        <v>1259</v>
      </c>
      <c r="E61" s="1886"/>
      <c r="F61" s="1886"/>
      <c r="G61" s="1886"/>
      <c r="H61" s="1886"/>
      <c r="I61" s="1886"/>
      <c r="J61" s="1886"/>
      <c r="K61" s="2356"/>
      <c r="L61" s="2357" t="s">
        <v>1267</v>
      </c>
      <c r="M61" s="2355" t="s">
        <v>1259</v>
      </c>
      <c r="N61" s="1886"/>
      <c r="O61" s="1886"/>
      <c r="P61" s="1886"/>
      <c r="Q61" s="1886"/>
      <c r="R61" s="1886"/>
      <c r="S61" s="1886"/>
      <c r="T61" s="1886"/>
    </row>
    <row r="62" spans="1:21" ht="18" customHeight="1" x14ac:dyDescent="0.25">
      <c r="A62" s="1886"/>
      <c r="B62" s="2299" t="str">
        <f>+'CO2 - Cálculos'!AC16</f>
        <v>Resíduos de alimentos</v>
      </c>
      <c r="C62" s="2238">
        <f>+'CO2 - Cálculos'!AF16</f>
        <v>0</v>
      </c>
      <c r="D62" s="2271"/>
      <c r="E62" s="1886"/>
      <c r="F62" s="1886"/>
      <c r="G62" s="1886"/>
      <c r="H62" s="1886"/>
      <c r="I62" s="1886"/>
      <c r="J62" s="1886"/>
      <c r="K62" s="2298" t="str">
        <f>+'CO2 - Cálculos'!AC61</f>
        <v>Resíduos dispersos</v>
      </c>
      <c r="L62" s="2238">
        <f>+'CO2 - Cálculos'!AF61</f>
        <v>0</v>
      </c>
      <c r="M62" s="2271"/>
      <c r="N62" s="1886"/>
      <c r="O62" s="1886"/>
      <c r="P62" s="1886"/>
      <c r="Q62" s="1886"/>
      <c r="R62" s="1886"/>
      <c r="S62" s="1886"/>
      <c r="T62" s="1886"/>
    </row>
    <row r="63" spans="1:21" ht="18" customHeight="1" x14ac:dyDescent="0.25">
      <c r="A63" s="1886"/>
      <c r="B63" s="2299" t="str">
        <f>+'CO2 - Cálculos'!AC17</f>
        <v>Resíduos de jardins e parques</v>
      </c>
      <c r="C63" s="2238">
        <f>+'CO2 - Cálculos'!AF17</f>
        <v>0</v>
      </c>
      <c r="D63" s="2271"/>
      <c r="E63" s="1886"/>
      <c r="F63" s="1886"/>
      <c r="G63" s="1886"/>
      <c r="H63" s="1886"/>
      <c r="I63" s="1886"/>
      <c r="J63" s="1886"/>
      <c r="K63" s="2298" t="str">
        <f>+'CO2 - Cálculos'!AC62</f>
        <v>Queima a céu aberto</v>
      </c>
      <c r="L63" s="2238">
        <f>+'CO2 - Cálculos'!AF62</f>
        <v>0</v>
      </c>
      <c r="M63" s="2271"/>
      <c r="N63" s="1886"/>
      <c r="O63" s="1886"/>
      <c r="P63" s="1886"/>
      <c r="Q63" s="1886"/>
      <c r="R63" s="1886"/>
      <c r="S63" s="1886"/>
      <c r="T63" s="1886"/>
    </row>
    <row r="64" spans="1:21" ht="18" customHeight="1" x14ac:dyDescent="0.25">
      <c r="A64" s="1886"/>
      <c r="B64" s="2299" t="str">
        <f>+'CO2 - Cálculos'!AC18</f>
        <v>Papel, papelão</v>
      </c>
      <c r="C64" s="2238">
        <f>+'CO2 - Cálculos'!AF18</f>
        <v>7999.4112480000003</v>
      </c>
      <c r="D64" s="2271"/>
      <c r="E64" s="1886"/>
      <c r="F64" s="1886"/>
      <c r="G64" s="1886"/>
      <c r="H64" s="1886"/>
      <c r="I64" s="1886"/>
      <c r="J64" s="1886"/>
      <c r="K64" s="2298" t="str">
        <f>+'CO2 - Cálculos'!AC63</f>
        <v>Lixão não controlado</v>
      </c>
      <c r="L64" s="2238">
        <f>+'CO2 - Cálculos'!AF63</f>
        <v>0</v>
      </c>
      <c r="M64" s="2271"/>
      <c r="N64" s="1886"/>
      <c r="O64" s="1886"/>
      <c r="P64" s="1886"/>
      <c r="Q64" s="1886"/>
      <c r="R64" s="1886"/>
      <c r="S64" s="1886"/>
      <c r="T64" s="1886"/>
    </row>
    <row r="65" spans="1:20" ht="18" customHeight="1" x14ac:dyDescent="0.25">
      <c r="A65" s="1886"/>
      <c r="B65" s="2299" t="str">
        <f>+'CO2 - Cálculos'!AC19</f>
        <v>Plásticos</v>
      </c>
      <c r="C65" s="2238">
        <f>+'CO2 - Cálculos'!AF19</f>
        <v>1777.8420000000001</v>
      </c>
      <c r="D65" s="2271"/>
      <c r="E65" s="1886"/>
      <c r="F65" s="1886"/>
      <c r="G65" s="1886"/>
      <c r="H65" s="1886"/>
      <c r="I65" s="1886"/>
      <c r="J65" s="1886"/>
      <c r="K65" s="2298" t="str">
        <f>+'CO2 - Cálculos'!AC64</f>
        <v>Aterro controlado</v>
      </c>
      <c r="L65" s="2238">
        <f>+'CO2 - Cálculos'!AF64</f>
        <v>0</v>
      </c>
      <c r="M65" s="2271"/>
      <c r="N65" s="1886"/>
      <c r="O65" s="1886"/>
      <c r="P65" s="1886"/>
      <c r="Q65" s="1886"/>
      <c r="R65" s="1886"/>
      <c r="S65" s="1886"/>
      <c r="T65" s="1886"/>
    </row>
    <row r="66" spans="1:20" ht="18" customHeight="1" x14ac:dyDescent="0.25">
      <c r="A66" s="1886"/>
      <c r="B66" s="2299" t="str">
        <f>+'CO2 - Cálculos'!AC20</f>
        <v>Vidros</v>
      </c>
      <c r="C66" s="2238">
        <f>+'CO2 - Cálculos'!AF20</f>
        <v>0</v>
      </c>
      <c r="D66" s="2271"/>
      <c r="E66" s="1886"/>
      <c r="F66" s="1886"/>
      <c r="G66" s="1886"/>
      <c r="H66" s="1886"/>
      <c r="I66" s="1886"/>
      <c r="J66" s="1886"/>
      <c r="K66" s="2298" t="str">
        <f>+'CO2 - Cálculos'!AC65</f>
        <v>Aterro sanitário</v>
      </c>
      <c r="L66" s="2238">
        <f>+'CO2 - Cálculos'!AF65</f>
        <v>53980.946707938478</v>
      </c>
      <c r="M66" s="2271"/>
      <c r="N66" s="1886"/>
      <c r="O66" s="1886"/>
      <c r="P66" s="1886"/>
      <c r="Q66" s="1886"/>
      <c r="R66" s="1886"/>
      <c r="S66" s="1886"/>
      <c r="T66" s="1886"/>
    </row>
    <row r="67" spans="1:20" ht="18" customHeight="1" x14ac:dyDescent="0.25">
      <c r="A67" s="1886"/>
      <c r="B67" s="2299" t="str">
        <f>+'CO2 - Cálculos'!AC21</f>
        <v>Metais ferrosos</v>
      </c>
      <c r="C67" s="2238">
        <f>+'CO2 - Cálculos'!AF21</f>
        <v>204.16639999999998</v>
      </c>
      <c r="D67" s="2271"/>
      <c r="E67" s="1886"/>
      <c r="F67" s="1886"/>
      <c r="G67" s="1886"/>
      <c r="H67" s="1886"/>
      <c r="I67" s="1886"/>
      <c r="J67" s="2358"/>
      <c r="K67" s="2298" t="str">
        <f>+'CO2 - Cálculos'!AC66</f>
        <v>Trat. biol + cobertura at.</v>
      </c>
      <c r="L67" s="2238">
        <f>+'CO2 - Cálculos'!AF66</f>
        <v>0</v>
      </c>
      <c r="M67" s="2271"/>
      <c r="N67" s="1886"/>
      <c r="O67" s="1886"/>
      <c r="P67" s="1886"/>
      <c r="Q67" s="1886"/>
      <c r="R67" s="1886"/>
      <c r="S67" s="1886"/>
      <c r="T67" s="1886"/>
    </row>
    <row r="68" spans="1:20" ht="18" customHeight="1" x14ac:dyDescent="0.25">
      <c r="A68" s="1886"/>
      <c r="B68" s="2299" t="str">
        <f>+'CO2 - Cálculos'!AC22</f>
        <v>Alumínio</v>
      </c>
      <c r="C68" s="2238">
        <f>+'CO2 - Cálculos'!AF22</f>
        <v>580.04339999999991</v>
      </c>
      <c r="D68" s="2271"/>
      <c r="E68" s="1886"/>
      <c r="F68" s="1886"/>
      <c r="G68" s="1886"/>
      <c r="H68" s="1886"/>
      <c r="I68" s="1886"/>
      <c r="J68" s="2358"/>
      <c r="K68" s="2298" t="str">
        <f>+'CO2 - Cálculos'!AC67</f>
        <v>CDR seco + rejeito aterro</v>
      </c>
      <c r="L68" s="2238">
        <f>+'CO2 - Cálculos'!AF67</f>
        <v>9878.871077030024</v>
      </c>
      <c r="M68" s="2271"/>
      <c r="N68" s="1886"/>
      <c r="O68" s="1886"/>
      <c r="P68" s="1886"/>
      <c r="Q68" s="1886"/>
      <c r="R68" s="1886"/>
      <c r="S68" s="1886"/>
      <c r="T68" s="1886"/>
    </row>
    <row r="69" spans="1:20" ht="18" customHeight="1" x14ac:dyDescent="0.25">
      <c r="A69" s="2230"/>
      <c r="B69" s="2299" t="str">
        <f>+'CO2 - Cálculos'!AC23</f>
        <v>Têxteis</v>
      </c>
      <c r="C69" s="2238">
        <f>+'CO2 - Cálculos'!AF23</f>
        <v>0</v>
      </c>
      <c r="D69" s="2271"/>
      <c r="E69" s="1886"/>
      <c r="F69" s="1886"/>
      <c r="G69" s="1886"/>
      <c r="H69" s="1886"/>
      <c r="I69" s="1886"/>
      <c r="J69" s="2358"/>
      <c r="K69" s="2298" t="str">
        <f>+'CO2 - Cálculos'!AC68</f>
        <v>CDR seco + trat. biol.</v>
      </c>
      <c r="L69" s="2238">
        <f>+'CO2 - Cálculos'!AF68</f>
        <v>7289.5189941719445</v>
      </c>
      <c r="M69" s="2271"/>
      <c r="N69" s="1886"/>
      <c r="O69" s="1886"/>
      <c r="P69" s="1886"/>
      <c r="Q69" s="1886"/>
      <c r="R69" s="1886"/>
      <c r="S69" s="1886"/>
      <c r="T69" s="1886"/>
    </row>
    <row r="70" spans="1:20" ht="18" customHeight="1" x14ac:dyDescent="0.25">
      <c r="A70" s="1886"/>
      <c r="B70" s="2359" t="s">
        <v>1257</v>
      </c>
      <c r="C70" s="2271"/>
      <c r="D70" s="2236"/>
      <c r="E70" s="1886"/>
      <c r="F70" s="1886"/>
      <c r="G70" s="1886"/>
      <c r="H70" s="1886"/>
      <c r="I70" s="1886"/>
      <c r="J70" s="1886"/>
      <c r="K70" s="2298" t="str">
        <f>+'CO2 - Cálculos'!AC69</f>
        <v>CDR seco + CDR org.</v>
      </c>
      <c r="L70" s="2238">
        <f>+'CO2 - Cálculos'!AF69</f>
        <v>0</v>
      </c>
      <c r="M70" s="2271"/>
      <c r="N70" s="1886"/>
      <c r="O70" s="1886"/>
      <c r="P70" s="1886"/>
      <c r="Q70" s="1886"/>
      <c r="R70" s="1886"/>
      <c r="S70" s="1886"/>
      <c r="T70" s="1886"/>
    </row>
    <row r="71" spans="1:20" ht="18" customHeight="1" x14ac:dyDescent="0.25">
      <c r="A71" s="1886"/>
      <c r="B71" s="2296" t="str">
        <f>+'CO2 - Cálculos'!AC25</f>
        <v>Resíduos de alimentos</v>
      </c>
      <c r="C71" s="2238">
        <f>+'CO2 - Cálculos'!AF25</f>
        <v>0</v>
      </c>
      <c r="D71" s="2271"/>
      <c r="E71" s="1886"/>
      <c r="F71" s="1886"/>
      <c r="G71" s="1886"/>
      <c r="H71" s="1886"/>
      <c r="I71" s="1886"/>
      <c r="J71" s="1886"/>
      <c r="K71" s="2298" t="str">
        <f>+'CO2 - Cálculos'!AC70</f>
        <v>Incineração</v>
      </c>
      <c r="L71" s="2238">
        <f>+'CO2 - Cálculos'!AF70</f>
        <v>0</v>
      </c>
      <c r="M71" s="2271"/>
      <c r="N71" s="1886"/>
      <c r="O71" s="1886"/>
      <c r="P71" s="1886"/>
      <c r="Q71" s="1886"/>
      <c r="R71" s="1886"/>
      <c r="S71" s="1886"/>
      <c r="T71" s="1886"/>
    </row>
    <row r="72" spans="1:20" ht="18" customHeight="1" x14ac:dyDescent="0.25">
      <c r="A72" s="1886"/>
      <c r="B72" s="2296" t="str">
        <f>+'CO2 - Cálculos'!AC26</f>
        <v>Resíduos de jardins e parques</v>
      </c>
      <c r="C72" s="2238">
        <f>+'CO2 - Cálculos'!AF26</f>
        <v>0</v>
      </c>
      <c r="D72" s="2271"/>
      <c r="E72" s="1886"/>
      <c r="F72" s="1886"/>
      <c r="G72" s="1886"/>
      <c r="H72" s="1886"/>
      <c r="I72" s="1886"/>
      <c r="J72" s="1886"/>
      <c r="K72" s="2360" t="s">
        <v>1257</v>
      </c>
      <c r="L72" s="2271"/>
      <c r="M72" s="2271"/>
      <c r="N72" s="1886"/>
      <c r="O72" s="1886"/>
      <c r="P72" s="1886"/>
      <c r="Q72" s="1886"/>
      <c r="R72" s="1886"/>
      <c r="S72" s="1886"/>
      <c r="T72" s="1886"/>
    </row>
    <row r="73" spans="1:20" ht="18" customHeight="1" x14ac:dyDescent="0.25">
      <c r="A73" s="1886"/>
      <c r="B73" s="2296" t="str">
        <f>+'CO2 - Cálculos'!AC27</f>
        <v>Papel, papelão</v>
      </c>
      <c r="C73" s="2238">
        <f>+'CO2 - Cálculos'!AF27</f>
        <v>-9859.1469840000009</v>
      </c>
      <c r="D73" s="2271"/>
      <c r="E73" s="1886"/>
      <c r="F73" s="1886"/>
      <c r="G73" s="1886"/>
      <c r="H73" s="1886"/>
      <c r="I73" s="1886"/>
      <c r="J73" s="1886"/>
      <c r="K73" s="2298" t="str">
        <f>+'CO2 - Cálculos'!AC72</f>
        <v>Resíduos dispersos</v>
      </c>
      <c r="L73" s="2238">
        <f>+'CO2 - Cálculos'!AF72</f>
        <v>0</v>
      </c>
      <c r="M73" s="2271"/>
      <c r="N73" s="1886"/>
      <c r="O73" s="1886"/>
      <c r="P73" s="1886"/>
      <c r="Q73" s="1886"/>
      <c r="R73" s="1886"/>
      <c r="S73" s="1886"/>
      <c r="T73" s="1886"/>
    </row>
    <row r="74" spans="1:20" ht="18" customHeight="1" x14ac:dyDescent="0.25">
      <c r="A74" s="1886"/>
      <c r="B74" s="2296" t="str">
        <f>+'CO2 - Cálculos'!AC28</f>
        <v>Plásticos</v>
      </c>
      <c r="C74" s="2238">
        <f>+'CO2 - Cálculos'!AF28</f>
        <v>-8281.2747600000002</v>
      </c>
      <c r="D74" s="2271"/>
      <c r="E74" s="1886"/>
      <c r="F74" s="1886"/>
      <c r="G74" s="1886"/>
      <c r="H74" s="1886"/>
      <c r="I74" s="1886"/>
      <c r="J74" s="1886"/>
      <c r="K74" s="2298" t="str">
        <f>+'CO2 - Cálculos'!AC73</f>
        <v>Queima a céu aberto</v>
      </c>
      <c r="L74" s="2238">
        <f>+'CO2 - Cálculos'!AF73</f>
        <v>0</v>
      </c>
      <c r="M74" s="2271"/>
      <c r="N74" s="1886"/>
      <c r="O74" s="1886"/>
      <c r="P74" s="1886"/>
      <c r="Q74" s="1886"/>
      <c r="R74" s="1886"/>
      <c r="S74" s="1886"/>
      <c r="T74" s="1886"/>
    </row>
    <row r="75" spans="1:20" ht="18" customHeight="1" x14ac:dyDescent="0.25">
      <c r="A75" s="1886"/>
      <c r="B75" s="2296" t="str">
        <f>+'CO2 - Cálculos'!AC29</f>
        <v>Vidros</v>
      </c>
      <c r="C75" s="2238">
        <f>+'CO2 - Cálculos'!AF29</f>
        <v>0</v>
      </c>
      <c r="D75" s="2271"/>
      <c r="E75" s="1886"/>
      <c r="F75" s="1886"/>
      <c r="G75" s="1886"/>
      <c r="H75" s="1886"/>
      <c r="I75" s="1886"/>
      <c r="J75" s="1886"/>
      <c r="K75" s="2298" t="str">
        <f>+'CO2 - Cálculos'!AC74</f>
        <v>Lixão não controlado</v>
      </c>
      <c r="L75" s="2238">
        <f>+'CO2 - Cálculos'!AF74</f>
        <v>0</v>
      </c>
      <c r="M75" s="2271"/>
      <c r="N75" s="1886"/>
      <c r="O75" s="1886"/>
      <c r="P75" s="1886"/>
      <c r="Q75" s="1886"/>
      <c r="R75" s="1886"/>
      <c r="S75" s="1886"/>
      <c r="T75" s="1886"/>
    </row>
    <row r="76" spans="1:20" ht="18" customHeight="1" x14ac:dyDescent="0.25">
      <c r="A76" s="1886"/>
      <c r="B76" s="2296" t="str">
        <f>+'CO2 - Cálculos'!AC30</f>
        <v>Metais ferrosos</v>
      </c>
      <c r="C76" s="2238">
        <f>+'CO2 - Cálculos'!AF30</f>
        <v>-5461.4512000000004</v>
      </c>
      <c r="D76" s="2271"/>
      <c r="E76" s="1886"/>
      <c r="F76" s="1886"/>
      <c r="G76" s="1886"/>
      <c r="H76" s="1886"/>
      <c r="I76" s="1886"/>
      <c r="J76" s="1886"/>
      <c r="K76" s="2298" t="str">
        <f>+'CO2 - Cálculos'!AC75</f>
        <v>Aterro controlado</v>
      </c>
      <c r="L76" s="2238">
        <f>+'CO2 - Cálculos'!AF75</f>
        <v>0</v>
      </c>
      <c r="M76" s="2271"/>
      <c r="N76" s="1886"/>
      <c r="O76" s="1886"/>
      <c r="P76" s="1886"/>
      <c r="Q76" s="1886"/>
      <c r="R76" s="1886"/>
      <c r="S76" s="1886"/>
      <c r="T76" s="1886"/>
    </row>
    <row r="77" spans="1:20" ht="18" customHeight="1" x14ac:dyDescent="0.25">
      <c r="A77" s="1886"/>
      <c r="B77" s="2296" t="str">
        <f>+'CO2 - Cálculos'!AC31</f>
        <v>Alumínio</v>
      </c>
      <c r="C77" s="2238">
        <f>+'CO2 - Cálculos'!AF31</f>
        <v>-8222.1359999999986</v>
      </c>
      <c r="D77" s="2271"/>
      <c r="E77" s="1886"/>
      <c r="F77" s="1886"/>
      <c r="G77" s="1886"/>
      <c r="H77" s="1886"/>
      <c r="I77" s="1886"/>
      <c r="J77" s="2358"/>
      <c r="K77" s="2298" t="str">
        <f>+'CO2 - Cálculos'!AC76</f>
        <v>Aterro sanitário</v>
      </c>
      <c r="L77" s="2238">
        <f>+'CO2 - Cálculos'!AF76</f>
        <v>0</v>
      </c>
      <c r="M77" s="2271"/>
      <c r="N77" s="1886"/>
      <c r="O77" s="1886"/>
      <c r="P77" s="1886"/>
      <c r="Q77" s="1886"/>
      <c r="R77" s="1886"/>
      <c r="S77" s="1886"/>
      <c r="T77" s="1886"/>
    </row>
    <row r="78" spans="1:20" ht="18" customHeight="1" x14ac:dyDescent="0.25">
      <c r="A78" s="1886"/>
      <c r="B78" s="2296" t="str">
        <f>+'CO2 - Cálculos'!AC32</f>
        <v>Têxteis</v>
      </c>
      <c r="C78" s="2238">
        <f>+'CO2 - Cálculos'!AF32</f>
        <v>0</v>
      </c>
      <c r="D78" s="2271"/>
      <c r="E78" s="1886"/>
      <c r="F78" s="1886"/>
      <c r="G78" s="1886"/>
      <c r="H78" s="1886"/>
      <c r="I78" s="1886"/>
      <c r="K78" s="2298" t="str">
        <f>+'CO2 - Cálculos'!AC77</f>
        <v>Trat. biol + cobertura at.</v>
      </c>
      <c r="L78" s="2238">
        <f>+'CO2 - Cálculos'!AF77</f>
        <v>0</v>
      </c>
      <c r="M78" s="2271"/>
      <c r="N78" s="1886"/>
      <c r="O78" s="1886"/>
      <c r="P78" s="1886"/>
      <c r="Q78" s="1886"/>
      <c r="R78" s="1886"/>
      <c r="S78" s="1886"/>
      <c r="T78" s="1886"/>
    </row>
    <row r="79" spans="1:20" ht="18" customHeight="1" x14ac:dyDescent="0.25">
      <c r="A79" s="1886"/>
      <c r="B79" s="2361" t="s">
        <v>1258</v>
      </c>
      <c r="C79" s="2271"/>
      <c r="D79" s="2236"/>
      <c r="E79" s="1886"/>
      <c r="F79" s="1886"/>
      <c r="G79" s="1886"/>
      <c r="H79" s="1886"/>
      <c r="I79" s="1886"/>
      <c r="J79" s="2358"/>
      <c r="K79" s="2298" t="str">
        <f>+'CO2 - Cálculos'!AC78</f>
        <v>CDR seco + rejeito aterro</v>
      </c>
      <c r="L79" s="2238">
        <f>+'CO2 - Cálculos'!AF78</f>
        <v>-8213.3557915298534</v>
      </c>
      <c r="M79" s="2271"/>
      <c r="N79" s="1886"/>
      <c r="O79" s="1886"/>
      <c r="P79" s="1886"/>
      <c r="Q79" s="1886"/>
      <c r="R79" s="1886"/>
      <c r="S79" s="1886"/>
      <c r="T79" s="1886"/>
    </row>
    <row r="80" spans="1:20" ht="18" customHeight="1" x14ac:dyDescent="0.25">
      <c r="A80" s="1886"/>
      <c r="B80" s="2361" t="s">
        <v>1259</v>
      </c>
      <c r="C80" s="2271"/>
      <c r="D80" s="2238">
        <f>SUM(C62:C69,C71:C78)</f>
        <v>-21262.545896</v>
      </c>
      <c r="E80" s="1886"/>
      <c r="F80" s="1886"/>
      <c r="G80" s="1886"/>
      <c r="H80" s="1886"/>
      <c r="I80" s="1886"/>
      <c r="J80" s="1886"/>
      <c r="K80" s="2298" t="str">
        <f>+'CO2 - Cálculos'!AC79</f>
        <v>CDR seco + trat. biol.</v>
      </c>
      <c r="L80" s="2238">
        <f>+'CO2 - Cálculos'!AF79</f>
        <v>-41186.708432916232</v>
      </c>
      <c r="M80" s="2271"/>
      <c r="N80" s="1886"/>
      <c r="O80" s="1886"/>
      <c r="P80" s="1886"/>
      <c r="Q80" s="1886"/>
      <c r="R80" s="1886"/>
      <c r="S80" s="1886"/>
      <c r="T80" s="1886"/>
    </row>
    <row r="81" spans="1:20" ht="14.25" x14ac:dyDescent="0.25">
      <c r="A81" s="1886"/>
      <c r="B81" s="1886"/>
      <c r="C81" s="1886"/>
      <c r="D81" s="1886"/>
      <c r="E81" s="1886"/>
      <c r="F81" s="1886"/>
      <c r="G81" s="1886"/>
      <c r="H81" s="1886"/>
      <c r="I81" s="1886"/>
      <c r="J81" s="1886"/>
      <c r="K81" s="2298" t="str">
        <f>+'CO2 - Cálculos'!AC80</f>
        <v>CDR seco + CDR org.</v>
      </c>
      <c r="L81" s="2238">
        <f>+'CO2 - Cálculos'!AF80</f>
        <v>0</v>
      </c>
      <c r="M81" s="2271"/>
      <c r="N81" s="1886"/>
      <c r="O81" s="1886"/>
      <c r="P81" s="1886"/>
      <c r="Q81" s="1886"/>
      <c r="R81" s="1886"/>
      <c r="S81" s="1886"/>
      <c r="T81" s="1886"/>
    </row>
    <row r="82" spans="1:20" ht="14.25" x14ac:dyDescent="0.25">
      <c r="A82" s="1886"/>
      <c r="B82" s="1886"/>
      <c r="C82" s="1886"/>
      <c r="D82" s="1886"/>
      <c r="E82" s="2263"/>
      <c r="F82" s="1886"/>
      <c r="G82" s="1886"/>
      <c r="H82" s="1886"/>
      <c r="I82" s="1886"/>
      <c r="J82" s="1886"/>
      <c r="K82" s="2298" t="str">
        <f>+'CO2 - Cálculos'!AC81</f>
        <v>Incineração</v>
      </c>
      <c r="L82" s="2238">
        <f>+'CO2 - Cálculos'!AF81</f>
        <v>0</v>
      </c>
      <c r="M82" s="2271"/>
      <c r="N82" s="1886"/>
      <c r="O82" s="1886"/>
      <c r="P82" s="1886"/>
      <c r="Q82" s="1886"/>
      <c r="R82" s="1886"/>
      <c r="S82" s="1886"/>
      <c r="T82" s="1886"/>
    </row>
    <row r="83" spans="1:20" ht="14.25" x14ac:dyDescent="0.25">
      <c r="A83" s="1886"/>
      <c r="B83" s="1886"/>
      <c r="C83" s="1886"/>
      <c r="D83" s="1886"/>
      <c r="E83" s="2263"/>
      <c r="F83" s="1886"/>
      <c r="G83" s="1886"/>
      <c r="H83" s="1886"/>
      <c r="I83" s="1886"/>
      <c r="J83" s="1886"/>
      <c r="K83" s="2300" t="s">
        <v>1258</v>
      </c>
      <c r="L83" s="2271"/>
      <c r="M83" s="2271"/>
      <c r="N83" s="1886"/>
      <c r="O83" s="1886"/>
      <c r="P83" s="1886"/>
      <c r="Q83" s="1886"/>
      <c r="R83" s="1886"/>
      <c r="S83" s="1886"/>
      <c r="T83" s="1886"/>
    </row>
    <row r="84" spans="1:20" ht="14.25" x14ac:dyDescent="0.25">
      <c r="A84" s="1886"/>
      <c r="B84" s="1886"/>
      <c r="C84" s="1886"/>
      <c r="D84" s="1886"/>
      <c r="E84" s="2263"/>
      <c r="F84" s="1886"/>
      <c r="G84" s="1886"/>
      <c r="H84" s="1886"/>
      <c r="I84" s="1886"/>
      <c r="J84" s="1886"/>
      <c r="K84" s="2300" t="s">
        <v>1259</v>
      </c>
      <c r="L84" s="2271"/>
      <c r="M84" s="2238">
        <f>SUM(L62:L71,L73:L82)</f>
        <v>21749.272554694362</v>
      </c>
      <c r="N84" s="1886"/>
      <c r="O84" s="1886"/>
      <c r="P84" s="1886"/>
      <c r="Q84" s="1886"/>
      <c r="R84" s="1886"/>
      <c r="S84" s="1886"/>
      <c r="T84" s="1886"/>
    </row>
    <row r="85" spans="1:20" x14ac:dyDescent="0.2">
      <c r="A85" s="1886"/>
      <c r="B85" s="1886"/>
      <c r="C85" s="1886"/>
      <c r="D85" s="1886"/>
      <c r="E85" s="1886"/>
      <c r="F85" s="1886"/>
      <c r="G85" s="1886"/>
      <c r="H85" s="1886"/>
      <c r="I85" s="1886"/>
      <c r="J85" s="1886"/>
      <c r="K85" s="1886"/>
      <c r="L85" s="1886"/>
      <c r="M85" s="1886"/>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row r="121" spans="1:20" x14ac:dyDescent="0.2">
      <c r="A121" s="1886"/>
      <c r="B121" s="1886"/>
      <c r="C121" s="1886"/>
      <c r="D121" s="1886"/>
      <c r="E121" s="1886"/>
      <c r="F121" s="1886"/>
      <c r="G121" s="1886"/>
      <c r="H121" s="1886"/>
      <c r="I121" s="1886"/>
      <c r="J121" s="1886"/>
      <c r="K121" s="1886"/>
      <c r="L121" s="1886"/>
      <c r="M121" s="1886"/>
      <c r="N121" s="1886"/>
      <c r="O121" s="1886"/>
      <c r="P121" s="1886"/>
      <c r="Q121" s="1886"/>
      <c r="R121" s="1886"/>
      <c r="S121" s="1886"/>
      <c r="T121"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B0493-7665-4360-8D31-FC78D6B6E97B}">
  <dimension ref="A1:Z121"/>
  <sheetViews>
    <sheetView zoomScale="70" zoomScaleNormal="70" zoomScalePageLayoutView="30" workbookViewId="0">
      <selection activeCell="L13" sqref="L13"/>
    </sheetView>
  </sheetViews>
  <sheetFormatPr defaultColWidth="11.42578125" defaultRowHeight="12.75" x14ac:dyDescent="0.2"/>
  <cols>
    <col min="1" max="1" width="8.42578125" style="1842" customWidth="1"/>
    <col min="2" max="2" width="37.42578125" style="1842" customWidth="1"/>
    <col min="3" max="3" width="17" style="1842" customWidth="1"/>
    <col min="4" max="4" width="15.42578125" style="1842" bestFit="1" customWidth="1"/>
    <col min="5" max="5" width="16.140625" style="1842" customWidth="1"/>
    <col min="6" max="7" width="11.42578125" style="1842"/>
    <col min="8" max="8" width="17.7109375" style="1842" bestFit="1" customWidth="1"/>
    <col min="9" max="9" width="22.85546875" style="1842" bestFit="1" customWidth="1"/>
    <col min="10" max="10" width="12" style="1842" customWidth="1"/>
    <col min="11" max="11" width="34.42578125" style="1842" customWidth="1"/>
    <col min="12" max="12" width="19.5703125" style="1842" bestFit="1" customWidth="1"/>
    <col min="13" max="13" width="10.85546875" style="1842" customWidth="1"/>
    <col min="14" max="16384" width="11.42578125" style="1842"/>
  </cols>
  <sheetData>
    <row r="1" spans="1:20" s="2225" customFormat="1" ht="26.1" customHeight="1" x14ac:dyDescent="0.2">
      <c r="A1" s="1908" t="s">
        <v>1237</v>
      </c>
      <c r="B1" s="1981"/>
      <c r="C1" s="1981"/>
      <c r="D1" s="1981"/>
      <c r="E1" s="1981"/>
      <c r="F1" s="2301"/>
      <c r="G1" s="2301"/>
      <c r="H1" s="2301"/>
      <c r="I1" s="2301"/>
      <c r="J1" s="2301"/>
      <c r="K1" s="2224"/>
      <c r="L1" s="2224"/>
      <c r="M1" s="2224"/>
      <c r="N1" s="2224"/>
      <c r="O1" s="2224"/>
      <c r="P1" s="2224"/>
      <c r="Q1" s="2224"/>
      <c r="R1" s="2224"/>
      <c r="S1" s="2224"/>
      <c r="T1" s="2224"/>
    </row>
    <row r="2" spans="1:20" ht="14.25" customHeight="1" x14ac:dyDescent="0.25">
      <c r="A2" s="2226"/>
      <c r="B2" s="2227"/>
      <c r="C2" s="2026"/>
      <c r="D2" s="2026"/>
      <c r="E2" s="2026"/>
      <c r="F2" s="2026"/>
      <c r="G2" s="2026"/>
      <c r="H2" s="2026"/>
      <c r="I2" s="2026"/>
      <c r="J2" s="2026"/>
      <c r="K2" s="1886"/>
      <c r="L2" s="1886"/>
      <c r="M2" s="1886"/>
      <c r="N2" s="1886"/>
      <c r="O2" s="1886"/>
      <c r="P2" s="1886"/>
      <c r="Q2" s="1886"/>
      <c r="R2" s="1886"/>
      <c r="S2" s="1886"/>
      <c r="T2" s="1886"/>
    </row>
    <row r="3" spans="1:20" ht="18" customHeight="1" x14ac:dyDescent="0.2">
      <c r="A3" s="1886"/>
      <c r="B3" s="2302" t="s">
        <v>1238</v>
      </c>
      <c r="C3" s="2303">
        <f>+'CO2 - Cálculos'!AE58</f>
        <v>146000</v>
      </c>
      <c r="D3" s="2230"/>
      <c r="E3" s="2230"/>
      <c r="F3" s="1886"/>
      <c r="G3" s="1886"/>
      <c r="H3" s="1886"/>
      <c r="I3" s="1886"/>
      <c r="J3" s="1886"/>
      <c r="K3" s="1886"/>
      <c r="L3" s="1886"/>
      <c r="M3" s="1886"/>
      <c r="N3" s="1886"/>
      <c r="O3" s="1886"/>
      <c r="P3" s="1886"/>
      <c r="Q3" s="1886"/>
      <c r="R3" s="1886"/>
      <c r="S3" s="1886"/>
      <c r="T3" s="1886"/>
    </row>
    <row r="4" spans="1:20" ht="18" customHeight="1" x14ac:dyDescent="0.2">
      <c r="A4" s="1886"/>
      <c r="B4" s="1904"/>
      <c r="C4" s="2304"/>
      <c r="D4" s="2233"/>
      <c r="E4" s="2233"/>
      <c r="F4" s="1886"/>
      <c r="G4" s="1886"/>
      <c r="H4" s="1886"/>
      <c r="I4" s="1886"/>
      <c r="J4" s="1886"/>
      <c r="K4" s="1886"/>
      <c r="L4" s="1886"/>
      <c r="M4" s="2305"/>
      <c r="N4" s="2305"/>
      <c r="O4" s="2305"/>
      <c r="P4" s="2305"/>
      <c r="Q4" s="2305"/>
      <c r="R4" s="2305"/>
      <c r="S4" s="1886"/>
      <c r="T4" s="1886"/>
    </row>
    <row r="5" spans="1:20" ht="18" customHeight="1" x14ac:dyDescent="0.25">
      <c r="A5" s="1886"/>
      <c r="B5" s="2302" t="s">
        <v>1239</v>
      </c>
      <c r="C5" s="2303">
        <f>+'CO2 - Cálculos'!AE13</f>
        <v>14727.458000000001</v>
      </c>
      <c r="D5" s="2230"/>
      <c r="E5" s="2230"/>
      <c r="F5" s="1886"/>
      <c r="G5" s="1886"/>
      <c r="H5" s="1886"/>
      <c r="I5" s="1886"/>
      <c r="J5" s="1886"/>
      <c r="K5" s="1886"/>
      <c r="L5" s="1953"/>
      <c r="M5" s="1953"/>
      <c r="N5" s="1953"/>
      <c r="O5" s="2962" t="s">
        <v>1264</v>
      </c>
      <c r="P5" s="2963"/>
      <c r="Q5" s="1953"/>
      <c r="R5" s="1953"/>
      <c r="S5" s="1886"/>
      <c r="T5" s="1886"/>
    </row>
    <row r="6" spans="1:20" ht="18" customHeight="1" x14ac:dyDescent="0.25">
      <c r="A6" s="1886"/>
      <c r="B6" s="2306"/>
      <c r="C6" s="2307"/>
      <c r="D6" s="2230"/>
      <c r="E6" s="2230"/>
      <c r="F6" s="1886"/>
      <c r="G6" s="1886"/>
      <c r="H6" s="1886"/>
      <c r="I6" s="1886"/>
      <c r="J6" s="1886"/>
      <c r="K6" s="1886"/>
      <c r="L6" s="1953"/>
      <c r="M6" s="1953"/>
      <c r="N6" s="1953"/>
      <c r="O6" s="2964">
        <f>+C3</f>
        <v>146000</v>
      </c>
      <c r="P6" s="2965"/>
      <c r="Q6" s="1953"/>
      <c r="R6" s="1953"/>
      <c r="S6" s="1886"/>
      <c r="T6" s="1886"/>
    </row>
    <row r="7" spans="1:20" ht="18" customHeight="1" x14ac:dyDescent="0.25">
      <c r="A7" s="1886"/>
      <c r="B7" s="2222" t="s">
        <v>1108</v>
      </c>
      <c r="C7" s="2308">
        <f>+'CO2 - Cálculos'!AG5</f>
        <v>0</v>
      </c>
      <c r="D7" s="2230"/>
      <c r="E7" s="2230"/>
      <c r="F7" s="1886"/>
      <c r="G7" s="1886"/>
      <c r="H7" s="1886"/>
      <c r="I7" s="1886"/>
      <c r="J7" s="1886"/>
      <c r="K7" s="1886"/>
      <c r="L7" s="1953"/>
      <c r="M7" s="1973"/>
      <c r="N7" s="1953"/>
      <c r="O7" s="1953"/>
      <c r="P7" s="1953"/>
      <c r="Q7" s="1953"/>
      <c r="R7" s="1953"/>
      <c r="S7" s="1886"/>
      <c r="T7" s="1886"/>
    </row>
    <row r="8" spans="1:20" ht="18" customHeight="1" x14ac:dyDescent="0.2">
      <c r="A8" s="1886"/>
      <c r="B8" s="2222" t="s">
        <v>1109</v>
      </c>
      <c r="C8" s="2308">
        <f>+'CO2 - Cálculos'!AG6</f>
        <v>0</v>
      </c>
      <c r="D8" s="2230"/>
      <c r="E8" s="2230"/>
      <c r="F8" s="1886"/>
      <c r="G8" s="1886"/>
      <c r="H8" s="1886"/>
      <c r="I8" s="1886"/>
      <c r="J8" s="1886"/>
      <c r="K8" s="1886"/>
      <c r="L8" s="2309"/>
      <c r="M8" s="2309"/>
      <c r="N8" s="2309"/>
      <c r="O8" s="2309"/>
      <c r="P8" s="2309"/>
      <c r="Q8" s="2309"/>
      <c r="R8" s="2309"/>
      <c r="S8" s="1886"/>
      <c r="T8" s="1886"/>
    </row>
    <row r="9" spans="1:20" ht="18" customHeight="1" x14ac:dyDescent="0.2">
      <c r="A9" s="1886"/>
      <c r="B9" s="2222" t="s">
        <v>1110</v>
      </c>
      <c r="C9" s="2308">
        <f>+'CO2 - Cálculos'!AG7</f>
        <v>6368.9580000000005</v>
      </c>
      <c r="D9" s="2230"/>
      <c r="E9" s="2230"/>
      <c r="F9" s="1886"/>
      <c r="G9" s="1886"/>
      <c r="H9" s="1886"/>
      <c r="I9" s="1886"/>
      <c r="J9" s="1886"/>
      <c r="K9" s="1886"/>
      <c r="L9" s="2309"/>
      <c r="M9" s="1862" t="s">
        <v>1048</v>
      </c>
      <c r="N9" s="2310">
        <f>+C5</f>
        <v>14727.458000000001</v>
      </c>
      <c r="O9" s="2311">
        <f>+N9/O6</f>
        <v>0.100873</v>
      </c>
      <c r="P9" s="2312">
        <f>+Q9/O6</f>
        <v>0.8991269999999999</v>
      </c>
      <c r="Q9" s="2313">
        <f>+C16</f>
        <v>131272.54199999999</v>
      </c>
      <c r="R9" s="2314" t="s">
        <v>1241</v>
      </c>
      <c r="S9" s="1886"/>
      <c r="T9" s="1886"/>
    </row>
    <row r="10" spans="1:20" ht="18" customHeight="1" x14ac:dyDescent="0.2">
      <c r="A10" s="1886"/>
      <c r="B10" s="2222" t="s">
        <v>1111</v>
      </c>
      <c r="C10" s="2308">
        <f>+'CO2 - Cálculos'!AG8</f>
        <v>4336.2</v>
      </c>
      <c r="D10" s="2230"/>
      <c r="E10" s="2230"/>
      <c r="F10" s="1886"/>
      <c r="G10" s="1886"/>
      <c r="H10" s="1886"/>
      <c r="I10" s="1886"/>
      <c r="J10" s="1886"/>
      <c r="K10" s="1886"/>
      <c r="L10" s="2309"/>
      <c r="M10" s="2315"/>
      <c r="N10" s="2316"/>
      <c r="O10" s="2309"/>
      <c r="P10" s="2309"/>
      <c r="Q10" s="2316"/>
      <c r="R10" s="2315"/>
      <c r="S10" s="1886"/>
      <c r="T10" s="1886"/>
    </row>
    <row r="11" spans="1:20" ht="18" customHeight="1" x14ac:dyDescent="0.2">
      <c r="A11" s="1886"/>
      <c r="B11" s="2222" t="s">
        <v>50</v>
      </c>
      <c r="C11" s="2308">
        <f>+'CO2 - Cálculos'!AG9</f>
        <v>0</v>
      </c>
      <c r="D11" s="2230"/>
      <c r="E11" s="2230"/>
      <c r="F11" s="1886"/>
      <c r="G11" s="1886"/>
      <c r="H11" s="1886"/>
      <c r="I11" s="1886"/>
      <c r="J11" s="1886"/>
      <c r="K11" s="1886"/>
      <c r="L11" s="2309"/>
      <c r="M11" s="1862" t="str">
        <f t="shared" ref="M11:N18" si="0">+B7</f>
        <v>Resíduos de alimentos</v>
      </c>
      <c r="N11" s="2317">
        <f t="shared" si="0"/>
        <v>0</v>
      </c>
      <c r="O11" s="2318">
        <f t="shared" ref="O11:O18" si="1">+N11/$N$9</f>
        <v>0</v>
      </c>
      <c r="P11" s="2319">
        <f t="shared" ref="P11:P19" si="2">+Q11/$Q$9</f>
        <v>0</v>
      </c>
      <c r="Q11" s="2320">
        <f t="shared" ref="Q11:Q19" si="3">+C18</f>
        <v>0</v>
      </c>
      <c r="R11" s="2314" t="str">
        <f t="shared" ref="R11:R19" si="4">+B18</f>
        <v>Resíduos dispersos</v>
      </c>
      <c r="S11" s="1886"/>
      <c r="T11" s="1886"/>
    </row>
    <row r="12" spans="1:20" ht="18" customHeight="1" x14ac:dyDescent="0.2">
      <c r="A12" s="1886"/>
      <c r="B12" s="2222" t="s">
        <v>1112</v>
      </c>
      <c r="C12" s="2308">
        <f>+'CO2 - Cálculos'!AG10</f>
        <v>3190.1</v>
      </c>
      <c r="D12" s="2230"/>
      <c r="E12" s="2230"/>
      <c r="F12" s="1886"/>
      <c r="G12" s="1886"/>
      <c r="H12" s="1886"/>
      <c r="I12" s="1886"/>
      <c r="J12" s="1886"/>
      <c r="K12" s="1886"/>
      <c r="L12" s="2309"/>
      <c r="M12" s="1862" t="str">
        <f t="shared" si="0"/>
        <v>Resíduos de jardins e parques</v>
      </c>
      <c r="N12" s="2317">
        <f t="shared" si="0"/>
        <v>0</v>
      </c>
      <c r="O12" s="2318">
        <f t="shared" si="1"/>
        <v>0</v>
      </c>
      <c r="P12" s="2319">
        <f t="shared" si="2"/>
        <v>0</v>
      </c>
      <c r="Q12" s="2320">
        <f t="shared" si="3"/>
        <v>0</v>
      </c>
      <c r="R12" s="2314" t="str">
        <f t="shared" si="4"/>
        <v>Queima a céu aberto</v>
      </c>
      <c r="S12" s="1886"/>
      <c r="T12" s="1886"/>
    </row>
    <row r="13" spans="1:20" ht="18" customHeight="1" x14ac:dyDescent="0.2">
      <c r="A13" s="1886"/>
      <c r="B13" s="2222" t="s">
        <v>1113</v>
      </c>
      <c r="C13" s="2308">
        <f>+'CO2 - Cálculos'!AG11</f>
        <v>832.19999999999993</v>
      </c>
      <c r="D13" s="2230"/>
      <c r="E13" s="2230"/>
      <c r="F13" s="1886"/>
      <c r="G13" s="1886"/>
      <c r="H13" s="1886"/>
      <c r="I13" s="1886"/>
      <c r="J13" s="1886"/>
      <c r="K13" s="1886"/>
      <c r="L13" s="2309"/>
      <c r="M13" s="1862" t="str">
        <f t="shared" si="0"/>
        <v>Papel, papelão</v>
      </c>
      <c r="N13" s="2317">
        <f t="shared" si="0"/>
        <v>6368.9580000000005</v>
      </c>
      <c r="O13" s="2318">
        <f t="shared" si="1"/>
        <v>0.4324546707245745</v>
      </c>
      <c r="P13" s="2319">
        <f t="shared" si="2"/>
        <v>0</v>
      </c>
      <c r="Q13" s="2320">
        <f t="shared" si="3"/>
        <v>0</v>
      </c>
      <c r="R13" s="2314" t="str">
        <f t="shared" si="4"/>
        <v>Lixão não controlado</v>
      </c>
      <c r="S13" s="1886"/>
      <c r="T13" s="1886"/>
    </row>
    <row r="14" spans="1:20" ht="18" customHeight="1" x14ac:dyDescent="0.2">
      <c r="A14" s="1886"/>
      <c r="B14" s="2222" t="s">
        <v>1114</v>
      </c>
      <c r="C14" s="2308">
        <f>+'CO2 - Cálculos'!AG12</f>
        <v>0</v>
      </c>
      <c r="D14" s="2230"/>
      <c r="E14" s="2230"/>
      <c r="F14" s="1886"/>
      <c r="G14" s="1886"/>
      <c r="H14" s="1886"/>
      <c r="I14" s="1886"/>
      <c r="J14" s="1886"/>
      <c r="K14" s="1886"/>
      <c r="L14" s="2309"/>
      <c r="M14" s="1862" t="str">
        <f t="shared" si="0"/>
        <v>Plásticos</v>
      </c>
      <c r="N14" s="2317">
        <f t="shared" si="0"/>
        <v>4336.2</v>
      </c>
      <c r="O14" s="2318">
        <f t="shared" si="1"/>
        <v>0.29442962933589761</v>
      </c>
      <c r="P14" s="2319">
        <f t="shared" si="2"/>
        <v>0</v>
      </c>
      <c r="Q14" s="2320">
        <f t="shared" si="3"/>
        <v>0</v>
      </c>
      <c r="R14" s="2314" t="str">
        <f t="shared" si="4"/>
        <v>Aterro controlado</v>
      </c>
      <c r="S14" s="1886"/>
      <c r="T14" s="1886"/>
    </row>
    <row r="15" spans="1:20" ht="18" customHeight="1" x14ac:dyDescent="0.2">
      <c r="A15" s="1886"/>
      <c r="B15" s="1904"/>
      <c r="C15" s="2304"/>
      <c r="D15" s="2230"/>
      <c r="E15" s="2230"/>
      <c r="F15" s="1886"/>
      <c r="G15" s="1886"/>
      <c r="H15" s="1886"/>
      <c r="I15" s="1886"/>
      <c r="J15" s="1886"/>
      <c r="K15" s="1886"/>
      <c r="L15" s="2309"/>
      <c r="M15" s="1862" t="str">
        <f t="shared" si="0"/>
        <v>Vidros</v>
      </c>
      <c r="N15" s="2317">
        <f t="shared" si="0"/>
        <v>0</v>
      </c>
      <c r="O15" s="2318">
        <f t="shared" si="1"/>
        <v>0</v>
      </c>
      <c r="P15" s="2319">
        <f t="shared" si="2"/>
        <v>0.35</v>
      </c>
      <c r="Q15" s="2320">
        <f t="shared" si="3"/>
        <v>45945.389699999992</v>
      </c>
      <c r="R15" s="2314" t="str">
        <f t="shared" si="4"/>
        <v>Aterro sanitário</v>
      </c>
      <c r="S15" s="1886"/>
      <c r="T15" s="1886"/>
    </row>
    <row r="16" spans="1:20" ht="18" customHeight="1" x14ac:dyDescent="0.2">
      <c r="A16" s="1886"/>
      <c r="B16" s="1975" t="s">
        <v>1265</v>
      </c>
      <c r="C16" s="2303">
        <f>+'CO2 - Cálculos'!AE57</f>
        <v>131272.54199999999</v>
      </c>
      <c r="D16" s="2230"/>
      <c r="E16" s="2230"/>
      <c r="F16" s="1886"/>
      <c r="G16" s="1886"/>
      <c r="H16" s="1886"/>
      <c r="I16" s="1886"/>
      <c r="J16" s="1886"/>
      <c r="K16" s="1886"/>
      <c r="L16" s="2309"/>
      <c r="M16" s="1862" t="str">
        <f t="shared" si="0"/>
        <v>Metais ferrosos</v>
      </c>
      <c r="N16" s="2317">
        <f t="shared" si="0"/>
        <v>3190.1</v>
      </c>
      <c r="O16" s="2318">
        <f t="shared" si="1"/>
        <v>0.21660900340031525</v>
      </c>
      <c r="P16" s="2319">
        <f t="shared" si="2"/>
        <v>0</v>
      </c>
      <c r="Q16" s="2320">
        <f t="shared" si="3"/>
        <v>0</v>
      </c>
      <c r="R16" s="2314" t="str">
        <f t="shared" si="4"/>
        <v>Trat. biol + cobertura at.</v>
      </c>
      <c r="S16" s="1886"/>
      <c r="T16" s="1886"/>
    </row>
    <row r="17" spans="1:26" ht="18" customHeight="1" x14ac:dyDescent="0.2">
      <c r="A17" s="1886"/>
      <c r="B17" s="2306"/>
      <c r="C17" s="2307"/>
      <c r="D17" s="2230"/>
      <c r="E17" s="2230"/>
      <c r="F17" s="1886"/>
      <c r="G17" s="1886"/>
      <c r="H17" s="1886"/>
      <c r="I17" s="1886"/>
      <c r="J17" s="1886"/>
      <c r="K17" s="1886"/>
      <c r="L17" s="2309"/>
      <c r="M17" s="1862" t="str">
        <f t="shared" si="0"/>
        <v>Alumínio</v>
      </c>
      <c r="N17" s="2317">
        <f t="shared" si="0"/>
        <v>832.19999999999993</v>
      </c>
      <c r="O17" s="2318">
        <f t="shared" si="1"/>
        <v>5.650669653921267E-2</v>
      </c>
      <c r="P17" s="2319">
        <f t="shared" si="2"/>
        <v>0.125</v>
      </c>
      <c r="Q17" s="2320">
        <f t="shared" si="3"/>
        <v>16409.067749999998</v>
      </c>
      <c r="R17" s="2314" t="str">
        <f t="shared" si="4"/>
        <v>CDR seco + rejeito aterro</v>
      </c>
      <c r="S17" s="1886"/>
      <c r="T17" s="1886"/>
    </row>
    <row r="18" spans="1:26" ht="18" customHeight="1" x14ac:dyDescent="0.2">
      <c r="A18" s="1886"/>
      <c r="B18" s="2222" t="s">
        <v>1243</v>
      </c>
      <c r="C18" s="2308">
        <f>+'CO2 - Cálculos'!AG47</f>
        <v>0</v>
      </c>
      <c r="D18" s="2230"/>
      <c r="E18" s="2230"/>
      <c r="F18" s="1886"/>
      <c r="G18" s="1886"/>
      <c r="H18" s="1886"/>
      <c r="I18" s="1886"/>
      <c r="J18" s="1886"/>
      <c r="K18" s="1886"/>
      <c r="L18" s="2309"/>
      <c r="M18" s="1862" t="str">
        <f t="shared" si="0"/>
        <v>Têxteis</v>
      </c>
      <c r="N18" s="2317">
        <f t="shared" si="0"/>
        <v>0</v>
      </c>
      <c r="O18" s="2318">
        <f t="shared" si="1"/>
        <v>0</v>
      </c>
      <c r="P18" s="2319">
        <f t="shared" si="2"/>
        <v>0.52500000000000002</v>
      </c>
      <c r="Q18" s="2320">
        <f t="shared" si="3"/>
        <v>68918.08455</v>
      </c>
      <c r="R18" s="2314" t="str">
        <f t="shared" si="4"/>
        <v>CDR seco + trat. biol.</v>
      </c>
      <c r="S18" s="1886"/>
      <c r="T18" s="1886"/>
    </row>
    <row r="19" spans="1:26" ht="18" customHeight="1" x14ac:dyDescent="0.2">
      <c r="A19" s="1886"/>
      <c r="B19" s="2222" t="s">
        <v>1244</v>
      </c>
      <c r="C19" s="2308">
        <f>+'CO2 - Cálculos'!AG48</f>
        <v>0</v>
      </c>
      <c r="D19" s="2230"/>
      <c r="E19" s="2230"/>
      <c r="F19" s="1886"/>
      <c r="G19" s="1886"/>
      <c r="H19" s="1886"/>
      <c r="I19" s="1886"/>
      <c r="J19" s="1886"/>
      <c r="K19" s="1886"/>
      <c r="L19" s="2309"/>
      <c r="M19" s="2309"/>
      <c r="N19" s="2309"/>
      <c r="O19" s="2321"/>
      <c r="P19" s="2319">
        <f t="shared" si="2"/>
        <v>0</v>
      </c>
      <c r="Q19" s="2320">
        <f t="shared" si="3"/>
        <v>0</v>
      </c>
      <c r="R19" s="2314" t="str">
        <f t="shared" si="4"/>
        <v>CDR seco + CDR org.</v>
      </c>
      <c r="S19" s="1886"/>
      <c r="T19" s="1886"/>
    </row>
    <row r="20" spans="1:26" ht="18" customHeight="1" x14ac:dyDescent="0.2">
      <c r="A20" s="1886"/>
      <c r="B20" s="2222" t="s">
        <v>1245</v>
      </c>
      <c r="C20" s="2308">
        <f>+'CO2 - Cálculos'!AG49</f>
        <v>0</v>
      </c>
      <c r="D20" s="2230"/>
      <c r="E20" s="2230"/>
      <c r="F20" s="1886"/>
      <c r="G20" s="1886"/>
      <c r="H20" s="1886"/>
      <c r="I20" s="1886"/>
      <c r="J20" s="1886"/>
      <c r="K20" s="1886"/>
      <c r="L20" s="2309"/>
      <c r="M20" s="2309"/>
      <c r="N20" s="2309"/>
      <c r="O20" s="2309"/>
      <c r="P20" s="2319">
        <f>+Q20/$Q$9</f>
        <v>0</v>
      </c>
      <c r="Q20" s="2320">
        <f>+C27</f>
        <v>0</v>
      </c>
      <c r="R20" s="2314" t="str">
        <f>+B27</f>
        <v>Incineração</v>
      </c>
      <c r="S20" s="1886"/>
      <c r="T20" s="1886"/>
    </row>
    <row r="21" spans="1:26" ht="18" customHeight="1" x14ac:dyDescent="0.2">
      <c r="A21" s="1886"/>
      <c r="B21" s="2222" t="s">
        <v>1246</v>
      </c>
      <c r="C21" s="2308">
        <f>+'CO2 - Cálculos'!AG50</f>
        <v>0</v>
      </c>
      <c r="D21" s="2230"/>
      <c r="E21" s="2230"/>
      <c r="F21" s="1886"/>
      <c r="G21" s="1886"/>
      <c r="H21" s="1886"/>
      <c r="I21" s="1886"/>
      <c r="J21" s="1886"/>
      <c r="K21" s="1886"/>
      <c r="L21" s="1886"/>
      <c r="M21" s="1886"/>
      <c r="N21" s="1886"/>
      <c r="O21" s="1886"/>
      <c r="P21" s="1886"/>
      <c r="Q21" s="1886"/>
      <c r="R21" s="1886"/>
      <c r="S21" s="1886"/>
      <c r="T21" s="1886"/>
    </row>
    <row r="22" spans="1:26" ht="18" customHeight="1" x14ac:dyDescent="0.2">
      <c r="A22" s="1886"/>
      <c r="B22" s="2322" t="s">
        <v>64</v>
      </c>
      <c r="C22" s="2308">
        <f>+'CO2 - Cálculos'!AG51</f>
        <v>45945.389699999992</v>
      </c>
      <c r="D22" s="2230"/>
      <c r="E22" s="2230"/>
      <c r="F22" s="1886"/>
      <c r="G22" s="1886"/>
      <c r="H22" s="1886"/>
      <c r="I22" s="1886"/>
      <c r="J22" s="1886"/>
      <c r="K22" s="1886"/>
      <c r="L22" s="1886"/>
      <c r="M22" s="1886"/>
      <c r="N22" s="1886"/>
      <c r="O22" s="1886"/>
      <c r="P22" s="1886"/>
      <c r="Q22" s="1886"/>
      <c r="R22" s="1886"/>
      <c r="S22" s="1886"/>
      <c r="T22" s="1886"/>
    </row>
    <row r="23" spans="1:26" ht="18" customHeight="1" x14ac:dyDescent="0.2">
      <c r="A23" s="1886"/>
      <c r="B23" s="2323" t="s">
        <v>1247</v>
      </c>
      <c r="C23" s="2324">
        <f>+'CO2 - Cálculos'!AG52</f>
        <v>0</v>
      </c>
      <c r="D23" s="2230"/>
      <c r="E23" s="2230"/>
      <c r="F23" s="1886"/>
      <c r="G23" s="1886"/>
      <c r="H23" s="1886"/>
      <c r="I23" s="1886"/>
      <c r="J23" s="1886"/>
      <c r="K23" s="1886"/>
      <c r="L23" s="1886"/>
      <c r="M23" s="1886"/>
      <c r="N23" s="1886"/>
      <c r="O23" s="1886"/>
      <c r="P23" s="1886"/>
      <c r="Q23" s="1886"/>
      <c r="R23" s="1886"/>
      <c r="S23" s="1886"/>
      <c r="T23" s="1886"/>
    </row>
    <row r="24" spans="1:26" ht="18" customHeight="1" x14ac:dyDescent="0.2">
      <c r="A24" s="1886"/>
      <c r="B24" s="2323" t="s">
        <v>1248</v>
      </c>
      <c r="C24" s="2308">
        <f>+'CO2 - Cálculos'!AG53</f>
        <v>16409.067749999998</v>
      </c>
      <c r="D24" s="2230"/>
      <c r="E24" s="2230"/>
      <c r="F24" s="1886"/>
      <c r="G24" s="1886"/>
      <c r="H24" s="1886"/>
      <c r="I24" s="1886"/>
      <c r="J24" s="1886"/>
      <c r="K24" s="1886"/>
      <c r="L24" s="1886"/>
      <c r="M24" s="1886"/>
      <c r="N24" s="1886"/>
      <c r="O24" s="1886"/>
      <c r="P24" s="1886"/>
      <c r="Q24" s="1886"/>
      <c r="R24" s="1886"/>
      <c r="S24" s="1886"/>
      <c r="T24" s="1886"/>
    </row>
    <row r="25" spans="1:26" ht="18" customHeight="1" x14ac:dyDescent="0.2">
      <c r="A25" s="1886"/>
      <c r="B25" s="2323" t="s">
        <v>1249</v>
      </c>
      <c r="C25" s="2308">
        <f>+'CO2 - Cálculos'!AG54</f>
        <v>68918.08455</v>
      </c>
      <c r="D25" s="2230"/>
      <c r="E25" s="2230"/>
      <c r="F25" s="1886"/>
      <c r="G25" s="1886"/>
      <c r="H25" s="1886"/>
      <c r="I25" s="1886"/>
      <c r="J25" s="1886"/>
      <c r="K25" s="1886"/>
      <c r="L25" s="1886"/>
      <c r="M25" s="1886"/>
      <c r="N25" s="1886"/>
      <c r="O25" s="1886"/>
      <c r="P25" s="1886"/>
      <c r="Q25" s="1886"/>
      <c r="R25" s="1886"/>
      <c r="S25" s="1886"/>
      <c r="T25" s="1886"/>
    </row>
    <row r="26" spans="1:26" ht="18" customHeight="1" x14ac:dyDescent="0.2">
      <c r="A26" s="1886"/>
      <c r="B26" s="2323" t="s">
        <v>1250</v>
      </c>
      <c r="C26" s="2308">
        <f>+'CO2 - Cálculos'!AG55</f>
        <v>0</v>
      </c>
      <c r="D26" s="2230"/>
      <c r="E26" s="2230"/>
      <c r="F26" s="1886"/>
      <c r="G26" s="1886"/>
      <c r="H26" s="1886"/>
      <c r="I26" s="1886"/>
      <c r="J26" s="1886"/>
      <c r="K26" s="1886"/>
      <c r="L26" s="1886"/>
      <c r="M26" s="1886"/>
      <c r="N26" s="1886"/>
      <c r="O26" s="1886"/>
      <c r="P26" s="1886"/>
      <c r="Q26" s="1886"/>
      <c r="R26" s="1886"/>
      <c r="S26" s="1886"/>
      <c r="T26" s="1886"/>
    </row>
    <row r="27" spans="1:26" ht="18" customHeight="1" x14ac:dyDescent="0.2">
      <c r="A27" s="1886"/>
      <c r="B27" s="2222" t="s">
        <v>63</v>
      </c>
      <c r="C27" s="2308">
        <f>+'CO2 - Cálculos'!AG56</f>
        <v>0</v>
      </c>
      <c r="D27" s="2230"/>
      <c r="E27" s="2230"/>
      <c r="F27" s="1886"/>
      <c r="G27" s="1886"/>
      <c r="H27" s="1886"/>
      <c r="I27" s="1886"/>
      <c r="J27" s="1886"/>
      <c r="K27" s="1886"/>
      <c r="L27" s="1886"/>
      <c r="M27" s="1886"/>
      <c r="N27" s="1886"/>
      <c r="O27" s="1886"/>
      <c r="P27" s="1886"/>
      <c r="Q27" s="1886"/>
      <c r="R27" s="1886"/>
      <c r="S27" s="1886"/>
      <c r="T27" s="1886"/>
    </row>
    <row r="28" spans="1:26" x14ac:dyDescent="0.2">
      <c r="A28" s="1886"/>
      <c r="B28" s="1886"/>
      <c r="C28" s="2230"/>
      <c r="D28" s="2230"/>
      <c r="E28" s="2230"/>
      <c r="F28" s="1886"/>
      <c r="G28" s="1886"/>
      <c r="H28" s="1886"/>
      <c r="I28" s="1886"/>
      <c r="J28" s="1886"/>
      <c r="K28" s="1886"/>
      <c r="L28" s="1886"/>
      <c r="M28" s="1886"/>
      <c r="N28" s="1886"/>
      <c r="O28" s="1886"/>
      <c r="P28" s="1886"/>
      <c r="Q28" s="1886"/>
      <c r="R28" s="1886"/>
      <c r="S28" s="1886"/>
      <c r="T28" s="1886"/>
    </row>
    <row r="29" spans="1:26" s="2225" customFormat="1" ht="26.1" customHeight="1" x14ac:dyDescent="0.2">
      <c r="A29" s="2059" t="s">
        <v>1266</v>
      </c>
      <c r="B29" s="2325"/>
      <c r="C29" s="2326"/>
      <c r="D29" s="2326"/>
      <c r="E29" s="2326"/>
      <c r="F29" s="2026"/>
      <c r="G29" s="2026"/>
      <c r="H29" s="2026"/>
      <c r="I29" s="2026"/>
      <c r="J29" s="2026"/>
      <c r="K29" s="2026"/>
      <c r="L29" s="2026"/>
      <c r="M29" s="2026"/>
      <c r="N29" s="2026"/>
      <c r="O29" s="2026"/>
      <c r="P29" s="2026"/>
      <c r="Q29" s="2026"/>
      <c r="R29" s="2026"/>
      <c r="S29" s="2026"/>
      <c r="T29" s="2026"/>
      <c r="U29" s="1841"/>
      <c r="V29" s="1841"/>
      <c r="W29" s="1841"/>
      <c r="X29" s="1841"/>
      <c r="Y29" s="1841"/>
      <c r="Z29" s="1841"/>
    </row>
    <row r="30" spans="1:26"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26" ht="18" customHeight="1" x14ac:dyDescent="0.2">
      <c r="A31" s="1886"/>
      <c r="B31" s="2327"/>
      <c r="C31" s="2328" t="s">
        <v>1252</v>
      </c>
      <c r="D31" s="2075" t="s">
        <v>1253</v>
      </c>
      <c r="E31" s="2075" t="s">
        <v>1254</v>
      </c>
      <c r="F31" s="2329"/>
      <c r="G31" s="2329"/>
      <c r="H31" s="2330"/>
      <c r="I31" s="2329"/>
      <c r="J31" s="2329"/>
      <c r="K31" s="2329"/>
      <c r="L31" s="1886"/>
      <c r="M31" s="1886"/>
      <c r="N31" s="1886"/>
      <c r="O31" s="1886"/>
      <c r="P31" s="1886"/>
      <c r="Q31" s="1886"/>
      <c r="R31" s="1886"/>
      <c r="S31" s="1886"/>
      <c r="T31" s="1886"/>
    </row>
    <row r="32" spans="1:26" ht="18" customHeight="1" x14ac:dyDescent="0.2">
      <c r="A32" s="1886"/>
      <c r="B32" s="2331" t="s">
        <v>1239</v>
      </c>
      <c r="C32" s="2332"/>
      <c r="D32" s="2333"/>
      <c r="E32" s="2333"/>
      <c r="F32" s="2329"/>
      <c r="G32" s="2329"/>
      <c r="H32" s="2329"/>
      <c r="I32" s="2329"/>
      <c r="J32" s="2329"/>
      <c r="K32" s="2329"/>
      <c r="L32" s="1886"/>
      <c r="M32" s="1886"/>
      <c r="N32" s="1886"/>
      <c r="O32" s="1886"/>
      <c r="P32" s="1886"/>
      <c r="Q32" s="1886"/>
      <c r="R32" s="1886"/>
      <c r="S32" s="1886"/>
      <c r="T32" s="1886"/>
    </row>
    <row r="33" spans="1:20" ht="18" customHeight="1" x14ac:dyDescent="0.2">
      <c r="A33" s="1886"/>
      <c r="B33" s="2334"/>
      <c r="C33" s="2333"/>
      <c r="D33" s="2333"/>
      <c r="E33" s="2333"/>
      <c r="F33" s="2329"/>
      <c r="G33" s="2329"/>
      <c r="H33" s="2329"/>
      <c r="I33" s="2329"/>
      <c r="J33" s="2329"/>
      <c r="K33" s="2329"/>
      <c r="L33" s="1886"/>
      <c r="M33" s="1886"/>
      <c r="N33" s="1886"/>
      <c r="O33" s="1886"/>
      <c r="P33" s="1886"/>
      <c r="Q33" s="1886"/>
      <c r="R33" s="1886"/>
      <c r="S33" s="1886"/>
      <c r="T33" s="1886"/>
    </row>
    <row r="34" spans="1:20" ht="18" customHeight="1" x14ac:dyDescent="0.2">
      <c r="A34" s="1886"/>
      <c r="B34" s="2222" t="str">
        <f>B7</f>
        <v>Resíduos de alimentos</v>
      </c>
      <c r="C34" s="2335">
        <f t="shared" ref="C34:C41" si="5">+C62</f>
        <v>0</v>
      </c>
      <c r="D34" s="2335">
        <f t="shared" ref="D34:D41" si="6">+C71</f>
        <v>0</v>
      </c>
      <c r="E34" s="2335">
        <f t="shared" ref="E34:E41" si="7">+D34+C34</f>
        <v>0</v>
      </c>
      <c r="F34" s="2329"/>
      <c r="G34" s="2329"/>
      <c r="H34" s="2329"/>
      <c r="I34" s="2329"/>
      <c r="J34" s="2329"/>
      <c r="K34" s="2329"/>
      <c r="L34" s="1886"/>
      <c r="M34" s="1886"/>
      <c r="N34" s="1886"/>
      <c r="O34" s="1886"/>
      <c r="P34" s="1886"/>
      <c r="Q34" s="1886"/>
      <c r="R34" s="1886"/>
      <c r="S34" s="1886"/>
      <c r="T34" s="1886"/>
    </row>
    <row r="35" spans="1:20" ht="18" customHeight="1" x14ac:dyDescent="0.2">
      <c r="A35" s="1886"/>
      <c r="B35" s="2222" t="str">
        <f t="shared" ref="B35:B41" si="8">B8</f>
        <v>Resíduos de jardins e parques</v>
      </c>
      <c r="C35" s="2335">
        <f t="shared" si="5"/>
        <v>0</v>
      </c>
      <c r="D35" s="2335">
        <f t="shared" si="6"/>
        <v>0</v>
      </c>
      <c r="E35" s="2335">
        <f t="shared" si="7"/>
        <v>0</v>
      </c>
      <c r="F35" s="2329"/>
      <c r="G35" s="2329"/>
      <c r="H35" s="2329"/>
      <c r="I35" s="2329"/>
      <c r="J35" s="2329"/>
      <c r="K35" s="2329"/>
      <c r="L35" s="1886"/>
      <c r="M35" s="1886"/>
      <c r="N35" s="1886"/>
      <c r="O35" s="1886"/>
      <c r="P35" s="1886"/>
      <c r="Q35" s="1886"/>
      <c r="R35" s="1886"/>
      <c r="S35" s="1886"/>
      <c r="T35" s="1886"/>
    </row>
    <row r="36" spans="1:20" ht="18" customHeight="1" x14ac:dyDescent="0.2">
      <c r="A36" s="1886"/>
      <c r="B36" s="2222" t="str">
        <f t="shared" si="8"/>
        <v>Papel, papelão</v>
      </c>
      <c r="C36" s="2335">
        <f t="shared" si="5"/>
        <v>7999.4112480000003</v>
      </c>
      <c r="D36" s="2335">
        <f t="shared" si="6"/>
        <v>-9859.1469840000009</v>
      </c>
      <c r="E36" s="2335">
        <f t="shared" si="7"/>
        <v>-1859.7357360000005</v>
      </c>
      <c r="F36" s="2329"/>
      <c r="G36" s="2329"/>
      <c r="H36" s="2329"/>
      <c r="I36" s="2329"/>
      <c r="J36" s="2329"/>
      <c r="K36" s="2329"/>
      <c r="L36" s="1886"/>
      <c r="M36" s="1886"/>
      <c r="N36" s="1886"/>
      <c r="O36" s="1886"/>
      <c r="P36" s="1886"/>
      <c r="Q36" s="1886"/>
      <c r="R36" s="1886"/>
      <c r="S36" s="1886"/>
      <c r="T36" s="1886"/>
    </row>
    <row r="37" spans="1:20" ht="18" customHeight="1" x14ac:dyDescent="0.2">
      <c r="A37" s="1886"/>
      <c r="B37" s="2222" t="str">
        <f t="shared" si="8"/>
        <v>Plásticos</v>
      </c>
      <c r="C37" s="2335">
        <f t="shared" si="5"/>
        <v>1777.8420000000001</v>
      </c>
      <c r="D37" s="2335">
        <f t="shared" si="6"/>
        <v>-8281.2747600000002</v>
      </c>
      <c r="E37" s="2335">
        <f t="shared" si="7"/>
        <v>-6503.4327599999997</v>
      </c>
      <c r="F37" s="2329"/>
      <c r="G37" s="2329"/>
      <c r="H37" s="2329"/>
      <c r="I37" s="2329"/>
      <c r="J37" s="2329"/>
      <c r="K37" s="2329"/>
      <c r="L37" s="1886"/>
      <c r="M37" s="1886"/>
      <c r="N37" s="1886"/>
      <c r="O37" s="1886"/>
      <c r="P37" s="1886"/>
      <c r="Q37" s="1886"/>
      <c r="R37" s="1886"/>
      <c r="S37" s="1886"/>
      <c r="T37" s="1886"/>
    </row>
    <row r="38" spans="1:20" ht="18" customHeight="1" x14ac:dyDescent="0.2">
      <c r="A38" s="1886"/>
      <c r="B38" s="2222" t="str">
        <f t="shared" si="8"/>
        <v>Vidros</v>
      </c>
      <c r="C38" s="2335">
        <f t="shared" si="5"/>
        <v>0</v>
      </c>
      <c r="D38" s="2335">
        <f t="shared" si="6"/>
        <v>0</v>
      </c>
      <c r="E38" s="2335">
        <f t="shared" si="7"/>
        <v>0</v>
      </c>
      <c r="F38" s="2329"/>
      <c r="G38" s="2329"/>
      <c r="H38" s="2329"/>
      <c r="I38" s="2329"/>
      <c r="J38" s="2329"/>
      <c r="K38" s="2329"/>
      <c r="L38" s="1886"/>
      <c r="M38" s="1886"/>
      <c r="N38" s="1886"/>
      <c r="O38" s="1886"/>
      <c r="P38" s="1886"/>
      <c r="Q38" s="1886"/>
      <c r="R38" s="1886"/>
      <c r="S38" s="1886"/>
      <c r="T38" s="1886"/>
    </row>
    <row r="39" spans="1:20" ht="18" customHeight="1" x14ac:dyDescent="0.2">
      <c r="A39" s="1886"/>
      <c r="B39" s="2222" t="str">
        <f t="shared" si="8"/>
        <v>Metais ferrosos</v>
      </c>
      <c r="C39" s="2335">
        <f t="shared" si="5"/>
        <v>204.16639999999998</v>
      </c>
      <c r="D39" s="2335">
        <f t="shared" si="6"/>
        <v>-5461.4512000000004</v>
      </c>
      <c r="E39" s="2335">
        <f t="shared" si="7"/>
        <v>-5257.2848000000004</v>
      </c>
      <c r="F39" s="2329"/>
      <c r="G39" s="2329"/>
      <c r="H39" s="2329"/>
      <c r="I39" s="2329"/>
      <c r="J39" s="2329"/>
      <c r="K39" s="2329"/>
      <c r="L39" s="1886"/>
      <c r="M39" s="1886"/>
      <c r="N39" s="1886"/>
      <c r="O39" s="1886"/>
      <c r="P39" s="1886"/>
      <c r="Q39" s="1886"/>
      <c r="R39" s="1886"/>
      <c r="S39" s="1886"/>
      <c r="T39" s="1886"/>
    </row>
    <row r="40" spans="1:20" ht="18" customHeight="1" x14ac:dyDescent="0.2">
      <c r="A40" s="1886"/>
      <c r="B40" s="2222" t="str">
        <f t="shared" si="8"/>
        <v>Alumínio</v>
      </c>
      <c r="C40" s="2335">
        <f t="shared" si="5"/>
        <v>580.04339999999991</v>
      </c>
      <c r="D40" s="2335">
        <f t="shared" si="6"/>
        <v>-8222.1359999999986</v>
      </c>
      <c r="E40" s="2335">
        <f t="shared" si="7"/>
        <v>-7642.092599999999</v>
      </c>
      <c r="F40" s="2329"/>
      <c r="G40" s="2329"/>
      <c r="H40" s="2329"/>
      <c r="I40" s="2329"/>
      <c r="J40" s="2329"/>
      <c r="K40" s="2329"/>
      <c r="L40" s="1886"/>
      <c r="M40" s="1886"/>
      <c r="N40" s="1886"/>
      <c r="O40" s="1886"/>
      <c r="P40" s="1886"/>
      <c r="Q40" s="1886"/>
      <c r="R40" s="1886"/>
      <c r="S40" s="1886"/>
      <c r="T40" s="1886"/>
    </row>
    <row r="41" spans="1:20" ht="18" customHeight="1" x14ac:dyDescent="0.2">
      <c r="A41" s="1886"/>
      <c r="B41" s="2222" t="str">
        <f t="shared" si="8"/>
        <v>Têxteis</v>
      </c>
      <c r="C41" s="2335">
        <f t="shared" si="5"/>
        <v>0</v>
      </c>
      <c r="D41" s="2335">
        <f t="shared" si="6"/>
        <v>0</v>
      </c>
      <c r="E41" s="2335">
        <f t="shared" si="7"/>
        <v>0</v>
      </c>
      <c r="F41" s="2329"/>
      <c r="G41" s="2329"/>
      <c r="H41" s="2329"/>
      <c r="I41" s="2329"/>
      <c r="J41" s="2329"/>
      <c r="K41" s="2329"/>
      <c r="L41" s="1886"/>
      <c r="M41" s="1886"/>
      <c r="N41" s="1886"/>
      <c r="O41" s="1886"/>
      <c r="P41" s="1886"/>
      <c r="Q41" s="1886"/>
      <c r="R41" s="1886"/>
      <c r="S41" s="1886"/>
      <c r="T41" s="1886"/>
    </row>
    <row r="42" spans="1:20" ht="18" customHeight="1" x14ac:dyDescent="0.2">
      <c r="A42" s="1886"/>
      <c r="B42" s="2336"/>
      <c r="C42" s="2337"/>
      <c r="D42" s="2338"/>
      <c r="E42" s="2337"/>
      <c r="F42" s="2329"/>
      <c r="G42" s="2329"/>
      <c r="H42" s="2329"/>
      <c r="I42" s="2329"/>
      <c r="J42" s="2329"/>
      <c r="K42" s="2329"/>
      <c r="L42" s="1886"/>
      <c r="M42" s="1886"/>
      <c r="N42" s="1886"/>
      <c r="O42" s="1886"/>
      <c r="P42" s="1886"/>
      <c r="Q42" s="1886"/>
      <c r="R42" s="1886"/>
      <c r="S42" s="1886"/>
      <c r="T42" s="1886"/>
    </row>
    <row r="43" spans="1:20" ht="18" customHeight="1" x14ac:dyDescent="0.2">
      <c r="A43" s="1886"/>
      <c r="B43" s="2339" t="s">
        <v>1265</v>
      </c>
      <c r="C43" s="2340"/>
      <c r="D43" s="2341"/>
      <c r="E43" s="2341"/>
      <c r="F43" s="2329"/>
      <c r="G43" s="2329"/>
      <c r="H43" s="2329"/>
      <c r="I43" s="2329"/>
      <c r="J43" s="2329"/>
      <c r="K43" s="2329"/>
      <c r="L43" s="1886"/>
      <c r="M43" s="1886"/>
      <c r="N43" s="1886"/>
      <c r="O43" s="1886"/>
      <c r="P43" s="1886"/>
      <c r="Q43" s="1886"/>
      <c r="R43" s="1886"/>
      <c r="S43" s="1886"/>
      <c r="T43" s="1886"/>
    </row>
    <row r="44" spans="1:20" ht="18" customHeight="1" x14ac:dyDescent="0.2">
      <c r="A44" s="1886"/>
      <c r="B44" s="2334"/>
      <c r="C44" s="2332"/>
      <c r="D44" s="2332"/>
      <c r="E44" s="2332"/>
      <c r="F44" s="2329"/>
      <c r="G44" s="2329"/>
      <c r="H44" s="2329"/>
      <c r="I44" s="2329"/>
      <c r="J44" s="2329"/>
      <c r="K44" s="2329"/>
      <c r="L44" s="1886"/>
      <c r="M44" s="1886"/>
      <c r="N44" s="1886"/>
      <c r="O44" s="1886"/>
      <c r="P44" s="1886"/>
      <c r="Q44" s="1886"/>
      <c r="R44" s="1886"/>
      <c r="S44" s="1886"/>
      <c r="T44" s="1886"/>
    </row>
    <row r="45" spans="1:20" ht="18" customHeight="1" x14ac:dyDescent="0.2">
      <c r="A45" s="1886"/>
      <c r="B45" s="2222" t="str">
        <f>B18</f>
        <v>Resíduos dispersos</v>
      </c>
      <c r="C45" s="2335">
        <f t="shared" ref="C45:C53" si="9">+L62</f>
        <v>0</v>
      </c>
      <c r="D45" s="2335">
        <f t="shared" ref="D45:D54" si="10">+L73</f>
        <v>0</v>
      </c>
      <c r="E45" s="2335">
        <f t="shared" ref="E45:E53" si="11">+D45+C45</f>
        <v>0</v>
      </c>
      <c r="F45" s="2329"/>
      <c r="G45" s="2329"/>
      <c r="H45" s="2329"/>
      <c r="I45" s="2329"/>
      <c r="J45" s="2329"/>
      <c r="K45" s="2329"/>
      <c r="L45" s="1886"/>
      <c r="M45" s="1886"/>
      <c r="N45" s="1886"/>
      <c r="O45" s="1886"/>
      <c r="P45" s="1886"/>
      <c r="Q45" s="1886"/>
      <c r="R45" s="1886"/>
      <c r="S45" s="1886"/>
      <c r="T45" s="1886"/>
    </row>
    <row r="46" spans="1:20" ht="18" customHeight="1" x14ac:dyDescent="0.2">
      <c r="A46" s="1886"/>
      <c r="B46" s="2222" t="str">
        <f t="shared" ref="B46:B54" si="12">B19</f>
        <v>Queima a céu aberto</v>
      </c>
      <c r="C46" s="2335">
        <f t="shared" si="9"/>
        <v>0</v>
      </c>
      <c r="D46" s="2335">
        <f t="shared" si="10"/>
        <v>0</v>
      </c>
      <c r="E46" s="2335">
        <f t="shared" si="11"/>
        <v>0</v>
      </c>
      <c r="F46" s="2329"/>
      <c r="G46" s="2329"/>
      <c r="H46" s="2329"/>
      <c r="I46" s="2329"/>
      <c r="J46" s="2329"/>
      <c r="K46" s="2329"/>
      <c r="L46" s="1886"/>
      <c r="M46" s="1886"/>
      <c r="N46" s="1886"/>
      <c r="O46" s="1886"/>
      <c r="P46" s="1886"/>
      <c r="Q46" s="1886"/>
      <c r="R46" s="1886"/>
      <c r="S46" s="1886"/>
      <c r="T46" s="1886"/>
    </row>
    <row r="47" spans="1:20" ht="18" customHeight="1" x14ac:dyDescent="0.2">
      <c r="A47" s="1886"/>
      <c r="B47" s="2222" t="str">
        <f t="shared" si="12"/>
        <v>Lixão não controlado</v>
      </c>
      <c r="C47" s="2335">
        <f t="shared" si="9"/>
        <v>0</v>
      </c>
      <c r="D47" s="2335">
        <f t="shared" si="10"/>
        <v>0</v>
      </c>
      <c r="E47" s="2335">
        <f t="shared" si="11"/>
        <v>0</v>
      </c>
      <c r="F47" s="2329"/>
      <c r="G47" s="2329"/>
      <c r="H47" s="2329"/>
      <c r="I47" s="2329"/>
      <c r="J47" s="2329"/>
      <c r="K47" s="2329"/>
      <c r="L47" s="1886"/>
      <c r="M47" s="1886"/>
      <c r="N47" s="1886"/>
      <c r="O47" s="1886"/>
      <c r="P47" s="1886"/>
      <c r="Q47" s="1886"/>
      <c r="R47" s="1886"/>
      <c r="S47" s="1886"/>
      <c r="T47" s="1886"/>
    </row>
    <row r="48" spans="1:20" ht="18" customHeight="1" x14ac:dyDescent="0.2">
      <c r="A48" s="1886"/>
      <c r="B48" s="2222" t="str">
        <f t="shared" si="12"/>
        <v>Aterro controlado</v>
      </c>
      <c r="C48" s="2335">
        <f t="shared" si="9"/>
        <v>0</v>
      </c>
      <c r="D48" s="2335">
        <f t="shared" si="10"/>
        <v>0</v>
      </c>
      <c r="E48" s="2335">
        <f t="shared" si="11"/>
        <v>0</v>
      </c>
      <c r="F48" s="2329"/>
      <c r="G48" s="2329"/>
      <c r="H48" s="2329"/>
      <c r="I48" s="2329"/>
      <c r="J48" s="2329"/>
      <c r="K48" s="2329"/>
      <c r="L48" s="1886"/>
      <c r="M48" s="1886"/>
      <c r="N48" s="1886"/>
      <c r="O48" s="1886"/>
      <c r="P48" s="1886"/>
      <c r="Q48" s="1886"/>
      <c r="R48" s="1886"/>
      <c r="S48" s="1886"/>
      <c r="T48" s="1886"/>
    </row>
    <row r="49" spans="1:21" ht="18" customHeight="1" x14ac:dyDescent="0.2">
      <c r="A49" s="1886"/>
      <c r="B49" s="2222" t="str">
        <f t="shared" si="12"/>
        <v>Aterro sanitário</v>
      </c>
      <c r="C49" s="2335">
        <f t="shared" si="9"/>
        <v>53980.946707938478</v>
      </c>
      <c r="D49" s="2335">
        <f t="shared" si="10"/>
        <v>0</v>
      </c>
      <c r="E49" s="2335">
        <f t="shared" si="11"/>
        <v>53980.946707938478</v>
      </c>
      <c r="F49" s="2329"/>
      <c r="G49" s="2329"/>
      <c r="H49" s="2329"/>
      <c r="I49" s="2329"/>
      <c r="J49" s="2329"/>
      <c r="K49" s="2329"/>
      <c r="L49" s="1886"/>
      <c r="M49" s="1886"/>
      <c r="N49" s="1886"/>
      <c r="O49" s="1886"/>
      <c r="P49" s="1886"/>
      <c r="Q49" s="1886"/>
      <c r="R49" s="1886"/>
      <c r="S49" s="1886"/>
      <c r="T49" s="1886"/>
    </row>
    <row r="50" spans="1:21" ht="18" customHeight="1" x14ac:dyDescent="0.2">
      <c r="A50" s="1886"/>
      <c r="B50" s="2222" t="str">
        <f t="shared" si="12"/>
        <v>Trat. biol + cobertura at.</v>
      </c>
      <c r="C50" s="2335">
        <f t="shared" si="9"/>
        <v>0</v>
      </c>
      <c r="D50" s="2335">
        <f t="shared" si="10"/>
        <v>0</v>
      </c>
      <c r="E50" s="2335">
        <f t="shared" si="11"/>
        <v>0</v>
      </c>
      <c r="F50" s="2329"/>
      <c r="G50" s="2329"/>
      <c r="H50" s="2329"/>
      <c r="I50" s="2329"/>
      <c r="J50" s="2329"/>
      <c r="K50" s="2329"/>
      <c r="L50" s="1886"/>
      <c r="M50" s="1886"/>
      <c r="N50" s="1886"/>
      <c r="O50" s="1886"/>
      <c r="P50" s="1886"/>
      <c r="Q50" s="1886"/>
      <c r="R50" s="1886"/>
      <c r="S50" s="1886"/>
      <c r="T50" s="1886"/>
    </row>
    <row r="51" spans="1:21" ht="18" customHeight="1" x14ac:dyDescent="0.2">
      <c r="A51" s="1886"/>
      <c r="B51" s="2222" t="str">
        <f t="shared" si="12"/>
        <v>CDR seco + rejeito aterro</v>
      </c>
      <c r="C51" s="2335">
        <f t="shared" si="9"/>
        <v>9878.871077030024</v>
      </c>
      <c r="D51" s="2335">
        <f t="shared" si="10"/>
        <v>-8213.3557915298534</v>
      </c>
      <c r="E51" s="2335">
        <f t="shared" si="11"/>
        <v>1665.5152855001706</v>
      </c>
      <c r="F51" s="2329"/>
      <c r="G51" s="2342"/>
      <c r="H51" s="2343"/>
      <c r="I51" s="2343"/>
      <c r="J51" s="2343"/>
      <c r="K51" s="2329"/>
      <c r="L51" s="1886"/>
      <c r="M51" s="1886"/>
      <c r="N51" s="1886"/>
      <c r="O51" s="1886"/>
      <c r="P51" s="1886"/>
      <c r="Q51" s="1886"/>
      <c r="R51" s="1886"/>
      <c r="S51" s="1886"/>
      <c r="T51" s="1886"/>
    </row>
    <row r="52" spans="1:21" ht="18" customHeight="1" x14ac:dyDescent="0.2">
      <c r="A52" s="1886"/>
      <c r="B52" s="2222" t="str">
        <f t="shared" si="12"/>
        <v>CDR seco + trat. biol.</v>
      </c>
      <c r="C52" s="2335">
        <f t="shared" si="9"/>
        <v>6937.3741446002377</v>
      </c>
      <c r="D52" s="2335">
        <f t="shared" si="10"/>
        <v>-34496.094324425387</v>
      </c>
      <c r="E52" s="2335">
        <f t="shared" si="11"/>
        <v>-27558.720179825148</v>
      </c>
      <c r="F52" s="2329"/>
      <c r="G52" s="2344"/>
      <c r="H52" s="2345" t="s">
        <v>1255</v>
      </c>
      <c r="I52" s="2346" t="s">
        <v>1267</v>
      </c>
      <c r="J52" s="2346" t="s">
        <v>1256</v>
      </c>
      <c r="K52" s="2329"/>
      <c r="L52" s="1886"/>
      <c r="M52" s="1886"/>
      <c r="N52" s="1886"/>
      <c r="O52" s="1886"/>
      <c r="P52" s="1886"/>
      <c r="Q52" s="1886"/>
      <c r="R52" s="1886"/>
      <c r="S52" s="1886"/>
      <c r="T52" s="1886"/>
    </row>
    <row r="53" spans="1:21" ht="18" customHeight="1" x14ac:dyDescent="0.2">
      <c r="A53" s="1886"/>
      <c r="B53" s="2222" t="str">
        <f t="shared" si="12"/>
        <v>CDR seco + CDR org.</v>
      </c>
      <c r="C53" s="2335">
        <f t="shared" si="9"/>
        <v>0</v>
      </c>
      <c r="D53" s="2335">
        <f t="shared" si="10"/>
        <v>0</v>
      </c>
      <c r="E53" s="2335">
        <f t="shared" si="11"/>
        <v>0</v>
      </c>
      <c r="F53" s="2329"/>
      <c r="G53" s="2347" t="s">
        <v>1257</v>
      </c>
      <c r="H53" s="2348">
        <f>SUM(C34:C41)</f>
        <v>10561.463048000001</v>
      </c>
      <c r="I53" s="2348">
        <f>SUM(C45:C54)</f>
        <v>70797.19192956874</v>
      </c>
      <c r="J53" s="2348">
        <f>+I53+H53</f>
        <v>81358.654977568745</v>
      </c>
      <c r="K53" s="2329"/>
      <c r="L53" s="1886"/>
      <c r="M53" s="1886"/>
      <c r="N53" s="1886"/>
      <c r="O53" s="1886"/>
      <c r="P53" s="1886"/>
      <c r="Q53" s="1886"/>
      <c r="R53" s="1886"/>
      <c r="S53" s="1886"/>
      <c r="T53" s="1886"/>
    </row>
    <row r="54" spans="1:21" ht="18" customHeight="1" x14ac:dyDescent="0.2">
      <c r="A54" s="1886"/>
      <c r="B54" s="2222" t="str">
        <f t="shared" si="12"/>
        <v>Incineração</v>
      </c>
      <c r="C54" s="2335">
        <f>+L71</f>
        <v>0</v>
      </c>
      <c r="D54" s="2335">
        <f t="shared" si="10"/>
        <v>0</v>
      </c>
      <c r="E54" s="2335">
        <f>+D54+C54</f>
        <v>0</v>
      </c>
      <c r="F54" s="2329"/>
      <c r="G54" s="2347" t="s">
        <v>1258</v>
      </c>
      <c r="H54" s="2348">
        <f>SUM(D34:D41)</f>
        <v>-31824.008943999997</v>
      </c>
      <c r="I54" s="2348">
        <f>SUM(D45:D54)</f>
        <v>-42709.450115955238</v>
      </c>
      <c r="J54" s="2348">
        <f>+I54+H54</f>
        <v>-74533.459059955232</v>
      </c>
      <c r="K54" s="2329"/>
      <c r="L54" s="1886"/>
      <c r="M54" s="1886"/>
      <c r="N54" s="1886"/>
      <c r="O54" s="1886"/>
      <c r="P54" s="1886"/>
      <c r="Q54" s="1886"/>
      <c r="R54" s="1886"/>
      <c r="S54" s="1886"/>
      <c r="T54" s="1886"/>
    </row>
    <row r="55" spans="1:21" ht="18" customHeight="1" x14ac:dyDescent="0.2">
      <c r="A55" s="1886"/>
      <c r="B55" s="2336"/>
      <c r="C55" s="2349"/>
      <c r="D55" s="2350"/>
      <c r="E55" s="2349"/>
      <c r="F55" s="2329"/>
      <c r="G55" s="2347" t="s">
        <v>1259</v>
      </c>
      <c r="H55" s="2348">
        <f>+H53+H54</f>
        <v>-21262.545895999996</v>
      </c>
      <c r="I55" s="2348">
        <f>+I53+I54</f>
        <v>28087.741813613502</v>
      </c>
      <c r="J55" s="2348">
        <f>+I55+H55</f>
        <v>6825.195917613506</v>
      </c>
      <c r="K55" s="2329"/>
      <c r="L55" s="1886"/>
      <c r="M55" s="1886"/>
      <c r="N55" s="1886"/>
      <c r="O55" s="1886"/>
      <c r="P55" s="1886"/>
      <c r="Q55" s="1886"/>
      <c r="R55" s="1886"/>
      <c r="S55" s="1886"/>
      <c r="T55" s="1886"/>
    </row>
    <row r="56" spans="1:21" ht="18" customHeight="1" x14ac:dyDescent="0.2">
      <c r="A56" s="1886"/>
      <c r="B56" s="2339" t="s">
        <v>52</v>
      </c>
      <c r="C56" s="2351">
        <f>SUM(C34:C54)</f>
        <v>81358.654977568745</v>
      </c>
      <c r="D56" s="2351">
        <f>SUM(D34:D54)</f>
        <v>-74533.459059955232</v>
      </c>
      <c r="E56" s="2351">
        <f>+D56+C56</f>
        <v>6825.1959176135133</v>
      </c>
      <c r="F56" s="2329"/>
      <c r="G56" s="2342"/>
      <c r="H56" s="2352"/>
      <c r="I56" s="2352"/>
      <c r="J56" s="2352"/>
      <c r="K56" s="2329"/>
      <c r="L56" s="1886"/>
      <c r="M56" s="1886"/>
      <c r="N56" s="1886"/>
      <c r="O56" s="1886"/>
      <c r="P56" s="1886"/>
      <c r="Q56" s="1886"/>
      <c r="R56" s="1886"/>
      <c r="S56" s="1886"/>
      <c r="T56" s="1886"/>
    </row>
    <row r="57" spans="1:21"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21"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21" s="2225" customFormat="1" ht="26.1" customHeight="1" x14ac:dyDescent="0.25">
      <c r="A59" s="2287" t="s">
        <v>1260</v>
      </c>
      <c r="B59" s="2353"/>
      <c r="C59" s="2353"/>
      <c r="D59" s="2353"/>
      <c r="E59" s="2353"/>
      <c r="F59" s="2224"/>
      <c r="G59" s="1936"/>
      <c r="H59" s="1981"/>
      <c r="I59" s="1981"/>
      <c r="J59" s="1981"/>
      <c r="K59" s="1908" t="s">
        <v>1268</v>
      </c>
      <c r="L59" s="1981"/>
      <c r="M59" s="1981"/>
      <c r="N59" s="1981"/>
      <c r="O59" s="1981"/>
      <c r="P59" s="1936"/>
      <c r="Q59" s="1936"/>
      <c r="R59" s="1936"/>
      <c r="S59" s="1936"/>
      <c r="T59" s="1936"/>
      <c r="U59" s="2354"/>
    </row>
    <row r="60" spans="1:21"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21" ht="18" customHeight="1" x14ac:dyDescent="0.25">
      <c r="A61" s="1886"/>
      <c r="B61" s="2290"/>
      <c r="C61" s="2355" t="s">
        <v>1239</v>
      </c>
      <c r="D61" s="2355" t="s">
        <v>1259</v>
      </c>
      <c r="E61" s="1886"/>
      <c r="F61" s="1886"/>
      <c r="G61" s="1886"/>
      <c r="H61" s="1886"/>
      <c r="I61" s="1886"/>
      <c r="J61" s="1886"/>
      <c r="K61" s="2356"/>
      <c r="L61" s="2357" t="s">
        <v>1267</v>
      </c>
      <c r="M61" s="2355" t="s">
        <v>1259</v>
      </c>
      <c r="N61" s="1886"/>
      <c r="O61" s="1886"/>
      <c r="P61" s="1886"/>
      <c r="Q61" s="1886"/>
      <c r="R61" s="1886"/>
      <c r="S61" s="1886"/>
      <c r="T61" s="1886"/>
    </row>
    <row r="62" spans="1:21" ht="18" customHeight="1" x14ac:dyDescent="0.25">
      <c r="A62" s="1886"/>
      <c r="B62" s="2299" t="str">
        <f>+'CO2 - Cálculos'!AC16</f>
        <v>Resíduos de alimentos</v>
      </c>
      <c r="C62" s="2238">
        <f>+'CO2 - Cálculos'!AG16</f>
        <v>0</v>
      </c>
      <c r="D62" s="2271"/>
      <c r="E62" s="1886"/>
      <c r="F62" s="1886"/>
      <c r="G62" s="1886"/>
      <c r="H62" s="1886"/>
      <c r="I62" s="1886"/>
      <c r="J62" s="1886"/>
      <c r="K62" s="2298" t="str">
        <f>+'CO2 - Cálculos'!AC61</f>
        <v>Resíduos dispersos</v>
      </c>
      <c r="L62" s="2238">
        <f>+'CO2 - Cálculos'!AG61</f>
        <v>0</v>
      </c>
      <c r="M62" s="2271"/>
      <c r="N62" s="1886"/>
      <c r="O62" s="1886"/>
      <c r="P62" s="1886"/>
      <c r="Q62" s="1886"/>
      <c r="R62" s="1886"/>
      <c r="S62" s="1886"/>
      <c r="T62" s="1886"/>
    </row>
    <row r="63" spans="1:21" ht="18" customHeight="1" x14ac:dyDescent="0.25">
      <c r="A63" s="1886"/>
      <c r="B63" s="2299" t="str">
        <f>+'CO2 - Cálculos'!AC17</f>
        <v>Resíduos de jardins e parques</v>
      </c>
      <c r="C63" s="2238">
        <f>+'CO2 - Cálculos'!AG17</f>
        <v>0</v>
      </c>
      <c r="D63" s="2271"/>
      <c r="E63" s="1886"/>
      <c r="F63" s="1886"/>
      <c r="G63" s="1886"/>
      <c r="H63" s="1886"/>
      <c r="I63" s="1886"/>
      <c r="J63" s="1886"/>
      <c r="K63" s="2298" t="str">
        <f>+'CO2 - Cálculos'!AC62</f>
        <v>Queima a céu aberto</v>
      </c>
      <c r="L63" s="2238">
        <f>+'CO2 - Cálculos'!AG62</f>
        <v>0</v>
      </c>
      <c r="M63" s="2271"/>
      <c r="N63" s="1886"/>
      <c r="O63" s="1886"/>
      <c r="P63" s="1886"/>
      <c r="Q63" s="1886"/>
      <c r="R63" s="1886"/>
      <c r="S63" s="1886"/>
      <c r="T63" s="1886"/>
    </row>
    <row r="64" spans="1:21" ht="18" customHeight="1" x14ac:dyDescent="0.25">
      <c r="A64" s="1886"/>
      <c r="B64" s="2299" t="str">
        <f>+'CO2 - Cálculos'!AC18</f>
        <v>Papel, papelão</v>
      </c>
      <c r="C64" s="2238">
        <f>+'CO2 - Cálculos'!AG18</f>
        <v>7999.4112480000003</v>
      </c>
      <c r="D64" s="2271"/>
      <c r="E64" s="1886"/>
      <c r="F64" s="1886"/>
      <c r="G64" s="1886"/>
      <c r="H64" s="1886"/>
      <c r="I64" s="1886"/>
      <c r="J64" s="1886"/>
      <c r="K64" s="2298" t="str">
        <f>+'CO2 - Cálculos'!AC63</f>
        <v>Lixão não controlado</v>
      </c>
      <c r="L64" s="2238">
        <f>+'CO2 - Cálculos'!AG63</f>
        <v>0</v>
      </c>
      <c r="M64" s="2271"/>
      <c r="N64" s="1886"/>
      <c r="O64" s="1886"/>
      <c r="P64" s="1886"/>
      <c r="Q64" s="1886"/>
      <c r="R64" s="1886"/>
      <c r="S64" s="1886"/>
      <c r="T64" s="1886"/>
    </row>
    <row r="65" spans="1:20" ht="18" customHeight="1" x14ac:dyDescent="0.25">
      <c r="A65" s="1886"/>
      <c r="B65" s="2299" t="str">
        <f>+'CO2 - Cálculos'!AC19</f>
        <v>Plásticos</v>
      </c>
      <c r="C65" s="2238">
        <f>+'CO2 - Cálculos'!AG19</f>
        <v>1777.8420000000001</v>
      </c>
      <c r="D65" s="2271"/>
      <c r="E65" s="1886"/>
      <c r="F65" s="1886"/>
      <c r="G65" s="1886"/>
      <c r="H65" s="1886"/>
      <c r="I65" s="1886"/>
      <c r="J65" s="1886"/>
      <c r="K65" s="2298" t="str">
        <f>+'CO2 - Cálculos'!AC64</f>
        <v>Aterro controlado</v>
      </c>
      <c r="L65" s="2238">
        <f>+'CO2 - Cálculos'!AG64</f>
        <v>0</v>
      </c>
      <c r="M65" s="2271"/>
      <c r="N65" s="1886"/>
      <c r="O65" s="1886"/>
      <c r="P65" s="1886"/>
      <c r="Q65" s="1886"/>
      <c r="R65" s="1886"/>
      <c r="S65" s="1886"/>
      <c r="T65" s="1886"/>
    </row>
    <row r="66" spans="1:20" ht="18" customHeight="1" x14ac:dyDescent="0.25">
      <c r="A66" s="1886"/>
      <c r="B66" s="2299" t="str">
        <f>+'CO2 - Cálculos'!AC20</f>
        <v>Vidros</v>
      </c>
      <c r="C66" s="2238">
        <f>+'CO2 - Cálculos'!AG20</f>
        <v>0</v>
      </c>
      <c r="D66" s="2271"/>
      <c r="E66" s="1886"/>
      <c r="F66" s="1886"/>
      <c r="G66" s="1886"/>
      <c r="H66" s="1886"/>
      <c r="I66" s="1886"/>
      <c r="J66" s="1886"/>
      <c r="K66" s="2298" t="str">
        <f>+'CO2 - Cálculos'!AC65</f>
        <v>Aterro sanitário</v>
      </c>
      <c r="L66" s="2238">
        <f>+'CO2 - Cálculos'!AG65</f>
        <v>53980.946707938478</v>
      </c>
      <c r="M66" s="2271"/>
      <c r="N66" s="1886"/>
      <c r="O66" s="1886"/>
      <c r="P66" s="1886"/>
      <c r="Q66" s="1886"/>
      <c r="R66" s="1886"/>
      <c r="S66" s="1886"/>
      <c r="T66" s="1886"/>
    </row>
    <row r="67" spans="1:20" ht="18" customHeight="1" x14ac:dyDescent="0.25">
      <c r="A67" s="1886"/>
      <c r="B67" s="2299" t="str">
        <f>+'CO2 - Cálculos'!AC21</f>
        <v>Metais ferrosos</v>
      </c>
      <c r="C67" s="2238">
        <f>+'CO2 - Cálculos'!AG21</f>
        <v>204.16639999999998</v>
      </c>
      <c r="D67" s="2271"/>
      <c r="E67" s="1886"/>
      <c r="F67" s="1886"/>
      <c r="G67" s="1886"/>
      <c r="H67" s="1886"/>
      <c r="I67" s="1886"/>
      <c r="J67" s="2358"/>
      <c r="K67" s="2298" t="str">
        <f>+'CO2 - Cálculos'!AC66</f>
        <v>Trat. biol + cobertura at.</v>
      </c>
      <c r="L67" s="2238">
        <f>+'CO2 - Cálculos'!AG66</f>
        <v>0</v>
      </c>
      <c r="M67" s="2271"/>
      <c r="N67" s="1886"/>
      <c r="O67" s="1886"/>
      <c r="P67" s="1886"/>
      <c r="Q67" s="1886"/>
      <c r="R67" s="1886"/>
      <c r="S67" s="1886"/>
      <c r="T67" s="1886"/>
    </row>
    <row r="68" spans="1:20" ht="18" customHeight="1" x14ac:dyDescent="0.25">
      <c r="A68" s="1886"/>
      <c r="B68" s="2299" t="str">
        <f>+'CO2 - Cálculos'!AC22</f>
        <v>Alumínio</v>
      </c>
      <c r="C68" s="2238">
        <f>+'CO2 - Cálculos'!AG22</f>
        <v>580.04339999999991</v>
      </c>
      <c r="D68" s="2271"/>
      <c r="E68" s="1886"/>
      <c r="F68" s="1886"/>
      <c r="G68" s="1886"/>
      <c r="H68" s="1886"/>
      <c r="I68" s="1886"/>
      <c r="J68" s="2358"/>
      <c r="K68" s="2298" t="str">
        <f>+'CO2 - Cálculos'!AC67</f>
        <v>CDR seco + rejeito aterro</v>
      </c>
      <c r="L68" s="2238">
        <f>+'CO2 - Cálculos'!AG67</f>
        <v>9878.871077030024</v>
      </c>
      <c r="M68" s="2271"/>
      <c r="N68" s="1886"/>
      <c r="O68" s="1886"/>
      <c r="P68" s="1886"/>
      <c r="Q68" s="1886"/>
      <c r="R68" s="1886"/>
      <c r="S68" s="1886"/>
      <c r="T68" s="1886"/>
    </row>
    <row r="69" spans="1:20" ht="18" customHeight="1" x14ac:dyDescent="0.25">
      <c r="A69" s="2230"/>
      <c r="B69" s="2299" t="str">
        <f>+'CO2 - Cálculos'!AC23</f>
        <v>Têxteis</v>
      </c>
      <c r="C69" s="2238">
        <f>+'CO2 - Cálculos'!AG23</f>
        <v>0</v>
      </c>
      <c r="D69" s="2271"/>
      <c r="E69" s="1886"/>
      <c r="F69" s="1886"/>
      <c r="G69" s="1886"/>
      <c r="H69" s="1886"/>
      <c r="I69" s="1886"/>
      <c r="J69" s="2358"/>
      <c r="K69" s="2298" t="str">
        <f>+'CO2 - Cálculos'!AC68</f>
        <v>CDR seco + trat. biol.</v>
      </c>
      <c r="L69" s="2238">
        <f>+'CO2 - Cálculos'!AG68</f>
        <v>6937.3741446002377</v>
      </c>
      <c r="M69" s="2271"/>
      <c r="N69" s="1886"/>
      <c r="O69" s="1886"/>
      <c r="P69" s="1886"/>
      <c r="Q69" s="1886"/>
      <c r="R69" s="1886"/>
      <c r="S69" s="1886"/>
      <c r="T69" s="1886"/>
    </row>
    <row r="70" spans="1:20" ht="18" customHeight="1" x14ac:dyDescent="0.25">
      <c r="A70" s="1886"/>
      <c r="B70" s="2359" t="s">
        <v>1257</v>
      </c>
      <c r="C70" s="2271"/>
      <c r="D70" s="2236"/>
      <c r="E70" s="1886"/>
      <c r="F70" s="1886"/>
      <c r="G70" s="1886"/>
      <c r="H70" s="1886"/>
      <c r="I70" s="1886"/>
      <c r="J70" s="1886"/>
      <c r="K70" s="2298" t="str">
        <f>+'CO2 - Cálculos'!AC69</f>
        <v>CDR seco + CDR org.</v>
      </c>
      <c r="L70" s="2238">
        <f>+'CO2 - Cálculos'!AG69</f>
        <v>0</v>
      </c>
      <c r="M70" s="2271"/>
      <c r="N70" s="1886"/>
      <c r="O70" s="1886"/>
      <c r="P70" s="1886"/>
      <c r="Q70" s="1886"/>
      <c r="R70" s="1886"/>
      <c r="S70" s="1886"/>
      <c r="T70" s="1886"/>
    </row>
    <row r="71" spans="1:20" ht="18" customHeight="1" x14ac:dyDescent="0.25">
      <c r="A71" s="1886"/>
      <c r="B71" s="2296" t="str">
        <f>+'CO2 - Cálculos'!AC25</f>
        <v>Resíduos de alimentos</v>
      </c>
      <c r="C71" s="2238">
        <f>+'CO2 - Cálculos'!AG25</f>
        <v>0</v>
      </c>
      <c r="D71" s="2271"/>
      <c r="E71" s="1886"/>
      <c r="F71" s="1886"/>
      <c r="G71" s="1886"/>
      <c r="H71" s="1886"/>
      <c r="I71" s="1886"/>
      <c r="J71" s="1886"/>
      <c r="K71" s="2298" t="str">
        <f>+'CO2 - Cálculos'!AC70</f>
        <v>Incineração</v>
      </c>
      <c r="L71" s="2238">
        <f>+'CO2 - Cálculos'!AG70</f>
        <v>0</v>
      </c>
      <c r="M71" s="2271"/>
      <c r="N71" s="1886"/>
      <c r="O71" s="1886"/>
      <c r="P71" s="1886"/>
      <c r="Q71" s="1886"/>
      <c r="R71" s="1886"/>
      <c r="S71" s="1886"/>
      <c r="T71" s="1886"/>
    </row>
    <row r="72" spans="1:20" ht="18" customHeight="1" x14ac:dyDescent="0.25">
      <c r="A72" s="1886"/>
      <c r="B72" s="2296" t="str">
        <f>+'CO2 - Cálculos'!AC26</f>
        <v>Resíduos de jardins e parques</v>
      </c>
      <c r="C72" s="2238">
        <f>+'CO2 - Cálculos'!AG26</f>
        <v>0</v>
      </c>
      <c r="D72" s="2271"/>
      <c r="E72" s="1886"/>
      <c r="F72" s="1886"/>
      <c r="G72" s="1886"/>
      <c r="H72" s="1886"/>
      <c r="I72" s="1886"/>
      <c r="J72" s="1886"/>
      <c r="K72" s="2360" t="s">
        <v>1257</v>
      </c>
      <c r="L72" s="2271"/>
      <c r="M72" s="2271"/>
      <c r="N72" s="1886"/>
      <c r="O72" s="1886"/>
      <c r="P72" s="1886"/>
      <c r="Q72" s="1886"/>
      <c r="R72" s="1886"/>
      <c r="S72" s="1886"/>
      <c r="T72" s="1886"/>
    </row>
    <row r="73" spans="1:20" ht="18" customHeight="1" x14ac:dyDescent="0.25">
      <c r="A73" s="1886"/>
      <c r="B73" s="2296" t="str">
        <f>+'CO2 - Cálculos'!AC27</f>
        <v>Papel, papelão</v>
      </c>
      <c r="C73" s="2238">
        <f>+'CO2 - Cálculos'!AG27</f>
        <v>-9859.1469840000009</v>
      </c>
      <c r="D73" s="2271"/>
      <c r="E73" s="1886"/>
      <c r="F73" s="1886"/>
      <c r="G73" s="1886"/>
      <c r="H73" s="1886"/>
      <c r="I73" s="1886"/>
      <c r="J73" s="1886"/>
      <c r="K73" s="2298" t="str">
        <f>+'CO2 - Cálculos'!AC72</f>
        <v>Resíduos dispersos</v>
      </c>
      <c r="L73" s="2238">
        <f>+'CO2 - Cálculos'!AG72</f>
        <v>0</v>
      </c>
      <c r="M73" s="2271"/>
      <c r="N73" s="1886"/>
      <c r="O73" s="1886"/>
      <c r="P73" s="1886"/>
      <c r="Q73" s="1886"/>
      <c r="R73" s="1886"/>
      <c r="S73" s="1886"/>
      <c r="T73" s="1886"/>
    </row>
    <row r="74" spans="1:20" ht="18" customHeight="1" x14ac:dyDescent="0.25">
      <c r="A74" s="1886"/>
      <c r="B74" s="2296" t="str">
        <f>+'CO2 - Cálculos'!AC28</f>
        <v>Plásticos</v>
      </c>
      <c r="C74" s="2238">
        <f>+'CO2 - Cálculos'!AG28</f>
        <v>-8281.2747600000002</v>
      </c>
      <c r="D74" s="2271"/>
      <c r="E74" s="1886"/>
      <c r="F74" s="1886"/>
      <c r="G74" s="1886"/>
      <c r="H74" s="1886"/>
      <c r="I74" s="1886"/>
      <c r="J74" s="1886"/>
      <c r="K74" s="2298" t="str">
        <f>+'CO2 - Cálculos'!AC73</f>
        <v>Queima a céu aberto</v>
      </c>
      <c r="L74" s="2238">
        <f>+'CO2 - Cálculos'!AG73</f>
        <v>0</v>
      </c>
      <c r="M74" s="2271"/>
      <c r="N74" s="1886"/>
      <c r="O74" s="1886"/>
      <c r="P74" s="1886"/>
      <c r="Q74" s="1886"/>
      <c r="R74" s="1886"/>
      <c r="S74" s="1886"/>
      <c r="T74" s="1886"/>
    </row>
    <row r="75" spans="1:20" ht="18" customHeight="1" x14ac:dyDescent="0.25">
      <c r="A75" s="1886"/>
      <c r="B75" s="2296" t="str">
        <f>+'CO2 - Cálculos'!AC29</f>
        <v>Vidros</v>
      </c>
      <c r="C75" s="2238">
        <f>+'CO2 - Cálculos'!AG29</f>
        <v>0</v>
      </c>
      <c r="D75" s="2271"/>
      <c r="E75" s="1886"/>
      <c r="F75" s="1886"/>
      <c r="G75" s="1886"/>
      <c r="H75" s="1886"/>
      <c r="I75" s="1886"/>
      <c r="J75" s="1886"/>
      <c r="K75" s="2298" t="str">
        <f>+'CO2 - Cálculos'!AC74</f>
        <v>Lixão não controlado</v>
      </c>
      <c r="L75" s="2238">
        <f>+'CO2 - Cálculos'!AG74</f>
        <v>0</v>
      </c>
      <c r="M75" s="2271"/>
      <c r="N75" s="1886"/>
      <c r="O75" s="1886"/>
      <c r="P75" s="1886"/>
      <c r="Q75" s="1886"/>
      <c r="R75" s="1886"/>
      <c r="S75" s="1886"/>
      <c r="T75" s="1886"/>
    </row>
    <row r="76" spans="1:20" ht="18" customHeight="1" x14ac:dyDescent="0.25">
      <c r="A76" s="1886"/>
      <c r="B76" s="2296" t="str">
        <f>+'CO2 - Cálculos'!AC30</f>
        <v>Metais ferrosos</v>
      </c>
      <c r="C76" s="2238">
        <f>+'CO2 - Cálculos'!AG30</f>
        <v>-5461.4512000000004</v>
      </c>
      <c r="D76" s="2271"/>
      <c r="E76" s="1886"/>
      <c r="F76" s="1886"/>
      <c r="G76" s="1886"/>
      <c r="H76" s="1886"/>
      <c r="I76" s="1886"/>
      <c r="J76" s="1886"/>
      <c r="K76" s="2298" t="str">
        <f>+'CO2 - Cálculos'!AC75</f>
        <v>Aterro controlado</v>
      </c>
      <c r="L76" s="2238">
        <f>+'CO2 - Cálculos'!AG75</f>
        <v>0</v>
      </c>
      <c r="M76" s="2271"/>
      <c r="N76" s="1886"/>
      <c r="O76" s="1886"/>
      <c r="P76" s="1886"/>
      <c r="Q76" s="1886"/>
      <c r="R76" s="1886"/>
      <c r="S76" s="1886"/>
      <c r="T76" s="1886"/>
    </row>
    <row r="77" spans="1:20" ht="18" customHeight="1" x14ac:dyDescent="0.25">
      <c r="A77" s="1886"/>
      <c r="B77" s="2296" t="str">
        <f>+'CO2 - Cálculos'!AC31</f>
        <v>Alumínio</v>
      </c>
      <c r="C77" s="2238">
        <f>+'CO2 - Cálculos'!AG31</f>
        <v>-8222.1359999999986</v>
      </c>
      <c r="D77" s="2271"/>
      <c r="E77" s="1886"/>
      <c r="F77" s="1886"/>
      <c r="G77" s="1886"/>
      <c r="H77" s="1886"/>
      <c r="I77" s="1886"/>
      <c r="J77" s="2358"/>
      <c r="K77" s="2298" t="str">
        <f>+'CO2 - Cálculos'!AC76</f>
        <v>Aterro sanitário</v>
      </c>
      <c r="L77" s="2238">
        <f>+'CO2 - Cálculos'!AG76</f>
        <v>0</v>
      </c>
      <c r="M77" s="2271"/>
      <c r="N77" s="1886"/>
      <c r="O77" s="1886"/>
      <c r="P77" s="1886"/>
      <c r="Q77" s="1886"/>
      <c r="R77" s="1886"/>
      <c r="S77" s="1886"/>
      <c r="T77" s="1886"/>
    </row>
    <row r="78" spans="1:20" ht="18" customHeight="1" x14ac:dyDescent="0.25">
      <c r="A78" s="1886"/>
      <c r="B78" s="2296" t="str">
        <f>+'CO2 - Cálculos'!AC32</f>
        <v>Têxteis</v>
      </c>
      <c r="C78" s="2238">
        <f>+'CO2 - Cálculos'!AG32</f>
        <v>0</v>
      </c>
      <c r="D78" s="2271"/>
      <c r="E78" s="1886"/>
      <c r="F78" s="1886"/>
      <c r="G78" s="1886"/>
      <c r="H78" s="1886"/>
      <c r="I78" s="1886"/>
      <c r="K78" s="2298" t="str">
        <f>+'CO2 - Cálculos'!AC77</f>
        <v>Trat. biol + cobertura at.</v>
      </c>
      <c r="L78" s="2238">
        <f>+'CO2 - Cálculos'!AG77</f>
        <v>0</v>
      </c>
      <c r="M78" s="2271"/>
      <c r="N78" s="1886"/>
      <c r="O78" s="1886"/>
      <c r="P78" s="1886"/>
      <c r="Q78" s="1886"/>
      <c r="R78" s="1886"/>
      <c r="S78" s="1886"/>
      <c r="T78" s="1886"/>
    </row>
    <row r="79" spans="1:20" ht="18" customHeight="1" x14ac:dyDescent="0.25">
      <c r="A79" s="1886"/>
      <c r="B79" s="2361" t="s">
        <v>1258</v>
      </c>
      <c r="C79" s="2271"/>
      <c r="D79" s="2236"/>
      <c r="E79" s="1886"/>
      <c r="F79" s="1886"/>
      <c r="G79" s="1886"/>
      <c r="H79" s="1886"/>
      <c r="I79" s="1886"/>
      <c r="J79" s="2358"/>
      <c r="K79" s="2298" t="str">
        <f>+'CO2 - Cálculos'!AC78</f>
        <v>CDR seco + rejeito aterro</v>
      </c>
      <c r="L79" s="2238">
        <f>+'CO2 - Cálculos'!AG78</f>
        <v>-8213.3557915298534</v>
      </c>
      <c r="M79" s="2271"/>
      <c r="N79" s="1886"/>
      <c r="O79" s="1886"/>
      <c r="P79" s="1886"/>
      <c r="Q79" s="1886"/>
      <c r="R79" s="1886"/>
      <c r="S79" s="1886"/>
      <c r="T79" s="1886"/>
    </row>
    <row r="80" spans="1:20" ht="18" customHeight="1" x14ac:dyDescent="0.25">
      <c r="A80" s="1886"/>
      <c r="B80" s="2361" t="s">
        <v>1259</v>
      </c>
      <c r="C80" s="2271"/>
      <c r="D80" s="2238">
        <f>SUM(C62:C69,C71:C78)</f>
        <v>-21262.545896</v>
      </c>
      <c r="E80" s="1886"/>
      <c r="F80" s="1886"/>
      <c r="G80" s="1886"/>
      <c r="H80" s="1886"/>
      <c r="I80" s="1886"/>
      <c r="J80" s="1886"/>
      <c r="K80" s="2298" t="str">
        <f>+'CO2 - Cálculos'!AC79</f>
        <v>CDR seco + trat. biol.</v>
      </c>
      <c r="L80" s="2238">
        <f>+'CO2 - Cálculos'!AG79</f>
        <v>-34496.094324425387</v>
      </c>
      <c r="M80" s="2271"/>
      <c r="N80" s="1886"/>
      <c r="O80" s="1886"/>
      <c r="P80" s="1886"/>
      <c r="Q80" s="1886"/>
      <c r="R80" s="1886"/>
      <c r="S80" s="1886"/>
      <c r="T80" s="1886"/>
    </row>
    <row r="81" spans="1:20" ht="14.25" x14ac:dyDescent="0.25">
      <c r="A81" s="1886"/>
      <c r="B81" s="1886"/>
      <c r="C81" s="1886"/>
      <c r="D81" s="1886"/>
      <c r="E81" s="1886"/>
      <c r="F81" s="1886"/>
      <c r="G81" s="1886"/>
      <c r="H81" s="1886"/>
      <c r="I81" s="1886"/>
      <c r="J81" s="1886"/>
      <c r="K81" s="2298" t="str">
        <f>+'CO2 - Cálculos'!AC80</f>
        <v>CDR seco + CDR org.</v>
      </c>
      <c r="L81" s="2238">
        <f>+'CO2 - Cálculos'!AG80</f>
        <v>0</v>
      </c>
      <c r="M81" s="2271"/>
      <c r="N81" s="1886"/>
      <c r="O81" s="1886"/>
      <c r="P81" s="1886"/>
      <c r="Q81" s="1886"/>
      <c r="R81" s="1886"/>
      <c r="S81" s="1886"/>
      <c r="T81" s="1886"/>
    </row>
    <row r="82" spans="1:20" ht="14.25" x14ac:dyDescent="0.25">
      <c r="A82" s="1886"/>
      <c r="B82" s="1886"/>
      <c r="C82" s="1886"/>
      <c r="D82" s="1886"/>
      <c r="E82" s="2263"/>
      <c r="F82" s="1886"/>
      <c r="G82" s="1886"/>
      <c r="H82" s="1886"/>
      <c r="I82" s="1886"/>
      <c r="J82" s="1886"/>
      <c r="K82" s="2298" t="str">
        <f>+'CO2 - Cálculos'!AC81</f>
        <v>Incineração</v>
      </c>
      <c r="L82" s="2238">
        <f>+'CO2 - Cálculos'!AG81</f>
        <v>0</v>
      </c>
      <c r="M82" s="2271"/>
      <c r="N82" s="1886"/>
      <c r="O82" s="1886"/>
      <c r="P82" s="1886"/>
      <c r="Q82" s="1886"/>
      <c r="R82" s="1886"/>
      <c r="S82" s="1886"/>
      <c r="T82" s="1886"/>
    </row>
    <row r="83" spans="1:20" ht="14.25" x14ac:dyDescent="0.25">
      <c r="A83" s="1886"/>
      <c r="B83" s="1886"/>
      <c r="C83" s="1886"/>
      <c r="D83" s="1886"/>
      <c r="E83" s="2263"/>
      <c r="F83" s="1886"/>
      <c r="G83" s="1886"/>
      <c r="H83" s="1886"/>
      <c r="I83" s="1886"/>
      <c r="J83" s="1886"/>
      <c r="K83" s="2300" t="s">
        <v>1258</v>
      </c>
      <c r="L83" s="2271"/>
      <c r="M83" s="2271"/>
      <c r="N83" s="1886"/>
      <c r="O83" s="1886"/>
      <c r="P83" s="1886"/>
      <c r="Q83" s="1886"/>
      <c r="R83" s="1886"/>
      <c r="S83" s="1886"/>
      <c r="T83" s="1886"/>
    </row>
    <row r="84" spans="1:20" ht="14.25" x14ac:dyDescent="0.25">
      <c r="A84" s="1886"/>
      <c r="B84" s="1886"/>
      <c r="C84" s="1886"/>
      <c r="D84" s="1886"/>
      <c r="E84" s="2263"/>
      <c r="F84" s="1886"/>
      <c r="G84" s="1886"/>
      <c r="H84" s="1886"/>
      <c r="I84" s="1886"/>
      <c r="J84" s="1886"/>
      <c r="K84" s="2300" t="s">
        <v>1259</v>
      </c>
      <c r="L84" s="2271"/>
      <c r="M84" s="2238">
        <f>SUM(L62:L71,L73:L82)</f>
        <v>28087.741813613502</v>
      </c>
      <c r="N84" s="1886"/>
      <c r="O84" s="1886"/>
      <c r="P84" s="1886"/>
      <c r="Q84" s="1886"/>
      <c r="R84" s="1886"/>
      <c r="S84" s="1886"/>
      <c r="T84" s="1886"/>
    </row>
    <row r="85" spans="1:20" x14ac:dyDescent="0.2">
      <c r="A85" s="1886"/>
      <c r="B85" s="1886"/>
      <c r="C85" s="1886"/>
      <c r="D85" s="1886"/>
      <c r="E85" s="1886"/>
      <c r="F85" s="1886"/>
      <c r="G85" s="1886"/>
      <c r="H85" s="1886"/>
      <c r="I85" s="1886"/>
      <c r="J85" s="1886"/>
      <c r="K85" s="1886"/>
      <c r="L85" s="1886"/>
      <c r="M85" s="1886"/>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row r="121" spans="1:20" x14ac:dyDescent="0.2">
      <c r="A121" s="1886"/>
      <c r="B121" s="1886"/>
      <c r="C121" s="1886"/>
      <c r="D121" s="1886"/>
      <c r="E121" s="1886"/>
      <c r="F121" s="1886"/>
      <c r="G121" s="1886"/>
      <c r="H121" s="1886"/>
      <c r="I121" s="1886"/>
      <c r="J121" s="1886"/>
      <c r="K121" s="1886"/>
      <c r="L121" s="1886"/>
      <c r="M121" s="1886"/>
      <c r="N121" s="1886"/>
      <c r="O121" s="1886"/>
      <c r="P121" s="1886"/>
      <c r="Q121" s="1886"/>
      <c r="R121" s="1886"/>
      <c r="S121" s="1886"/>
      <c r="T121"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E85DE-EE03-4060-96A0-DD3CE130B3CC}">
  <dimension ref="A1:BD121"/>
  <sheetViews>
    <sheetView zoomScale="80" zoomScaleNormal="80" workbookViewId="0">
      <selection activeCell="L13" sqref="L13"/>
    </sheetView>
  </sheetViews>
  <sheetFormatPr defaultColWidth="11.42578125" defaultRowHeight="12.75" x14ac:dyDescent="0.2"/>
  <cols>
    <col min="1" max="1" width="8.42578125" style="1842" customWidth="1"/>
    <col min="2" max="2" width="37.42578125" style="1842" customWidth="1"/>
    <col min="3" max="3" width="16.140625" style="1842" customWidth="1"/>
    <col min="4" max="4" width="15.42578125" style="1842" bestFit="1" customWidth="1"/>
    <col min="5" max="5" width="17.42578125" style="1842" customWidth="1"/>
    <col min="6" max="7" width="11.42578125" style="1842"/>
    <col min="8" max="8" width="14.7109375" style="1842" bestFit="1" customWidth="1"/>
    <col min="9" max="9" width="19.140625" style="1842" bestFit="1" customWidth="1"/>
    <col min="10" max="10" width="11.42578125" style="1842"/>
    <col min="11" max="11" width="23.42578125" style="1842" customWidth="1"/>
    <col min="12" max="12" width="19.140625" style="1842" bestFit="1" customWidth="1"/>
    <col min="13" max="13" width="10.42578125" style="1842" customWidth="1"/>
    <col min="14" max="14" width="12.140625" style="1842" customWidth="1"/>
    <col min="15" max="16384" width="11.42578125" style="1842"/>
  </cols>
  <sheetData>
    <row r="1" spans="1:20" s="2225" customFormat="1" ht="26.1" customHeight="1" x14ac:dyDescent="0.2">
      <c r="A1" s="2362" t="s">
        <v>1269</v>
      </c>
      <c r="B1" s="2363"/>
      <c r="C1" s="2363"/>
      <c r="D1" s="2363"/>
      <c r="E1" s="2363"/>
      <c r="F1" s="2224"/>
      <c r="G1" s="2224"/>
      <c r="H1" s="2224"/>
      <c r="I1" s="2224"/>
      <c r="J1" s="2224"/>
      <c r="K1" s="2224"/>
      <c r="L1" s="2224"/>
      <c r="M1" s="2224"/>
      <c r="N1" s="2224"/>
      <c r="O1" s="2224"/>
      <c r="P1" s="2224"/>
      <c r="Q1" s="2224"/>
      <c r="R1" s="2224"/>
      <c r="S1" s="2224"/>
      <c r="T1" s="2224"/>
    </row>
    <row r="2" spans="1:20" ht="14.25" customHeight="1" x14ac:dyDescent="0.25">
      <c r="A2" s="2226"/>
      <c r="B2" s="2227"/>
      <c r="C2" s="2026"/>
      <c r="D2" s="2026"/>
      <c r="E2" s="2026"/>
      <c r="F2" s="1886"/>
      <c r="G2" s="1886"/>
      <c r="H2" s="1886"/>
      <c r="I2" s="1886"/>
      <c r="J2" s="1886"/>
      <c r="K2" s="1886"/>
      <c r="L2" s="1886"/>
      <c r="M2" s="1886"/>
      <c r="N2" s="1886"/>
      <c r="O2" s="1886"/>
      <c r="P2" s="1886"/>
      <c r="Q2" s="1886"/>
      <c r="R2" s="1886"/>
      <c r="S2" s="1886"/>
      <c r="T2" s="1886"/>
    </row>
    <row r="3" spans="1:20" ht="18" customHeight="1" x14ac:dyDescent="0.2">
      <c r="A3" s="1886"/>
      <c r="B3" s="2268" t="s">
        <v>1238</v>
      </c>
      <c r="C3" s="2364">
        <f>+'CO2 - Cálculos'!AH58</f>
        <v>146000</v>
      </c>
      <c r="D3" s="2230"/>
      <c r="E3" s="2230"/>
      <c r="F3" s="1886"/>
      <c r="G3" s="1886"/>
      <c r="H3" s="1886"/>
      <c r="I3" s="1886"/>
      <c r="J3" s="1886"/>
      <c r="K3" s="1886"/>
      <c r="L3" s="1886"/>
      <c r="M3" s="1886"/>
      <c r="N3" s="1886"/>
      <c r="O3" s="1886"/>
      <c r="P3" s="1886"/>
      <c r="Q3" s="1886"/>
      <c r="R3" s="1886"/>
      <c r="S3" s="1886"/>
      <c r="T3" s="1886"/>
    </row>
    <row r="4" spans="1:20" ht="18" customHeight="1" x14ac:dyDescent="0.25">
      <c r="A4" s="1886"/>
      <c r="B4" s="1886"/>
      <c r="C4" s="2365"/>
      <c r="D4" s="2233"/>
      <c r="E4" s="2233"/>
      <c r="F4" s="1886"/>
      <c r="G4" s="1886"/>
      <c r="H4" s="1886"/>
      <c r="I4" s="1886"/>
      <c r="J4" s="1886"/>
      <c r="K4" s="1886"/>
      <c r="L4" s="1953"/>
      <c r="M4" s="1953"/>
      <c r="N4" s="1953"/>
      <c r="O4" s="1953"/>
      <c r="P4" s="1953"/>
      <c r="Q4" s="1953"/>
      <c r="R4" s="1953"/>
      <c r="S4" s="1953"/>
      <c r="T4" s="1886"/>
    </row>
    <row r="5" spans="1:20" ht="18" customHeight="1" x14ac:dyDescent="0.25">
      <c r="A5" s="1886"/>
      <c r="B5" s="2268" t="s">
        <v>1239</v>
      </c>
      <c r="C5" s="2364">
        <f>+'CO2 - Cálculos'!AH13</f>
        <v>14727.458000000001</v>
      </c>
      <c r="D5" s="2230"/>
      <c r="E5" s="2230"/>
      <c r="F5" s="1886"/>
      <c r="G5" s="1886"/>
      <c r="H5" s="1886"/>
      <c r="I5" s="1886"/>
      <c r="J5" s="1886"/>
      <c r="K5" s="1886"/>
      <c r="L5" s="1953"/>
      <c r="M5" s="1953"/>
      <c r="N5" s="1953"/>
      <c r="O5" s="2962" t="s">
        <v>1264</v>
      </c>
      <c r="P5" s="2963"/>
      <c r="Q5" s="1953"/>
      <c r="R5" s="1953"/>
      <c r="S5" s="1953"/>
      <c r="T5" s="1886"/>
    </row>
    <row r="6" spans="1:20" ht="18" customHeight="1" x14ac:dyDescent="0.25">
      <c r="A6" s="1886"/>
      <c r="B6" s="2306"/>
      <c r="C6" s="2297"/>
      <c r="D6" s="2230"/>
      <c r="E6" s="2230"/>
      <c r="F6" s="1886"/>
      <c r="G6" s="1886"/>
      <c r="H6" s="1886"/>
      <c r="I6" s="1886"/>
      <c r="J6" s="1886"/>
      <c r="K6" s="1886"/>
      <c r="L6" s="1953"/>
      <c r="M6" s="1953"/>
      <c r="N6" s="1953"/>
      <c r="O6" s="2966">
        <f>+C3</f>
        <v>146000</v>
      </c>
      <c r="P6" s="2967"/>
      <c r="Q6" s="1953"/>
      <c r="R6" s="1953"/>
      <c r="S6" s="1953"/>
      <c r="T6" s="1886"/>
    </row>
    <row r="7" spans="1:20" ht="18" customHeight="1" x14ac:dyDescent="0.25">
      <c r="A7" s="1886"/>
      <c r="B7" s="2222" t="s">
        <v>1108</v>
      </c>
      <c r="C7" s="2295">
        <f>+'CO2 - Cálculos'!AH5</f>
        <v>0</v>
      </c>
      <c r="D7" s="2230"/>
      <c r="E7" s="2230"/>
      <c r="F7" s="1886"/>
      <c r="G7" s="1886"/>
      <c r="H7" s="1886"/>
      <c r="I7" s="1886"/>
      <c r="J7" s="1886"/>
      <c r="K7" s="1886"/>
      <c r="L7" s="1953"/>
      <c r="M7" s="1973"/>
      <c r="N7" s="1953"/>
      <c r="O7" s="1953"/>
      <c r="P7" s="1953"/>
      <c r="Q7" s="1953"/>
      <c r="R7" s="1953"/>
      <c r="S7" s="1953"/>
      <c r="T7" s="1886"/>
    </row>
    <row r="8" spans="1:20" ht="18" customHeight="1" x14ac:dyDescent="0.25">
      <c r="A8" s="1886"/>
      <c r="B8" s="2222" t="s">
        <v>1109</v>
      </c>
      <c r="C8" s="2295">
        <f>+'CO2 - Cálculos'!AH6</f>
        <v>0</v>
      </c>
      <c r="D8" s="2230"/>
      <c r="E8" s="2230"/>
      <c r="F8" s="1886"/>
      <c r="G8" s="1886"/>
      <c r="H8" s="1886"/>
      <c r="I8" s="1886"/>
      <c r="J8" s="1886"/>
      <c r="K8" s="1886"/>
      <c r="L8" s="1953"/>
      <c r="M8" s="1953"/>
      <c r="N8" s="1953"/>
      <c r="O8" s="1953"/>
      <c r="P8" s="1953"/>
      <c r="Q8" s="1953"/>
      <c r="R8" s="1953"/>
      <c r="S8" s="1953"/>
      <c r="T8" s="1886"/>
    </row>
    <row r="9" spans="1:20" ht="18" customHeight="1" x14ac:dyDescent="0.25">
      <c r="A9" s="1886"/>
      <c r="B9" s="2222" t="s">
        <v>1110</v>
      </c>
      <c r="C9" s="2295">
        <f>+'CO2 - Cálculos'!AH7</f>
        <v>6368.9580000000005</v>
      </c>
      <c r="D9" s="2230"/>
      <c r="E9" s="2230"/>
      <c r="F9" s="1886"/>
      <c r="G9" s="1886"/>
      <c r="H9" s="1886"/>
      <c r="I9" s="1886"/>
      <c r="J9" s="1886"/>
      <c r="K9" s="1886"/>
      <c r="L9" s="1953"/>
      <c r="M9" s="1862" t="s">
        <v>1048</v>
      </c>
      <c r="N9" s="2310">
        <f>+C5</f>
        <v>14727.458000000001</v>
      </c>
      <c r="O9" s="2366">
        <f>+N9/O6</f>
        <v>0.100873</v>
      </c>
      <c r="P9" s="2312">
        <f>+Q9/O6</f>
        <v>0.8991269999999999</v>
      </c>
      <c r="Q9" s="2313">
        <f>+C16</f>
        <v>131272.54199999999</v>
      </c>
      <c r="R9" s="2314" t="s">
        <v>1241</v>
      </c>
      <c r="S9" s="1953"/>
      <c r="T9" s="1886"/>
    </row>
    <row r="10" spans="1:20" ht="18" customHeight="1" x14ac:dyDescent="0.25">
      <c r="A10" s="1886"/>
      <c r="B10" s="2222" t="s">
        <v>1111</v>
      </c>
      <c r="C10" s="2295">
        <f>+'CO2 - Cálculos'!AH8</f>
        <v>4336.2</v>
      </c>
      <c r="D10" s="2230"/>
      <c r="E10" s="2230"/>
      <c r="F10" s="1886"/>
      <c r="G10" s="1886"/>
      <c r="H10" s="1886"/>
      <c r="I10" s="1886"/>
      <c r="J10" s="1886"/>
      <c r="K10" s="1886"/>
      <c r="L10" s="1953"/>
      <c r="M10" s="2315"/>
      <c r="N10" s="2316"/>
      <c r="O10" s="1953"/>
      <c r="P10" s="2309"/>
      <c r="Q10" s="2316"/>
      <c r="R10" s="2315"/>
      <c r="S10" s="1953"/>
      <c r="T10" s="1886"/>
    </row>
    <row r="11" spans="1:20" ht="18" customHeight="1" x14ac:dyDescent="0.25">
      <c r="A11" s="1886"/>
      <c r="B11" s="2222" t="s">
        <v>50</v>
      </c>
      <c r="C11" s="2295">
        <f>+'CO2 - Cálculos'!AH9</f>
        <v>0</v>
      </c>
      <c r="D11" s="2230"/>
      <c r="E11" s="2230"/>
      <c r="F11" s="1886"/>
      <c r="G11" s="1886"/>
      <c r="H11" s="1886"/>
      <c r="I11" s="1886"/>
      <c r="J11" s="1886"/>
      <c r="K11" s="1886"/>
      <c r="L11" s="1953"/>
      <c r="M11" s="1862" t="str">
        <f t="shared" ref="M11:N18" si="0">+B7</f>
        <v>Resíduos de alimentos</v>
      </c>
      <c r="N11" s="2317">
        <f t="shared" si="0"/>
        <v>0</v>
      </c>
      <c r="O11" s="2367">
        <f t="shared" ref="O11:O18" si="1">+N11/$N$9</f>
        <v>0</v>
      </c>
      <c r="P11" s="2319">
        <f t="shared" ref="P11:P19" si="2">+Q11/$Q$9</f>
        <v>0</v>
      </c>
      <c r="Q11" s="2320">
        <f t="shared" ref="Q11:Q19" si="3">+C18</f>
        <v>0</v>
      </c>
      <c r="R11" s="2314" t="str">
        <f t="shared" ref="R11:R19" si="4">+B18</f>
        <v>Resíduos dispersos</v>
      </c>
      <c r="S11" s="1953"/>
      <c r="T11" s="1886"/>
    </row>
    <row r="12" spans="1:20" ht="18" customHeight="1" x14ac:dyDescent="0.25">
      <c r="A12" s="1886"/>
      <c r="B12" s="2222" t="s">
        <v>1112</v>
      </c>
      <c r="C12" s="2295">
        <f>+'CO2 - Cálculos'!AH10</f>
        <v>3190.1</v>
      </c>
      <c r="D12" s="2230"/>
      <c r="E12" s="2230"/>
      <c r="F12" s="1886"/>
      <c r="G12" s="1886"/>
      <c r="H12" s="1886"/>
      <c r="I12" s="1886"/>
      <c r="J12" s="1886"/>
      <c r="K12" s="1886"/>
      <c r="L12" s="1953"/>
      <c r="M12" s="1862" t="str">
        <f t="shared" si="0"/>
        <v>Resíduos de jardins e parques</v>
      </c>
      <c r="N12" s="2317">
        <f t="shared" si="0"/>
        <v>0</v>
      </c>
      <c r="O12" s="2367">
        <f t="shared" si="1"/>
        <v>0</v>
      </c>
      <c r="P12" s="2319">
        <f t="shared" si="2"/>
        <v>0</v>
      </c>
      <c r="Q12" s="2320">
        <f t="shared" si="3"/>
        <v>0</v>
      </c>
      <c r="R12" s="2314" t="str">
        <f t="shared" si="4"/>
        <v>Queima a céu aberto</v>
      </c>
      <c r="S12" s="1953"/>
      <c r="T12" s="1886"/>
    </row>
    <row r="13" spans="1:20" ht="18" customHeight="1" x14ac:dyDescent="0.25">
      <c r="A13" s="1886"/>
      <c r="B13" s="2222" t="s">
        <v>1113</v>
      </c>
      <c r="C13" s="2295">
        <f>+'CO2 - Cálculos'!AH11</f>
        <v>832.19999999999993</v>
      </c>
      <c r="D13" s="2230"/>
      <c r="E13" s="2230"/>
      <c r="F13" s="1886"/>
      <c r="G13" s="1886"/>
      <c r="H13" s="1886"/>
      <c r="I13" s="1886"/>
      <c r="J13" s="1886"/>
      <c r="K13" s="1886"/>
      <c r="L13" s="1953"/>
      <c r="M13" s="1862" t="str">
        <f t="shared" si="0"/>
        <v>Papel, papelão</v>
      </c>
      <c r="N13" s="2317">
        <f t="shared" si="0"/>
        <v>6368.9580000000005</v>
      </c>
      <c r="O13" s="2367">
        <f t="shared" si="1"/>
        <v>0.4324546707245745</v>
      </c>
      <c r="P13" s="2319">
        <f t="shared" si="2"/>
        <v>0</v>
      </c>
      <c r="Q13" s="2320">
        <f t="shared" si="3"/>
        <v>0</v>
      </c>
      <c r="R13" s="2314" t="str">
        <f t="shared" si="4"/>
        <v>Lixão não controlado</v>
      </c>
      <c r="S13" s="1953"/>
      <c r="T13" s="1886"/>
    </row>
    <row r="14" spans="1:20" ht="18" customHeight="1" x14ac:dyDescent="0.25">
      <c r="A14" s="1886"/>
      <c r="B14" s="2222" t="s">
        <v>1114</v>
      </c>
      <c r="C14" s="2295">
        <f>+'CO2 - Cálculos'!AH12</f>
        <v>0</v>
      </c>
      <c r="D14" s="2230"/>
      <c r="E14" s="2230"/>
      <c r="F14" s="1886"/>
      <c r="G14" s="1886"/>
      <c r="H14" s="1886"/>
      <c r="I14" s="1886"/>
      <c r="J14" s="1886"/>
      <c r="K14" s="1886"/>
      <c r="L14" s="1953"/>
      <c r="M14" s="1862" t="str">
        <f t="shared" si="0"/>
        <v>Plásticos</v>
      </c>
      <c r="N14" s="2317">
        <f t="shared" si="0"/>
        <v>4336.2</v>
      </c>
      <c r="O14" s="2367">
        <f t="shared" si="1"/>
        <v>0.29442962933589761</v>
      </c>
      <c r="P14" s="2319">
        <f t="shared" si="2"/>
        <v>0</v>
      </c>
      <c r="Q14" s="2320">
        <f t="shared" si="3"/>
        <v>0</v>
      </c>
      <c r="R14" s="2314" t="str">
        <f t="shared" si="4"/>
        <v>Aterro controlado</v>
      </c>
      <c r="S14" s="1953"/>
      <c r="T14" s="1886"/>
    </row>
    <row r="15" spans="1:20" ht="18" customHeight="1" x14ac:dyDescent="0.25">
      <c r="A15" s="1886"/>
      <c r="B15" s="2365"/>
      <c r="C15" s="2368"/>
      <c r="D15" s="2230"/>
      <c r="E15" s="2230"/>
      <c r="F15" s="1886"/>
      <c r="G15" s="1886"/>
      <c r="H15" s="1886"/>
      <c r="I15" s="1886"/>
      <c r="J15" s="1886"/>
      <c r="K15" s="1886"/>
      <c r="L15" s="1953"/>
      <c r="M15" s="1862" t="str">
        <f t="shared" si="0"/>
        <v>Vidros</v>
      </c>
      <c r="N15" s="2317">
        <f t="shared" si="0"/>
        <v>0</v>
      </c>
      <c r="O15" s="2367">
        <f t="shared" si="1"/>
        <v>0</v>
      </c>
      <c r="P15" s="2319">
        <f t="shared" si="2"/>
        <v>0.375</v>
      </c>
      <c r="Q15" s="2320">
        <f t="shared" si="3"/>
        <v>49227.203249999991</v>
      </c>
      <c r="R15" s="2314" t="str">
        <f t="shared" si="4"/>
        <v>Aterro sanitário</v>
      </c>
      <c r="S15" s="1953"/>
      <c r="T15" s="2230"/>
    </row>
    <row r="16" spans="1:20" ht="18" customHeight="1" x14ac:dyDescent="0.25">
      <c r="A16" s="1886"/>
      <c r="B16" s="2274" t="s">
        <v>1265</v>
      </c>
      <c r="C16" s="2364">
        <f>+'CO2 - Cálculos'!AH57</f>
        <v>131272.54199999999</v>
      </c>
      <c r="D16" s="2230"/>
      <c r="E16" s="2230"/>
      <c r="F16" s="1886"/>
      <c r="G16" s="1886"/>
      <c r="H16" s="1886"/>
      <c r="I16" s="1886"/>
      <c r="J16" s="1886"/>
      <c r="K16" s="1886"/>
      <c r="L16" s="1953"/>
      <c r="M16" s="1862" t="str">
        <f t="shared" si="0"/>
        <v>Metais ferrosos</v>
      </c>
      <c r="N16" s="2317">
        <f t="shared" si="0"/>
        <v>3190.1</v>
      </c>
      <c r="O16" s="2367">
        <f t="shared" si="1"/>
        <v>0.21660900340031525</v>
      </c>
      <c r="P16" s="2319">
        <f t="shared" si="2"/>
        <v>0.625</v>
      </c>
      <c r="Q16" s="2320">
        <f t="shared" si="3"/>
        <v>82045.338749999995</v>
      </c>
      <c r="R16" s="2314" t="str">
        <f t="shared" si="4"/>
        <v>Trat. biol + cobertura at.</v>
      </c>
      <c r="S16" s="1953"/>
      <c r="T16" s="2230"/>
    </row>
    <row r="17" spans="1:33" ht="18" customHeight="1" x14ac:dyDescent="0.25">
      <c r="A17" s="1886"/>
      <c r="B17" s="2306"/>
      <c r="C17" s="2297"/>
      <c r="D17" s="2230"/>
      <c r="E17" s="2230"/>
      <c r="F17" s="1886"/>
      <c r="G17" s="1886"/>
      <c r="H17" s="1886"/>
      <c r="I17" s="1886"/>
      <c r="J17" s="1886"/>
      <c r="K17" s="1886"/>
      <c r="L17" s="1953"/>
      <c r="M17" s="1862" t="str">
        <f t="shared" si="0"/>
        <v>Alumínio</v>
      </c>
      <c r="N17" s="2317">
        <f t="shared" si="0"/>
        <v>832.19999999999993</v>
      </c>
      <c r="O17" s="2367">
        <f t="shared" si="1"/>
        <v>5.650669653921267E-2</v>
      </c>
      <c r="P17" s="2319">
        <f t="shared" si="2"/>
        <v>0</v>
      </c>
      <c r="Q17" s="2320">
        <f t="shared" si="3"/>
        <v>0</v>
      </c>
      <c r="R17" s="2314" t="str">
        <f t="shared" si="4"/>
        <v>CDR seco + rejeito aterro</v>
      </c>
      <c r="S17" s="1953"/>
      <c r="T17" s="1886"/>
    </row>
    <row r="18" spans="1:33" ht="18" customHeight="1" x14ac:dyDescent="0.25">
      <c r="A18" s="1886"/>
      <c r="B18" s="2222" t="s">
        <v>1243</v>
      </c>
      <c r="C18" s="2295">
        <f>+'CO2 - Cálculos'!AH47</f>
        <v>0</v>
      </c>
      <c r="D18" s="2230"/>
      <c r="E18" s="2230"/>
      <c r="F18" s="1886"/>
      <c r="G18" s="1886"/>
      <c r="H18" s="1886"/>
      <c r="I18" s="1886"/>
      <c r="J18" s="1886"/>
      <c r="K18" s="1886"/>
      <c r="L18" s="1953"/>
      <c r="M18" s="1862" t="str">
        <f t="shared" si="0"/>
        <v>Têxteis</v>
      </c>
      <c r="N18" s="2317">
        <f t="shared" si="0"/>
        <v>0</v>
      </c>
      <c r="O18" s="2367">
        <f t="shared" si="1"/>
        <v>0</v>
      </c>
      <c r="P18" s="2319">
        <f t="shared" si="2"/>
        <v>0</v>
      </c>
      <c r="Q18" s="2320">
        <f t="shared" si="3"/>
        <v>0</v>
      </c>
      <c r="R18" s="2314" t="str">
        <f t="shared" si="4"/>
        <v>CDR seco + trat. biol.</v>
      </c>
      <c r="S18" s="1953"/>
      <c r="T18" s="1886"/>
    </row>
    <row r="19" spans="1:33" ht="18" customHeight="1" x14ac:dyDescent="0.25">
      <c r="A19" s="1886"/>
      <c r="B19" s="2222" t="s">
        <v>1244</v>
      </c>
      <c r="C19" s="2295">
        <f>+'CO2 - Cálculos'!AH48</f>
        <v>0</v>
      </c>
      <c r="D19" s="2230"/>
      <c r="E19" s="2230"/>
      <c r="F19" s="1886"/>
      <c r="G19" s="1886"/>
      <c r="H19" s="1886"/>
      <c r="I19" s="1886"/>
      <c r="J19" s="1886"/>
      <c r="K19" s="1886"/>
      <c r="L19" s="1953"/>
      <c r="M19" s="1953"/>
      <c r="N19" s="2369"/>
      <c r="O19" s="2370"/>
      <c r="P19" s="2319">
        <f t="shared" si="2"/>
        <v>0</v>
      </c>
      <c r="Q19" s="2320">
        <f t="shared" si="3"/>
        <v>0</v>
      </c>
      <c r="R19" s="2314" t="str">
        <f t="shared" si="4"/>
        <v>CDR seco + CDR org.</v>
      </c>
      <c r="S19" s="1953"/>
      <c r="T19" s="1886"/>
    </row>
    <row r="20" spans="1:33" ht="18" customHeight="1" x14ac:dyDescent="0.25">
      <c r="A20" s="1886"/>
      <c r="B20" s="2222" t="s">
        <v>1245</v>
      </c>
      <c r="C20" s="2295">
        <f>+'CO2 - Cálculos'!AH49</f>
        <v>0</v>
      </c>
      <c r="D20" s="2230"/>
      <c r="E20" s="2230"/>
      <c r="F20" s="1886"/>
      <c r="G20" s="1886"/>
      <c r="H20" s="1886"/>
      <c r="I20" s="1886"/>
      <c r="J20" s="1886"/>
      <c r="K20" s="1886"/>
      <c r="L20" s="1953"/>
      <c r="M20" s="1953"/>
      <c r="N20" s="2369"/>
      <c r="O20" s="1953"/>
      <c r="P20" s="2319">
        <f>+Q20/$Q$9</f>
        <v>0</v>
      </c>
      <c r="Q20" s="2320">
        <f>+C27</f>
        <v>0</v>
      </c>
      <c r="R20" s="2314" t="str">
        <f>+B27</f>
        <v>Incineração</v>
      </c>
      <c r="S20" s="1953"/>
      <c r="T20" s="1886"/>
    </row>
    <row r="21" spans="1:33" ht="18" customHeight="1" x14ac:dyDescent="0.25">
      <c r="A21" s="1886"/>
      <c r="B21" s="2222" t="s">
        <v>1246</v>
      </c>
      <c r="C21" s="2295">
        <f>+'CO2 - Cálculos'!AH50</f>
        <v>0</v>
      </c>
      <c r="D21" s="2230"/>
      <c r="E21" s="2230"/>
      <c r="F21" s="1886"/>
      <c r="G21" s="1886"/>
      <c r="H21" s="1886"/>
      <c r="I21" s="1886"/>
      <c r="J21" s="1886"/>
      <c r="K21" s="1886"/>
      <c r="L21" s="1953"/>
      <c r="M21" s="1953"/>
      <c r="N21" s="1953"/>
      <c r="O21" s="1953"/>
      <c r="P21" s="1953"/>
      <c r="Q21" s="2371"/>
      <c r="R21" s="1953"/>
      <c r="S21" s="1953"/>
      <c r="T21" s="1886"/>
    </row>
    <row r="22" spans="1:33" ht="18" customHeight="1" x14ac:dyDescent="0.2">
      <c r="A22" s="1886"/>
      <c r="B22" s="2322" t="s">
        <v>64</v>
      </c>
      <c r="C22" s="2295">
        <f>+'CO2 - Cálculos'!AH51</f>
        <v>49227.203249999991</v>
      </c>
      <c r="D22" s="2230"/>
      <c r="E22" s="2230"/>
      <c r="F22" s="1886"/>
      <c r="G22" s="1886"/>
      <c r="H22" s="1886"/>
      <c r="I22" s="1886"/>
      <c r="J22" s="1886"/>
      <c r="K22" s="1886"/>
      <c r="L22" s="1886"/>
      <c r="M22" s="1886"/>
      <c r="N22" s="1886"/>
      <c r="O22" s="1886"/>
      <c r="P22" s="1886"/>
      <c r="Q22" s="2012"/>
      <c r="R22" s="1886"/>
      <c r="S22" s="1886"/>
      <c r="T22" s="1886"/>
    </row>
    <row r="23" spans="1:33" ht="18" customHeight="1" x14ac:dyDescent="0.2">
      <c r="A23" s="1886"/>
      <c r="B23" s="2323" t="s">
        <v>1247</v>
      </c>
      <c r="C23" s="2372">
        <f>+'CO2 - Cálculos'!AH52</f>
        <v>82045.338749999995</v>
      </c>
      <c r="D23" s="2230"/>
      <c r="E23" s="2230"/>
      <c r="F23" s="1886"/>
      <c r="G23" s="1886"/>
      <c r="H23" s="1886"/>
      <c r="I23" s="1886"/>
      <c r="J23" s="1886"/>
      <c r="K23" s="1886"/>
      <c r="L23" s="1886"/>
      <c r="M23" s="1886"/>
      <c r="N23" s="1886"/>
      <c r="O23" s="1886"/>
      <c r="P23" s="1886"/>
      <c r="Q23" s="1886"/>
      <c r="R23" s="1886"/>
      <c r="S23" s="1886"/>
      <c r="T23" s="1886"/>
    </row>
    <row r="24" spans="1:33" ht="18" customHeight="1" x14ac:dyDescent="0.2">
      <c r="A24" s="1886"/>
      <c r="B24" s="2323" t="s">
        <v>1248</v>
      </c>
      <c r="C24" s="2295">
        <f>+'CO2 - Cálculos'!AH53</f>
        <v>0</v>
      </c>
      <c r="D24" s="2230"/>
      <c r="E24" s="2230"/>
      <c r="F24" s="1886"/>
      <c r="G24" s="1886"/>
      <c r="H24" s="1886"/>
      <c r="I24" s="1886"/>
      <c r="J24" s="1886"/>
      <c r="K24" s="1886"/>
      <c r="L24" s="1886"/>
      <c r="M24" s="1886"/>
      <c r="N24" s="1886"/>
      <c r="O24" s="1886"/>
      <c r="P24" s="1886"/>
      <c r="Q24" s="1886"/>
      <c r="R24" s="1886"/>
      <c r="S24" s="1886"/>
      <c r="T24" s="1886"/>
    </row>
    <row r="25" spans="1:33" ht="18" customHeight="1" x14ac:dyDescent="0.2">
      <c r="A25" s="1886"/>
      <c r="B25" s="2323" t="s">
        <v>1249</v>
      </c>
      <c r="C25" s="2295">
        <f>+'CO2 - Cálculos'!AH54</f>
        <v>0</v>
      </c>
      <c r="D25" s="2230"/>
      <c r="E25" s="2230"/>
      <c r="F25" s="1886"/>
      <c r="G25" s="1886"/>
      <c r="H25" s="1886"/>
      <c r="I25" s="1886"/>
      <c r="J25" s="1886"/>
      <c r="K25" s="1886"/>
      <c r="L25" s="1886"/>
      <c r="M25" s="1886"/>
      <c r="N25" s="1886"/>
      <c r="O25" s="1886"/>
      <c r="P25" s="1886"/>
      <c r="Q25" s="1886"/>
      <c r="R25" s="1886"/>
      <c r="S25" s="1886"/>
      <c r="T25" s="1886"/>
    </row>
    <row r="26" spans="1:33" ht="18" customHeight="1" x14ac:dyDescent="0.2">
      <c r="A26" s="1886"/>
      <c r="B26" s="2323" t="s">
        <v>1250</v>
      </c>
      <c r="C26" s="2295">
        <f>+'CO2 - Cálculos'!AH55</f>
        <v>0</v>
      </c>
      <c r="D26" s="2230"/>
      <c r="E26" s="2230"/>
      <c r="F26" s="1886"/>
      <c r="G26" s="1886"/>
      <c r="H26" s="1886"/>
      <c r="I26" s="1886"/>
      <c r="J26" s="1886"/>
      <c r="K26" s="1886"/>
      <c r="L26" s="1886"/>
      <c r="M26" s="1886"/>
      <c r="N26" s="1886"/>
      <c r="O26" s="1886"/>
      <c r="P26" s="1886"/>
      <c r="Q26" s="1886"/>
      <c r="R26" s="1886"/>
      <c r="S26" s="1886"/>
      <c r="T26" s="1886"/>
    </row>
    <row r="27" spans="1:33" ht="18" customHeight="1" x14ac:dyDescent="0.2">
      <c r="A27" s="1886"/>
      <c r="B27" s="2222" t="s">
        <v>63</v>
      </c>
      <c r="C27" s="2295">
        <f>+'CO2 - Cálculos'!AH56</f>
        <v>0</v>
      </c>
      <c r="D27" s="2230"/>
      <c r="E27" s="2230"/>
      <c r="F27" s="1886"/>
      <c r="G27" s="1886"/>
      <c r="H27" s="1886"/>
      <c r="I27" s="1886"/>
      <c r="J27" s="1886"/>
      <c r="K27" s="1886"/>
      <c r="L27" s="1886"/>
      <c r="M27" s="1886"/>
      <c r="N27" s="1886"/>
      <c r="O27" s="1886"/>
      <c r="P27" s="1886"/>
      <c r="Q27" s="1886"/>
      <c r="R27" s="1886"/>
      <c r="S27" s="1886"/>
      <c r="T27" s="1886"/>
    </row>
    <row r="28" spans="1:33" x14ac:dyDescent="0.2">
      <c r="A28" s="1886"/>
      <c r="B28" s="1886"/>
      <c r="C28" s="2230"/>
      <c r="D28" s="2230"/>
      <c r="E28" s="2230"/>
      <c r="F28" s="2026"/>
      <c r="G28" s="2026"/>
      <c r="H28" s="2026"/>
      <c r="I28" s="2026"/>
      <c r="J28" s="2026"/>
      <c r="K28" s="2026"/>
      <c r="L28" s="2026"/>
      <c r="M28" s="2026"/>
      <c r="N28" s="2026"/>
      <c r="O28" s="2026"/>
      <c r="P28" s="2026"/>
      <c r="Q28" s="2026"/>
      <c r="R28" s="2026"/>
      <c r="S28" s="2026"/>
      <c r="T28" s="2026"/>
      <c r="U28" s="1841"/>
      <c r="V28" s="1841"/>
      <c r="W28" s="1841"/>
      <c r="X28" s="1841"/>
      <c r="Y28" s="1841"/>
      <c r="Z28" s="1841"/>
      <c r="AA28" s="1841"/>
      <c r="AB28" s="1841"/>
      <c r="AC28" s="1841"/>
      <c r="AD28" s="1841"/>
      <c r="AE28" s="1841"/>
      <c r="AF28" s="1841"/>
      <c r="AG28" s="1841"/>
    </row>
    <row r="29" spans="1:33" s="2225" customFormat="1" ht="26.1" customHeight="1" x14ac:dyDescent="0.2">
      <c r="A29" s="2059" t="s">
        <v>1266</v>
      </c>
      <c r="B29" s="2262"/>
      <c r="C29" s="1981"/>
      <c r="D29" s="1981"/>
      <c r="E29" s="1981"/>
      <c r="F29" s="2026"/>
      <c r="G29" s="2026"/>
      <c r="H29" s="2026"/>
      <c r="I29" s="2026"/>
      <c r="J29" s="2026"/>
      <c r="K29" s="2026"/>
      <c r="L29" s="2026"/>
      <c r="M29" s="2026"/>
      <c r="N29" s="2026"/>
      <c r="O29" s="2026"/>
      <c r="P29" s="2026"/>
      <c r="Q29" s="2026"/>
      <c r="R29" s="2026"/>
      <c r="S29" s="2026"/>
      <c r="T29" s="2026"/>
      <c r="U29" s="1841"/>
      <c r="V29" s="1841"/>
      <c r="W29" s="1841"/>
      <c r="X29" s="1841"/>
      <c r="Y29" s="1841"/>
      <c r="Z29" s="1841"/>
      <c r="AA29" s="1841"/>
      <c r="AB29" s="1841"/>
      <c r="AC29" s="1841"/>
      <c r="AD29" s="1841"/>
      <c r="AE29" s="1841"/>
      <c r="AF29" s="1841"/>
      <c r="AG29" s="1841"/>
    </row>
    <row r="30" spans="1:33"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33" s="2221" customFormat="1" ht="18" customHeight="1" x14ac:dyDescent="0.25">
      <c r="A31" s="2136"/>
      <c r="B31" s="2147"/>
      <c r="C31" s="2373" t="s">
        <v>1252</v>
      </c>
      <c r="D31" s="2302" t="s">
        <v>1253</v>
      </c>
      <c r="E31" s="2302" t="s">
        <v>1254</v>
      </c>
      <c r="F31" s="2136"/>
      <c r="G31" s="2136"/>
      <c r="H31" s="2374"/>
      <c r="I31" s="2136"/>
      <c r="J31" s="2136"/>
      <c r="K31" s="2136"/>
      <c r="L31" s="2136"/>
      <c r="M31" s="2136"/>
      <c r="N31" s="2136"/>
      <c r="O31" s="2136"/>
      <c r="P31" s="2136"/>
      <c r="Q31" s="2136"/>
      <c r="R31" s="2136"/>
      <c r="S31" s="2136"/>
      <c r="T31" s="2136"/>
    </row>
    <row r="32" spans="1:33" s="2221" customFormat="1" ht="18" customHeight="1" x14ac:dyDescent="0.25">
      <c r="A32" s="2136"/>
      <c r="B32" s="2302" t="s">
        <v>1239</v>
      </c>
      <c r="C32" s="2307"/>
      <c r="D32" s="2375"/>
      <c r="E32" s="2375"/>
      <c r="F32" s="2136"/>
      <c r="G32" s="2136"/>
      <c r="H32" s="2136"/>
      <c r="I32" s="2136"/>
      <c r="J32" s="2136"/>
      <c r="K32" s="2136"/>
      <c r="L32" s="2136"/>
      <c r="M32" s="2136"/>
      <c r="N32" s="2136"/>
      <c r="O32" s="2136"/>
      <c r="P32" s="2136"/>
      <c r="Q32" s="2136"/>
      <c r="R32" s="2136"/>
      <c r="S32" s="2136"/>
      <c r="T32" s="2136"/>
    </row>
    <row r="33" spans="1:20" s="2221" customFormat="1" ht="18" customHeight="1" x14ac:dyDescent="0.25">
      <c r="A33" s="2136"/>
      <c r="B33" s="2376"/>
      <c r="C33" s="2375"/>
      <c r="D33" s="2375"/>
      <c r="E33" s="2375"/>
      <c r="F33" s="2136"/>
      <c r="G33" s="2136"/>
      <c r="H33" s="2136"/>
      <c r="I33" s="2136"/>
      <c r="J33" s="2136"/>
      <c r="K33" s="2136"/>
      <c r="L33" s="2136"/>
      <c r="M33" s="2136"/>
      <c r="N33" s="2136"/>
      <c r="O33" s="2136"/>
      <c r="P33" s="2136"/>
      <c r="Q33" s="2136"/>
      <c r="R33" s="2136"/>
      <c r="S33" s="2136"/>
      <c r="T33" s="2136"/>
    </row>
    <row r="34" spans="1:20" s="2221" customFormat="1" ht="18" customHeight="1" x14ac:dyDescent="0.25">
      <c r="A34" s="2136"/>
      <c r="B34" s="2299" t="str">
        <f>B7</f>
        <v>Resíduos de alimentos</v>
      </c>
      <c r="C34" s="2308">
        <f t="shared" ref="C34:C41" si="5">+C62</f>
        <v>0</v>
      </c>
      <c r="D34" s="2308">
        <f t="shared" ref="D34:D41" si="6">+C71</f>
        <v>0</v>
      </c>
      <c r="E34" s="2308">
        <f t="shared" ref="E34:E41" si="7">+D34+C34</f>
        <v>0</v>
      </c>
      <c r="F34" s="2136"/>
      <c r="G34" s="2136"/>
      <c r="H34" s="2136"/>
      <c r="I34" s="2136"/>
      <c r="J34" s="2136"/>
      <c r="K34" s="2136"/>
      <c r="L34" s="2136"/>
      <c r="M34" s="2136"/>
      <c r="N34" s="2136"/>
      <c r="O34" s="2136"/>
      <c r="P34" s="2136"/>
      <c r="Q34" s="2136"/>
      <c r="R34" s="2136"/>
      <c r="S34" s="2136"/>
      <c r="T34" s="2136"/>
    </row>
    <row r="35" spans="1:20" s="2221" customFormat="1" ht="18" customHeight="1" x14ac:dyDescent="0.25">
      <c r="A35" s="2136"/>
      <c r="B35" s="2299" t="str">
        <f t="shared" ref="B35:B41" si="8">B8</f>
        <v>Resíduos de jardins e parques</v>
      </c>
      <c r="C35" s="2308">
        <f t="shared" si="5"/>
        <v>0</v>
      </c>
      <c r="D35" s="2308">
        <f t="shared" si="6"/>
        <v>0</v>
      </c>
      <c r="E35" s="2308">
        <f t="shared" si="7"/>
        <v>0</v>
      </c>
      <c r="F35" s="2136"/>
      <c r="G35" s="2136"/>
      <c r="H35" s="2136"/>
      <c r="I35" s="2136"/>
      <c r="J35" s="2136"/>
      <c r="K35" s="2136"/>
      <c r="L35" s="2136"/>
      <c r="M35" s="2136"/>
      <c r="N35" s="2136"/>
      <c r="O35" s="2136"/>
      <c r="P35" s="2136"/>
      <c r="Q35" s="2136"/>
      <c r="R35" s="2136"/>
      <c r="S35" s="2136"/>
      <c r="T35" s="2136"/>
    </row>
    <row r="36" spans="1:20" s="2221" customFormat="1" ht="18" customHeight="1" x14ac:dyDescent="0.25">
      <c r="A36" s="2136"/>
      <c r="B36" s="2299" t="str">
        <f t="shared" si="8"/>
        <v>Papel, papelão</v>
      </c>
      <c r="C36" s="2308">
        <f t="shared" si="5"/>
        <v>7999.4112480000003</v>
      </c>
      <c r="D36" s="2308">
        <f t="shared" si="6"/>
        <v>-9859.1469840000009</v>
      </c>
      <c r="E36" s="2308">
        <f t="shared" si="7"/>
        <v>-1859.7357360000005</v>
      </c>
      <c r="F36" s="2136"/>
      <c r="G36" s="2136"/>
      <c r="H36" s="2136"/>
      <c r="I36" s="2136"/>
      <c r="J36" s="2136"/>
      <c r="K36" s="2136"/>
      <c r="L36" s="2136"/>
      <c r="M36" s="2136"/>
      <c r="N36" s="2136"/>
      <c r="O36" s="2136"/>
      <c r="P36" s="2136"/>
      <c r="Q36" s="2136"/>
      <c r="R36" s="2136"/>
      <c r="S36" s="2136"/>
      <c r="T36" s="2136"/>
    </row>
    <row r="37" spans="1:20" s="2221" customFormat="1" ht="18" customHeight="1" x14ac:dyDescent="0.25">
      <c r="A37" s="2136"/>
      <c r="B37" s="2299" t="str">
        <f t="shared" si="8"/>
        <v>Plásticos</v>
      </c>
      <c r="C37" s="2308">
        <f t="shared" si="5"/>
        <v>1777.8420000000001</v>
      </c>
      <c r="D37" s="2308">
        <f t="shared" si="6"/>
        <v>-8281.2747600000002</v>
      </c>
      <c r="E37" s="2308">
        <f t="shared" si="7"/>
        <v>-6503.4327599999997</v>
      </c>
      <c r="F37" s="2136"/>
      <c r="G37" s="2136"/>
      <c r="H37" s="2136"/>
      <c r="I37" s="2136"/>
      <c r="J37" s="2136"/>
      <c r="K37" s="2136"/>
      <c r="L37" s="2136"/>
      <c r="M37" s="2136"/>
      <c r="N37" s="2136"/>
      <c r="O37" s="2136"/>
      <c r="P37" s="2136"/>
      <c r="Q37" s="2136"/>
      <c r="R37" s="2136"/>
      <c r="S37" s="2136"/>
      <c r="T37" s="2136"/>
    </row>
    <row r="38" spans="1:20" s="2221" customFormat="1" ht="18" customHeight="1" x14ac:dyDescent="0.25">
      <c r="A38" s="2136"/>
      <c r="B38" s="2299" t="str">
        <f t="shared" si="8"/>
        <v>Vidros</v>
      </c>
      <c r="C38" s="2308">
        <f t="shared" si="5"/>
        <v>0</v>
      </c>
      <c r="D38" s="2308">
        <f t="shared" si="6"/>
        <v>0</v>
      </c>
      <c r="E38" s="2308">
        <f t="shared" si="7"/>
        <v>0</v>
      </c>
      <c r="F38" s="2136"/>
      <c r="G38" s="2136"/>
      <c r="H38" s="2136"/>
      <c r="I38" s="2136"/>
      <c r="J38" s="2136"/>
      <c r="K38" s="2136"/>
      <c r="L38" s="2136"/>
      <c r="M38" s="2136"/>
      <c r="N38" s="2136"/>
      <c r="O38" s="2136"/>
      <c r="P38" s="2136"/>
      <c r="Q38" s="2136"/>
      <c r="R38" s="2136"/>
      <c r="S38" s="2136"/>
      <c r="T38" s="2136"/>
    </row>
    <row r="39" spans="1:20" s="2221" customFormat="1" ht="18" customHeight="1" x14ac:dyDescent="0.25">
      <c r="A39" s="2136"/>
      <c r="B39" s="2299" t="str">
        <f t="shared" si="8"/>
        <v>Metais ferrosos</v>
      </c>
      <c r="C39" s="2308">
        <f t="shared" si="5"/>
        <v>204.16639999999998</v>
      </c>
      <c r="D39" s="2308">
        <f t="shared" si="6"/>
        <v>-5461.4512000000004</v>
      </c>
      <c r="E39" s="2308">
        <f t="shared" si="7"/>
        <v>-5257.2848000000004</v>
      </c>
      <c r="F39" s="2136"/>
      <c r="G39" s="2136"/>
      <c r="H39" s="2136"/>
      <c r="I39" s="2136"/>
      <c r="J39" s="2136"/>
      <c r="K39" s="2136"/>
      <c r="L39" s="2136"/>
      <c r="M39" s="2136"/>
      <c r="N39" s="2136"/>
      <c r="O39" s="2136"/>
      <c r="P39" s="2136"/>
      <c r="Q39" s="2136"/>
      <c r="R39" s="2136"/>
      <c r="S39" s="2136"/>
      <c r="T39" s="2136"/>
    </row>
    <row r="40" spans="1:20" s="2221" customFormat="1" ht="18" customHeight="1" x14ac:dyDescent="0.25">
      <c r="A40" s="2136"/>
      <c r="B40" s="2299" t="str">
        <f t="shared" si="8"/>
        <v>Alumínio</v>
      </c>
      <c r="C40" s="2308">
        <f t="shared" si="5"/>
        <v>580.04339999999991</v>
      </c>
      <c r="D40" s="2308">
        <f t="shared" si="6"/>
        <v>-8222.1359999999986</v>
      </c>
      <c r="E40" s="2308">
        <f t="shared" si="7"/>
        <v>-7642.092599999999</v>
      </c>
      <c r="F40" s="2136"/>
      <c r="G40" s="2136"/>
      <c r="H40" s="2136"/>
      <c r="I40" s="2136"/>
      <c r="J40" s="2136"/>
      <c r="K40" s="2136"/>
      <c r="L40" s="2136"/>
      <c r="M40" s="2136"/>
      <c r="N40" s="2136"/>
      <c r="O40" s="2136"/>
      <c r="P40" s="2136"/>
      <c r="Q40" s="2136"/>
      <c r="R40" s="2136"/>
      <c r="S40" s="2136"/>
      <c r="T40" s="2136"/>
    </row>
    <row r="41" spans="1:20" s="2221" customFormat="1" ht="18" customHeight="1" x14ac:dyDescent="0.25">
      <c r="A41" s="2136"/>
      <c r="B41" s="2299" t="str">
        <f t="shared" si="8"/>
        <v>Têxteis</v>
      </c>
      <c r="C41" s="2308">
        <f t="shared" si="5"/>
        <v>0</v>
      </c>
      <c r="D41" s="2308">
        <f t="shared" si="6"/>
        <v>0</v>
      </c>
      <c r="E41" s="2308">
        <f t="shared" si="7"/>
        <v>0</v>
      </c>
      <c r="F41" s="2136"/>
      <c r="G41" s="2136"/>
      <c r="H41" s="2136"/>
      <c r="I41" s="2136"/>
      <c r="J41" s="2136"/>
      <c r="K41" s="2136"/>
      <c r="L41" s="2136"/>
      <c r="M41" s="2136"/>
      <c r="N41" s="2136"/>
      <c r="O41" s="2136"/>
      <c r="P41" s="2136"/>
      <c r="Q41" s="2136"/>
      <c r="R41" s="2136"/>
      <c r="S41" s="2136"/>
      <c r="T41" s="2136"/>
    </row>
    <row r="42" spans="1:20" s="2221" customFormat="1" ht="18" customHeight="1" x14ac:dyDescent="0.25">
      <c r="A42" s="2136"/>
      <c r="B42" s="1904"/>
      <c r="C42" s="2377"/>
      <c r="D42" s="2377"/>
      <c r="E42" s="2377"/>
      <c r="F42" s="2136"/>
      <c r="G42" s="2136"/>
      <c r="H42" s="2136"/>
      <c r="I42" s="2136"/>
      <c r="J42" s="2136"/>
      <c r="K42" s="2136"/>
      <c r="L42" s="2136"/>
      <c r="M42" s="2136"/>
      <c r="N42" s="2136"/>
      <c r="O42" s="2136"/>
      <c r="P42" s="2136"/>
      <c r="Q42" s="2136"/>
      <c r="R42" s="2136"/>
      <c r="S42" s="2136"/>
      <c r="T42" s="2136"/>
    </row>
    <row r="43" spans="1:20" s="2221" customFormat="1" ht="18" customHeight="1" x14ac:dyDescent="0.25">
      <c r="A43" s="2136"/>
      <c r="B43" s="1975" t="s">
        <v>1265</v>
      </c>
      <c r="C43" s="2378"/>
      <c r="D43" s="2379"/>
      <c r="E43" s="2379"/>
      <c r="F43" s="2136"/>
      <c r="G43" s="2136"/>
      <c r="H43" s="2136"/>
      <c r="I43" s="2136"/>
      <c r="J43" s="2136"/>
      <c r="K43" s="2136"/>
      <c r="L43" s="2136"/>
      <c r="M43" s="2136"/>
      <c r="N43" s="2136"/>
      <c r="O43" s="2136"/>
      <c r="P43" s="2136"/>
      <c r="Q43" s="2136"/>
      <c r="R43" s="2136"/>
      <c r="S43" s="2136"/>
      <c r="T43" s="2136"/>
    </row>
    <row r="44" spans="1:20" s="2221" customFormat="1" ht="18" customHeight="1" x14ac:dyDescent="0.25">
      <c r="A44" s="2136"/>
      <c r="B44" s="2376"/>
      <c r="C44" s="2307"/>
      <c r="D44" s="2307"/>
      <c r="E44" s="2307"/>
      <c r="F44" s="2136"/>
      <c r="G44" s="2136"/>
      <c r="H44" s="2136"/>
      <c r="I44" s="2136"/>
      <c r="J44" s="2136"/>
      <c r="K44" s="2136"/>
      <c r="L44" s="2136"/>
      <c r="M44" s="2136"/>
      <c r="N44" s="2136"/>
      <c r="O44" s="2136"/>
      <c r="P44" s="2136"/>
      <c r="Q44" s="2136"/>
      <c r="R44" s="2136"/>
      <c r="S44" s="2136"/>
      <c r="T44" s="2136"/>
    </row>
    <row r="45" spans="1:20" s="2221" customFormat="1" ht="18" customHeight="1" x14ac:dyDescent="0.25">
      <c r="A45" s="2136"/>
      <c r="B45" s="2299" t="str">
        <f>B18</f>
        <v>Resíduos dispersos</v>
      </c>
      <c r="C45" s="2308">
        <f t="shared" ref="C45:C53" si="9">+L62</f>
        <v>0</v>
      </c>
      <c r="D45" s="2308">
        <f t="shared" ref="D45:D54" si="10">+L73</f>
        <v>0</v>
      </c>
      <c r="E45" s="2308">
        <f t="shared" ref="E45:E53" si="11">+D45+C45</f>
        <v>0</v>
      </c>
      <c r="F45" s="2136"/>
      <c r="G45" s="2136"/>
      <c r="H45" s="2136"/>
      <c r="I45" s="2136"/>
      <c r="J45" s="2136"/>
      <c r="K45" s="2136"/>
      <c r="L45" s="2136"/>
      <c r="M45" s="2136"/>
      <c r="N45" s="2136"/>
      <c r="O45" s="2136"/>
      <c r="P45" s="2136"/>
      <c r="Q45" s="2136"/>
      <c r="R45" s="2136"/>
      <c r="S45" s="2136"/>
      <c r="T45" s="2136"/>
    </row>
    <row r="46" spans="1:20" s="2221" customFormat="1" ht="18" customHeight="1" x14ac:dyDescent="0.25">
      <c r="A46" s="2136"/>
      <c r="B46" s="2299" t="str">
        <f t="shared" ref="B46:B54" si="12">B19</f>
        <v>Queima a céu aberto</v>
      </c>
      <c r="C46" s="2308">
        <f t="shared" si="9"/>
        <v>0</v>
      </c>
      <c r="D46" s="2308">
        <f t="shared" si="10"/>
        <v>0</v>
      </c>
      <c r="E46" s="2308">
        <f t="shared" si="11"/>
        <v>0</v>
      </c>
      <c r="F46" s="2136"/>
      <c r="G46" s="2136"/>
      <c r="H46" s="2136"/>
      <c r="I46" s="2136"/>
      <c r="J46" s="2136"/>
      <c r="K46" s="2136"/>
      <c r="L46" s="2136"/>
      <c r="M46" s="2136"/>
      <c r="N46" s="2136"/>
      <c r="O46" s="2136"/>
      <c r="P46" s="2136"/>
      <c r="Q46" s="2136"/>
      <c r="R46" s="2136"/>
      <c r="S46" s="2136"/>
      <c r="T46" s="2136"/>
    </row>
    <row r="47" spans="1:20" s="2221" customFormat="1" ht="18" customHeight="1" x14ac:dyDescent="0.25">
      <c r="A47" s="2136"/>
      <c r="B47" s="2299" t="str">
        <f t="shared" si="12"/>
        <v>Lixão não controlado</v>
      </c>
      <c r="C47" s="2308">
        <f t="shared" si="9"/>
        <v>0</v>
      </c>
      <c r="D47" s="2308">
        <f t="shared" si="10"/>
        <v>0</v>
      </c>
      <c r="E47" s="2308">
        <f t="shared" si="11"/>
        <v>0</v>
      </c>
      <c r="F47" s="2136"/>
      <c r="G47" s="2136"/>
      <c r="H47" s="2136"/>
      <c r="I47" s="2136"/>
      <c r="J47" s="2136"/>
      <c r="K47" s="2136"/>
      <c r="L47" s="2136"/>
      <c r="M47" s="2136"/>
      <c r="N47" s="2136"/>
      <c r="O47" s="2136"/>
      <c r="P47" s="2136"/>
      <c r="Q47" s="2136"/>
      <c r="R47" s="2136"/>
      <c r="S47" s="2136"/>
      <c r="T47" s="2136"/>
    </row>
    <row r="48" spans="1:20" s="2221" customFormat="1" ht="18" customHeight="1" x14ac:dyDescent="0.25">
      <c r="A48" s="2136"/>
      <c r="B48" s="2299" t="str">
        <f t="shared" si="12"/>
        <v>Aterro controlado</v>
      </c>
      <c r="C48" s="2308">
        <f t="shared" si="9"/>
        <v>0</v>
      </c>
      <c r="D48" s="2308">
        <f t="shared" si="10"/>
        <v>0</v>
      </c>
      <c r="E48" s="2308">
        <f t="shared" si="11"/>
        <v>0</v>
      </c>
      <c r="F48" s="2136"/>
      <c r="G48" s="2136"/>
      <c r="H48" s="2136"/>
      <c r="I48" s="2136"/>
      <c r="J48" s="2136"/>
      <c r="K48" s="2136"/>
      <c r="L48" s="2136"/>
      <c r="M48" s="2136"/>
      <c r="N48" s="2136"/>
      <c r="O48" s="2136"/>
      <c r="P48" s="2136"/>
      <c r="Q48" s="2136"/>
      <c r="R48" s="2136"/>
      <c r="S48" s="2136"/>
      <c r="T48" s="2136"/>
    </row>
    <row r="49" spans="1:56" s="2221" customFormat="1" ht="18" customHeight="1" x14ac:dyDescent="0.25">
      <c r="A49" s="2136"/>
      <c r="B49" s="2299" t="str">
        <f t="shared" si="12"/>
        <v>Aterro sanitário</v>
      </c>
      <c r="C49" s="2308">
        <f t="shared" si="9"/>
        <v>57836.728615648368</v>
      </c>
      <c r="D49" s="2308">
        <f t="shared" si="10"/>
        <v>0</v>
      </c>
      <c r="E49" s="2308">
        <f t="shared" si="11"/>
        <v>57836.728615648368</v>
      </c>
      <c r="F49" s="2136"/>
      <c r="G49" s="2136"/>
      <c r="H49" s="2136"/>
      <c r="I49" s="2136"/>
      <c r="J49" s="2136"/>
      <c r="K49" s="2136"/>
      <c r="L49" s="2136"/>
      <c r="M49" s="2136"/>
      <c r="N49" s="2136"/>
      <c r="O49" s="2136"/>
      <c r="P49" s="2136"/>
      <c r="Q49" s="2136"/>
      <c r="R49" s="2136"/>
      <c r="S49" s="2136"/>
      <c r="T49" s="2136"/>
    </row>
    <row r="50" spans="1:56" s="2221" customFormat="1" ht="18" customHeight="1" x14ac:dyDescent="0.25">
      <c r="A50" s="2136"/>
      <c r="B50" s="2299" t="str">
        <f t="shared" si="12"/>
        <v>Trat. biol + cobertura at.</v>
      </c>
      <c r="C50" s="2308">
        <f t="shared" si="9"/>
        <v>2893.2878483493746</v>
      </c>
      <c r="D50" s="2308">
        <f t="shared" si="10"/>
        <v>0</v>
      </c>
      <c r="E50" s="2308">
        <f t="shared" si="11"/>
        <v>2893.2878483493746</v>
      </c>
      <c r="F50" s="2136"/>
      <c r="G50" s="2136"/>
      <c r="H50" s="2136"/>
      <c r="I50" s="2136"/>
      <c r="J50" s="2136"/>
      <c r="K50" s="2136"/>
      <c r="L50" s="2136"/>
      <c r="M50" s="2136"/>
      <c r="N50" s="2136"/>
      <c r="O50" s="2136"/>
      <c r="P50" s="2136"/>
      <c r="Q50" s="2136"/>
      <c r="R50" s="2136"/>
      <c r="S50" s="2136"/>
      <c r="T50" s="2136"/>
    </row>
    <row r="51" spans="1:56" s="2221" customFormat="1" ht="18" customHeight="1" x14ac:dyDescent="0.25">
      <c r="A51" s="2136"/>
      <c r="B51" s="2299" t="str">
        <f t="shared" si="12"/>
        <v>CDR seco + rejeito aterro</v>
      </c>
      <c r="C51" s="2308">
        <f t="shared" si="9"/>
        <v>0</v>
      </c>
      <c r="D51" s="2308">
        <f t="shared" si="10"/>
        <v>0</v>
      </c>
      <c r="E51" s="2308">
        <f t="shared" si="11"/>
        <v>0</v>
      </c>
      <c r="F51" s="2136"/>
      <c r="G51" s="2380"/>
      <c r="H51" s="2381"/>
      <c r="I51" s="2381"/>
      <c r="J51" s="2381"/>
      <c r="K51" s="2309"/>
      <c r="L51" s="2136"/>
      <c r="M51" s="2136"/>
      <c r="N51" s="2136"/>
      <c r="O51" s="2136"/>
      <c r="P51" s="2136"/>
      <c r="Q51" s="2136"/>
      <c r="R51" s="2136"/>
      <c r="S51" s="2136"/>
      <c r="T51" s="2136"/>
    </row>
    <row r="52" spans="1:56" s="2221" customFormat="1" ht="18" customHeight="1" x14ac:dyDescent="0.25">
      <c r="A52" s="2136"/>
      <c r="B52" s="2299" t="str">
        <f t="shared" si="12"/>
        <v>CDR seco + trat. biol.</v>
      </c>
      <c r="C52" s="2308">
        <f t="shared" si="9"/>
        <v>0</v>
      </c>
      <c r="D52" s="2308">
        <f t="shared" si="10"/>
        <v>0</v>
      </c>
      <c r="E52" s="2308">
        <f t="shared" si="11"/>
        <v>0</v>
      </c>
      <c r="F52" s="2136"/>
      <c r="G52" s="2382"/>
      <c r="H52" s="2383" t="s">
        <v>1255</v>
      </c>
      <c r="I52" s="2266" t="s">
        <v>1270</v>
      </c>
      <c r="J52" s="2266" t="s">
        <v>1256</v>
      </c>
      <c r="K52" s="2309"/>
      <c r="L52" s="2136"/>
      <c r="M52" s="2136"/>
      <c r="N52" s="2136"/>
      <c r="O52" s="2136"/>
      <c r="P52" s="2136"/>
      <c r="Q52" s="2136"/>
      <c r="R52" s="2136"/>
      <c r="S52" s="2136"/>
      <c r="T52" s="2136"/>
    </row>
    <row r="53" spans="1:56" s="2221" customFormat="1" ht="18" customHeight="1" x14ac:dyDescent="0.25">
      <c r="A53" s="2136"/>
      <c r="B53" s="2299" t="str">
        <f t="shared" si="12"/>
        <v>CDR seco + CDR org.</v>
      </c>
      <c r="C53" s="2308">
        <f t="shared" si="9"/>
        <v>0</v>
      </c>
      <c r="D53" s="2308">
        <f t="shared" si="10"/>
        <v>0</v>
      </c>
      <c r="E53" s="2308">
        <f t="shared" si="11"/>
        <v>0</v>
      </c>
      <c r="F53" s="2136"/>
      <c r="G53" s="1963" t="s">
        <v>1257</v>
      </c>
      <c r="H53" s="2295">
        <f>SUM(C34:C41)</f>
        <v>10561.463048000001</v>
      </c>
      <c r="I53" s="2295">
        <f>SUM(C45:C54)</f>
        <v>60730.016463997745</v>
      </c>
      <c r="J53" s="2295">
        <f>+I53+H53</f>
        <v>71291.47951199775</v>
      </c>
      <c r="K53" s="2309"/>
      <c r="L53" s="2136"/>
      <c r="M53" s="2136"/>
      <c r="N53" s="2136"/>
      <c r="O53" s="2136"/>
      <c r="P53" s="2136"/>
      <c r="Q53" s="2136"/>
      <c r="R53" s="2136"/>
      <c r="S53" s="2136"/>
      <c r="T53" s="2136"/>
    </row>
    <row r="54" spans="1:56" s="2221" customFormat="1" ht="18" customHeight="1" x14ac:dyDescent="0.25">
      <c r="A54" s="2136"/>
      <c r="B54" s="2299" t="str">
        <f t="shared" si="12"/>
        <v>Incineração</v>
      </c>
      <c r="C54" s="2308">
        <f>+L71</f>
        <v>0</v>
      </c>
      <c r="D54" s="2308">
        <f t="shared" si="10"/>
        <v>0</v>
      </c>
      <c r="E54" s="2308">
        <f>+D54+C54</f>
        <v>0</v>
      </c>
      <c r="F54" s="2136"/>
      <c r="G54" s="1963" t="s">
        <v>1258</v>
      </c>
      <c r="H54" s="2295">
        <f>SUM(D34:D41)</f>
        <v>-31824.008943999997</v>
      </c>
      <c r="I54" s="2295">
        <f>SUM(D45:D54)</f>
        <v>0</v>
      </c>
      <c r="J54" s="2295">
        <f>+I54+H54</f>
        <v>-31824.008943999997</v>
      </c>
      <c r="K54" s="2309"/>
      <c r="L54" s="2136"/>
      <c r="M54" s="2136"/>
      <c r="N54" s="2136"/>
      <c r="O54" s="2136"/>
      <c r="P54" s="2136"/>
      <c r="Q54" s="2136"/>
      <c r="R54" s="2136"/>
      <c r="S54" s="2136"/>
      <c r="T54" s="2136"/>
    </row>
    <row r="55" spans="1:56" s="2221" customFormat="1" ht="18" customHeight="1" x14ac:dyDescent="0.25">
      <c r="A55" s="2136"/>
      <c r="B55" s="1904"/>
      <c r="C55" s="2304"/>
      <c r="D55" s="2304"/>
      <c r="E55" s="2304"/>
      <c r="F55" s="2136"/>
      <c r="G55" s="1963" t="s">
        <v>1259</v>
      </c>
      <c r="H55" s="2295">
        <f>+H53+H54</f>
        <v>-21262.545895999996</v>
      </c>
      <c r="I55" s="2295">
        <f>+I53+I54</f>
        <v>60730.016463997745</v>
      </c>
      <c r="J55" s="2295">
        <f>+I55+H55</f>
        <v>39467.470567997749</v>
      </c>
      <c r="K55" s="2309"/>
      <c r="L55" s="2136"/>
      <c r="M55" s="2136"/>
      <c r="N55" s="2136"/>
      <c r="O55" s="2136"/>
      <c r="P55" s="2136"/>
      <c r="Q55" s="2136"/>
      <c r="R55" s="2136"/>
      <c r="S55" s="2136"/>
      <c r="T55" s="2136"/>
    </row>
    <row r="56" spans="1:56" s="2221" customFormat="1" ht="18" customHeight="1" x14ac:dyDescent="0.25">
      <c r="A56" s="2136"/>
      <c r="B56" s="1975" t="s">
        <v>52</v>
      </c>
      <c r="C56" s="2328">
        <f>SUM(C34:C54)</f>
        <v>71291.479511997735</v>
      </c>
      <c r="D56" s="2328">
        <f>SUM(D34:D54)</f>
        <v>-31824.008943999997</v>
      </c>
      <c r="E56" s="2328">
        <f>+D56+C56</f>
        <v>39467.470567997734</v>
      </c>
      <c r="F56" s="2136"/>
      <c r="G56" s="2384"/>
      <c r="H56" s="2385"/>
      <c r="I56" s="2385"/>
      <c r="J56" s="2385"/>
      <c r="K56" s="2136"/>
      <c r="L56" s="2136"/>
      <c r="M56" s="2136"/>
      <c r="N56" s="2136"/>
      <c r="O56" s="2136"/>
      <c r="P56" s="2136"/>
      <c r="Q56" s="2136"/>
      <c r="R56" s="2136"/>
      <c r="S56" s="2136"/>
      <c r="T56" s="2136"/>
    </row>
    <row r="57" spans="1:56"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56"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56" s="2390" customFormat="1" ht="26.1" customHeight="1" x14ac:dyDescent="0.25">
      <c r="A59" s="2287" t="s">
        <v>1260</v>
      </c>
      <c r="B59" s="2386"/>
      <c r="C59" s="2386"/>
      <c r="D59" s="2386"/>
      <c r="E59" s="2386"/>
      <c r="F59" s="2387"/>
      <c r="G59" s="2386"/>
      <c r="H59" s="2386"/>
      <c r="I59" s="2386"/>
      <c r="J59" s="2386"/>
      <c r="K59" s="1908" t="s">
        <v>1271</v>
      </c>
      <c r="L59" s="2386"/>
      <c r="M59" s="2386"/>
      <c r="N59" s="2386"/>
      <c r="O59" s="2386"/>
      <c r="P59" s="2386"/>
      <c r="Q59" s="2386"/>
      <c r="R59" s="2386"/>
      <c r="S59" s="2386"/>
      <c r="T59" s="2386"/>
      <c r="U59" s="2388"/>
      <c r="V59" s="2389"/>
      <c r="W59" s="2389"/>
      <c r="X59" s="2389"/>
      <c r="Y59" s="2389"/>
      <c r="Z59" s="2389"/>
      <c r="AA59" s="2389"/>
      <c r="AB59" s="2389"/>
      <c r="AC59" s="2389"/>
      <c r="AD59" s="2389"/>
      <c r="AE59" s="2389"/>
      <c r="AF59" s="2389"/>
      <c r="AG59" s="2389"/>
      <c r="AH59" s="2389"/>
      <c r="AI59" s="2389"/>
      <c r="AJ59" s="2389"/>
      <c r="AK59" s="2389"/>
      <c r="AL59" s="2389"/>
      <c r="AM59" s="2389"/>
      <c r="AN59" s="2389"/>
      <c r="AO59" s="2389"/>
      <c r="AP59" s="2389"/>
      <c r="AQ59" s="2389"/>
      <c r="AR59" s="2389"/>
      <c r="AS59" s="2389"/>
      <c r="AT59" s="2389"/>
      <c r="AU59" s="2389"/>
      <c r="AV59" s="2389"/>
      <c r="AW59" s="2389"/>
      <c r="AX59" s="2389"/>
      <c r="AY59" s="2389"/>
      <c r="AZ59" s="2389"/>
      <c r="BA59" s="2389"/>
      <c r="BB59" s="2389"/>
      <c r="BC59" s="2389"/>
      <c r="BD59" s="2389"/>
    </row>
    <row r="60" spans="1:56"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56" ht="18" customHeight="1" x14ac:dyDescent="0.2">
      <c r="A61" s="1886"/>
      <c r="B61" s="2391"/>
      <c r="C61" s="2266" t="s">
        <v>1239</v>
      </c>
      <c r="D61" s="2266" t="s">
        <v>1259</v>
      </c>
      <c r="E61" s="1886"/>
      <c r="F61" s="1886"/>
      <c r="G61" s="1886"/>
      <c r="H61" s="1886"/>
      <c r="I61" s="1886"/>
      <c r="J61" s="1886"/>
      <c r="K61" s="2392"/>
      <c r="L61" s="2266" t="s">
        <v>1267</v>
      </c>
      <c r="M61" s="2266" t="s">
        <v>1259</v>
      </c>
      <c r="N61" s="1886"/>
      <c r="O61" s="1886"/>
      <c r="P61" s="1886"/>
      <c r="Q61" s="1886"/>
      <c r="R61" s="1886"/>
      <c r="S61" s="1886"/>
      <c r="T61" s="1886"/>
    </row>
    <row r="62" spans="1:56" ht="18" customHeight="1" x14ac:dyDescent="0.2">
      <c r="A62" s="1886"/>
      <c r="B62" s="2299" t="str">
        <f>+'CO2 - Cálculos'!AC16</f>
        <v>Resíduos de alimentos</v>
      </c>
      <c r="C62" s="2295">
        <f>+'CO2 - Cálculos'!AH16</f>
        <v>0</v>
      </c>
      <c r="D62" s="2020"/>
      <c r="E62" s="1886"/>
      <c r="F62" s="1886"/>
      <c r="G62" s="1886"/>
      <c r="H62" s="1886"/>
      <c r="I62" s="1886"/>
      <c r="J62" s="1886"/>
      <c r="K62" s="2296" t="str">
        <f>+'CO2 - Cálculos'!AC61</f>
        <v>Resíduos dispersos</v>
      </c>
      <c r="L62" s="2295">
        <f>+'CO2 - Cálculos'!AH61</f>
        <v>0</v>
      </c>
      <c r="M62" s="2020"/>
      <c r="N62" s="1886"/>
      <c r="O62" s="1886"/>
      <c r="P62" s="1886"/>
      <c r="Q62" s="1886"/>
      <c r="R62" s="1886"/>
      <c r="S62" s="1886"/>
      <c r="T62" s="1886"/>
    </row>
    <row r="63" spans="1:56" ht="18" customHeight="1" x14ac:dyDescent="0.2">
      <c r="A63" s="1886"/>
      <c r="B63" s="2299" t="str">
        <f>+'CO2 - Cálculos'!AC17</f>
        <v>Resíduos de jardins e parques</v>
      </c>
      <c r="C63" s="2295">
        <f>+'CO2 - Cálculos'!AH17</f>
        <v>0</v>
      </c>
      <c r="D63" s="2020"/>
      <c r="E63" s="1886"/>
      <c r="F63" s="1886"/>
      <c r="G63" s="1886"/>
      <c r="H63" s="1886"/>
      <c r="I63" s="1886"/>
      <c r="J63" s="1886"/>
      <c r="K63" s="2296" t="str">
        <f>+'CO2 - Cálculos'!AC62</f>
        <v>Queima a céu aberto</v>
      </c>
      <c r="L63" s="2295">
        <f>+'CO2 - Cálculos'!AH62</f>
        <v>0</v>
      </c>
      <c r="M63" s="2020"/>
      <c r="N63" s="1886"/>
      <c r="O63" s="1886"/>
      <c r="P63" s="1886"/>
      <c r="Q63" s="1886"/>
      <c r="R63" s="1886"/>
      <c r="S63" s="1886"/>
      <c r="T63" s="1886"/>
    </row>
    <row r="64" spans="1:56" ht="18" customHeight="1" x14ac:dyDescent="0.2">
      <c r="A64" s="1886"/>
      <c r="B64" s="2299" t="str">
        <f>+'CO2 - Cálculos'!AC18</f>
        <v>Papel, papelão</v>
      </c>
      <c r="C64" s="2295">
        <f>+'CO2 - Cálculos'!AH18</f>
        <v>7999.4112480000003</v>
      </c>
      <c r="D64" s="2020"/>
      <c r="E64" s="1886"/>
      <c r="F64" s="1886"/>
      <c r="G64" s="1886"/>
      <c r="H64" s="1886"/>
      <c r="I64" s="1886"/>
      <c r="J64" s="1886"/>
      <c r="K64" s="2296" t="str">
        <f>+'CO2 - Cálculos'!AC63</f>
        <v>Lixão não controlado</v>
      </c>
      <c r="L64" s="2295">
        <f>+'CO2 - Cálculos'!AH63</f>
        <v>0</v>
      </c>
      <c r="M64" s="2020"/>
      <c r="N64" s="1886"/>
      <c r="O64" s="1886"/>
      <c r="P64" s="1886"/>
      <c r="Q64" s="1886"/>
      <c r="R64" s="1886"/>
      <c r="S64" s="1886"/>
      <c r="T64" s="1886"/>
    </row>
    <row r="65" spans="1:20" ht="18" customHeight="1" x14ac:dyDescent="0.2">
      <c r="A65" s="1886"/>
      <c r="B65" s="2299" t="str">
        <f>+'CO2 - Cálculos'!AC19</f>
        <v>Plásticos</v>
      </c>
      <c r="C65" s="2295">
        <f>+'CO2 - Cálculos'!AH19</f>
        <v>1777.8420000000001</v>
      </c>
      <c r="D65" s="2020"/>
      <c r="E65" s="1886"/>
      <c r="F65" s="1886"/>
      <c r="G65" s="1886"/>
      <c r="H65" s="1886"/>
      <c r="I65" s="1886"/>
      <c r="J65" s="1886"/>
      <c r="K65" s="2296" t="str">
        <f>+'CO2 - Cálculos'!AC64</f>
        <v>Aterro controlado</v>
      </c>
      <c r="L65" s="2295">
        <f>+'CO2 - Cálculos'!AH64</f>
        <v>0</v>
      </c>
      <c r="M65" s="2020"/>
      <c r="N65" s="1886"/>
      <c r="O65" s="1886"/>
      <c r="P65" s="1886"/>
      <c r="Q65" s="1886"/>
      <c r="R65" s="1886"/>
      <c r="S65" s="1886"/>
      <c r="T65" s="1886"/>
    </row>
    <row r="66" spans="1:20" ht="18" customHeight="1" x14ac:dyDescent="0.2">
      <c r="A66" s="1886"/>
      <c r="B66" s="2299" t="str">
        <f>+'CO2 - Cálculos'!AC20</f>
        <v>Vidros</v>
      </c>
      <c r="C66" s="2295">
        <f>+'CO2 - Cálculos'!AH20</f>
        <v>0</v>
      </c>
      <c r="D66" s="2020"/>
      <c r="E66" s="1886"/>
      <c r="F66" s="1886"/>
      <c r="G66" s="1886"/>
      <c r="H66" s="1886"/>
      <c r="I66" s="1886"/>
      <c r="J66" s="1886"/>
      <c r="K66" s="2296" t="str">
        <f>+'CO2 - Cálculos'!AC65</f>
        <v>Aterro sanitário</v>
      </c>
      <c r="L66" s="2295">
        <f>+'CO2 - Cálculos'!AH65</f>
        <v>57836.728615648368</v>
      </c>
      <c r="M66" s="2020"/>
      <c r="N66" s="1886"/>
      <c r="O66" s="1886"/>
      <c r="P66" s="1886"/>
      <c r="Q66" s="1886"/>
      <c r="R66" s="1886"/>
      <c r="S66" s="1886"/>
      <c r="T66" s="1886"/>
    </row>
    <row r="67" spans="1:20" ht="18" customHeight="1" x14ac:dyDescent="0.2">
      <c r="A67" s="1886"/>
      <c r="B67" s="2299" t="str">
        <f>+'CO2 - Cálculos'!AC21</f>
        <v>Metais ferrosos</v>
      </c>
      <c r="C67" s="2295">
        <f>+'CO2 - Cálculos'!AH21</f>
        <v>204.16639999999998</v>
      </c>
      <c r="D67" s="2020"/>
      <c r="E67" s="1886"/>
      <c r="F67" s="1886"/>
      <c r="G67" s="1886"/>
      <c r="H67" s="1886"/>
      <c r="I67" s="1886"/>
      <c r="J67" s="2358"/>
      <c r="K67" s="2296" t="str">
        <f>+'CO2 - Cálculos'!AC66</f>
        <v>Trat. biol + cobertura at.</v>
      </c>
      <c r="L67" s="2295">
        <f>+'CO2 - Cálculos'!AH66</f>
        <v>2893.2878483493746</v>
      </c>
      <c r="M67" s="2020"/>
      <c r="N67" s="1886"/>
      <c r="O67" s="1886"/>
      <c r="P67" s="1886"/>
      <c r="Q67" s="1886"/>
      <c r="R67" s="1886"/>
      <c r="S67" s="1886"/>
      <c r="T67" s="1886"/>
    </row>
    <row r="68" spans="1:20" ht="18" customHeight="1" x14ac:dyDescent="0.2">
      <c r="A68" s="1886"/>
      <c r="B68" s="2299" t="str">
        <f>+'CO2 - Cálculos'!AC22</f>
        <v>Alumínio</v>
      </c>
      <c r="C68" s="2295">
        <f>+'CO2 - Cálculos'!AH22</f>
        <v>580.04339999999991</v>
      </c>
      <c r="D68" s="2020"/>
      <c r="E68" s="1886"/>
      <c r="F68" s="1886"/>
      <c r="G68" s="1886"/>
      <c r="H68" s="1886"/>
      <c r="I68" s="1886"/>
      <c r="J68" s="2393"/>
      <c r="K68" s="2296" t="str">
        <f>+'CO2 - Cálculos'!AC67</f>
        <v>CDR seco + rejeito aterro</v>
      </c>
      <c r="L68" s="2295">
        <f>+'CO2 - Cálculos'!AH67</f>
        <v>0</v>
      </c>
      <c r="M68" s="2020"/>
      <c r="N68" s="1886"/>
      <c r="O68" s="1886"/>
      <c r="P68" s="1886"/>
      <c r="Q68" s="1886"/>
      <c r="R68" s="1886"/>
      <c r="S68" s="1886"/>
      <c r="T68" s="1886"/>
    </row>
    <row r="69" spans="1:20" ht="18" customHeight="1" x14ac:dyDescent="0.2">
      <c r="A69" s="2230"/>
      <c r="B69" s="2299" t="str">
        <f>+'CO2 - Cálculos'!AC23</f>
        <v>Têxteis</v>
      </c>
      <c r="C69" s="2295">
        <f>+'CO2 - Cálculos'!AH23</f>
        <v>0</v>
      </c>
      <c r="D69" s="2020"/>
      <c r="E69" s="1886"/>
      <c r="F69" s="1886"/>
      <c r="G69" s="1886"/>
      <c r="H69" s="1886"/>
      <c r="I69" s="1886"/>
      <c r="J69" s="2358"/>
      <c r="K69" s="2296" t="str">
        <f>+'CO2 - Cálculos'!AC68</f>
        <v>CDR seco + trat. biol.</v>
      </c>
      <c r="L69" s="2295">
        <f>+'CO2 - Cálculos'!AH68</f>
        <v>0</v>
      </c>
      <c r="M69" s="2020"/>
      <c r="N69" s="1886"/>
      <c r="O69" s="1886"/>
      <c r="P69" s="1886"/>
      <c r="Q69" s="1886"/>
      <c r="R69" s="1886"/>
      <c r="S69" s="1886"/>
      <c r="T69" s="1886"/>
    </row>
    <row r="70" spans="1:20" ht="18" customHeight="1" x14ac:dyDescent="0.2">
      <c r="A70" s="1886"/>
      <c r="B70" s="2359" t="s">
        <v>1257</v>
      </c>
      <c r="C70" s="2020"/>
      <c r="D70" s="2297"/>
      <c r="E70" s="1886"/>
      <c r="F70" s="1886"/>
      <c r="G70" s="1886"/>
      <c r="H70" s="1886"/>
      <c r="I70" s="1886"/>
      <c r="J70" s="2394"/>
      <c r="K70" s="2296" t="str">
        <f>+'CO2 - Cálculos'!AC69</f>
        <v>CDR seco + CDR org.</v>
      </c>
      <c r="L70" s="2295">
        <f>+'CO2 - Cálculos'!AH69</f>
        <v>0</v>
      </c>
      <c r="M70" s="2020"/>
      <c r="N70" s="1886"/>
      <c r="O70" s="1886"/>
      <c r="P70" s="1886"/>
      <c r="Q70" s="1886"/>
      <c r="R70" s="1886"/>
      <c r="S70" s="1886"/>
      <c r="T70" s="1886"/>
    </row>
    <row r="71" spans="1:20" ht="18" customHeight="1" x14ac:dyDescent="0.2">
      <c r="A71" s="1886"/>
      <c r="B71" s="2296" t="str">
        <f>+'CO2 - Cálculos'!AC25</f>
        <v>Resíduos de alimentos</v>
      </c>
      <c r="C71" s="2295">
        <f>+'CO2 - Cálculos'!AH25</f>
        <v>0</v>
      </c>
      <c r="D71" s="2020"/>
      <c r="E71" s="1886"/>
      <c r="F71" s="1886"/>
      <c r="G71" s="1886"/>
      <c r="H71" s="1886"/>
      <c r="I71" s="1886"/>
      <c r="J71" s="1886"/>
      <c r="K71" s="2296" t="str">
        <f>+'CO2 - Cálculos'!AC70</f>
        <v>Incineração</v>
      </c>
      <c r="L71" s="2295">
        <f>+'CO2 - Cálculos'!AH70</f>
        <v>0</v>
      </c>
      <c r="M71" s="2020"/>
      <c r="N71" s="1886"/>
      <c r="O71" s="1886"/>
      <c r="P71" s="1886"/>
      <c r="Q71" s="1886"/>
      <c r="R71" s="1886"/>
      <c r="S71" s="1886"/>
      <c r="T71" s="1886"/>
    </row>
    <row r="72" spans="1:20" ht="18" customHeight="1" x14ac:dyDescent="0.2">
      <c r="A72" s="1886"/>
      <c r="B72" s="2296" t="str">
        <f>+'CO2 - Cálculos'!AC26</f>
        <v>Resíduos de jardins e parques</v>
      </c>
      <c r="C72" s="2295">
        <f>+'CO2 - Cálculos'!AH26</f>
        <v>0</v>
      </c>
      <c r="D72" s="2020"/>
      <c r="E72" s="1886"/>
      <c r="F72" s="1886"/>
      <c r="G72" s="1886"/>
      <c r="H72" s="1886"/>
      <c r="I72" s="1886"/>
      <c r="J72" s="1886"/>
      <c r="K72" s="2359" t="s">
        <v>1257</v>
      </c>
      <c r="L72" s="2020"/>
      <c r="M72" s="2020"/>
      <c r="N72" s="1886"/>
      <c r="O72" s="1886"/>
      <c r="P72" s="1886"/>
      <c r="Q72" s="1886"/>
      <c r="R72" s="1886"/>
      <c r="S72" s="1886"/>
      <c r="T72" s="1886"/>
    </row>
    <row r="73" spans="1:20" ht="18" customHeight="1" x14ac:dyDescent="0.2">
      <c r="A73" s="1886"/>
      <c r="B73" s="2296" t="str">
        <f>+'CO2 - Cálculos'!AC27</f>
        <v>Papel, papelão</v>
      </c>
      <c r="C73" s="2295">
        <f>+'CO2 - Cálculos'!AH27</f>
        <v>-9859.1469840000009</v>
      </c>
      <c r="D73" s="2020"/>
      <c r="E73" s="1886"/>
      <c r="F73" s="1886"/>
      <c r="G73" s="1886"/>
      <c r="H73" s="1886"/>
      <c r="I73" s="1886"/>
      <c r="J73" s="1886"/>
      <c r="K73" s="2296" t="str">
        <f>+'CO2 - Cálculos'!AC72</f>
        <v>Resíduos dispersos</v>
      </c>
      <c r="L73" s="2295">
        <f>+'CO2 - Cálculos'!AH72</f>
        <v>0</v>
      </c>
      <c r="M73" s="2020"/>
      <c r="N73" s="1886"/>
      <c r="O73" s="1886"/>
      <c r="P73" s="1886"/>
      <c r="Q73" s="1886"/>
      <c r="R73" s="1886"/>
      <c r="S73" s="1886"/>
      <c r="T73" s="1886"/>
    </row>
    <row r="74" spans="1:20" ht="18" customHeight="1" x14ac:dyDescent="0.2">
      <c r="A74" s="1886"/>
      <c r="B74" s="2296" t="str">
        <f>+'CO2 - Cálculos'!AC28</f>
        <v>Plásticos</v>
      </c>
      <c r="C74" s="2295">
        <f>+'CO2 - Cálculos'!AH28</f>
        <v>-8281.2747600000002</v>
      </c>
      <c r="D74" s="2020"/>
      <c r="E74" s="1886"/>
      <c r="F74" s="1886"/>
      <c r="G74" s="1886"/>
      <c r="H74" s="1886"/>
      <c r="I74" s="1886"/>
      <c r="J74" s="1886"/>
      <c r="K74" s="2296" t="str">
        <f>+'CO2 - Cálculos'!AC73</f>
        <v>Queima a céu aberto</v>
      </c>
      <c r="L74" s="2295">
        <f>+'CO2 - Cálculos'!AH73</f>
        <v>0</v>
      </c>
      <c r="M74" s="2020"/>
      <c r="N74" s="1886"/>
      <c r="O74" s="1886"/>
      <c r="P74" s="1886"/>
      <c r="Q74" s="1886"/>
      <c r="R74" s="1886"/>
      <c r="S74" s="1886"/>
      <c r="T74" s="1886"/>
    </row>
    <row r="75" spans="1:20" ht="18" customHeight="1" x14ac:dyDescent="0.2">
      <c r="A75" s="1886"/>
      <c r="B75" s="2296" t="str">
        <f>+'CO2 - Cálculos'!AC29</f>
        <v>Vidros</v>
      </c>
      <c r="C75" s="2295">
        <f>+'CO2 - Cálculos'!AH29</f>
        <v>0</v>
      </c>
      <c r="D75" s="2020"/>
      <c r="E75" s="1886"/>
      <c r="F75" s="1886"/>
      <c r="G75" s="1886"/>
      <c r="H75" s="1886"/>
      <c r="I75" s="1886"/>
      <c r="J75" s="1886"/>
      <c r="K75" s="2296" t="str">
        <f>+'CO2 - Cálculos'!AC74</f>
        <v>Lixão não controlado</v>
      </c>
      <c r="L75" s="2295">
        <f>+'CO2 - Cálculos'!AH74</f>
        <v>0</v>
      </c>
      <c r="M75" s="2020"/>
      <c r="N75" s="1886"/>
      <c r="O75" s="1886"/>
      <c r="P75" s="1886"/>
      <c r="Q75" s="1886"/>
      <c r="R75" s="1886"/>
      <c r="S75" s="1886"/>
      <c r="T75" s="1886"/>
    </row>
    <row r="76" spans="1:20" ht="18" customHeight="1" x14ac:dyDescent="0.2">
      <c r="A76" s="1886"/>
      <c r="B76" s="2296" t="str">
        <f>+'CO2 - Cálculos'!AC30</f>
        <v>Metais ferrosos</v>
      </c>
      <c r="C76" s="2295">
        <f>+'CO2 - Cálculos'!AH30</f>
        <v>-5461.4512000000004</v>
      </c>
      <c r="D76" s="2020"/>
      <c r="E76" s="1886"/>
      <c r="F76" s="1886"/>
      <c r="G76" s="1886"/>
      <c r="H76" s="1886"/>
      <c r="I76" s="1886"/>
      <c r="J76" s="1886"/>
      <c r="K76" s="2296" t="str">
        <f>+'CO2 - Cálculos'!AC75</f>
        <v>Aterro controlado</v>
      </c>
      <c r="L76" s="2295">
        <f>+'CO2 - Cálculos'!AH75</f>
        <v>0</v>
      </c>
      <c r="M76" s="2020"/>
      <c r="N76" s="1886"/>
      <c r="O76" s="1886"/>
      <c r="P76" s="1886"/>
      <c r="Q76" s="1886"/>
      <c r="R76" s="1886"/>
      <c r="S76" s="1886"/>
      <c r="T76" s="1886"/>
    </row>
    <row r="77" spans="1:20" ht="18" customHeight="1" x14ac:dyDescent="0.2">
      <c r="A77" s="1886"/>
      <c r="B77" s="2296" t="str">
        <f>+'CO2 - Cálculos'!AC31</f>
        <v>Alumínio</v>
      </c>
      <c r="C77" s="2295">
        <f>+'CO2 - Cálculos'!AH31</f>
        <v>-8222.1359999999986</v>
      </c>
      <c r="D77" s="2020"/>
      <c r="E77" s="1886"/>
      <c r="F77" s="1886"/>
      <c r="G77" s="1886"/>
      <c r="H77" s="1886"/>
      <c r="I77" s="1886"/>
      <c r="J77" s="2358"/>
      <c r="K77" s="2296" t="str">
        <f>+'CO2 - Cálculos'!AC76</f>
        <v>Aterro sanitário</v>
      </c>
      <c r="L77" s="2295">
        <f>+'CO2 - Cálculos'!AH76</f>
        <v>0</v>
      </c>
      <c r="M77" s="2020"/>
      <c r="N77" s="1886"/>
      <c r="O77" s="1886"/>
      <c r="P77" s="1886"/>
      <c r="Q77" s="1886"/>
      <c r="R77" s="1886"/>
      <c r="S77" s="1886"/>
      <c r="T77" s="1886"/>
    </row>
    <row r="78" spans="1:20" ht="18" customHeight="1" x14ac:dyDescent="0.2">
      <c r="A78" s="1886"/>
      <c r="B78" s="2296" t="str">
        <f>+'CO2 - Cálculos'!AC32</f>
        <v>Têxteis</v>
      </c>
      <c r="C78" s="2295">
        <f>+'CO2 - Cálculos'!AH32</f>
        <v>0</v>
      </c>
      <c r="D78" s="2020"/>
      <c r="E78" s="1886"/>
      <c r="F78" s="1886"/>
      <c r="G78" s="1886"/>
      <c r="H78" s="1886"/>
      <c r="I78" s="1886"/>
      <c r="K78" s="2296" t="str">
        <f>+'CO2 - Cálculos'!AC77</f>
        <v>Trat. biol + cobertura at.</v>
      </c>
      <c r="L78" s="2295">
        <f>+'CO2 - Cálculos'!AH77</f>
        <v>0</v>
      </c>
      <c r="M78" s="2020"/>
      <c r="N78" s="1886"/>
      <c r="O78" s="1886"/>
      <c r="P78" s="1886"/>
      <c r="Q78" s="1886"/>
      <c r="R78" s="1886"/>
      <c r="S78" s="1886"/>
      <c r="T78" s="1886"/>
    </row>
    <row r="79" spans="1:20" ht="18" customHeight="1" x14ac:dyDescent="0.2">
      <c r="A79" s="1886"/>
      <c r="B79" s="2361" t="s">
        <v>1258</v>
      </c>
      <c r="C79" s="2020"/>
      <c r="D79" s="2297"/>
      <c r="E79" s="1886"/>
      <c r="F79" s="1886"/>
      <c r="G79" s="1886"/>
      <c r="H79" s="1886"/>
      <c r="I79" s="1886"/>
      <c r="J79" s="2358"/>
      <c r="K79" s="2296" t="str">
        <f>+'CO2 - Cálculos'!AC78</f>
        <v>CDR seco + rejeito aterro</v>
      </c>
      <c r="L79" s="2295">
        <f>+'CO2 - Cálculos'!AH78</f>
        <v>0</v>
      </c>
      <c r="M79" s="2020"/>
      <c r="N79" s="1886"/>
      <c r="O79" s="1886"/>
      <c r="P79" s="1886"/>
      <c r="Q79" s="1886"/>
      <c r="R79" s="1886"/>
      <c r="S79" s="1886"/>
      <c r="T79" s="1886"/>
    </row>
    <row r="80" spans="1:20" ht="18" customHeight="1" x14ac:dyDescent="0.2">
      <c r="A80" s="1886"/>
      <c r="B80" s="2361" t="s">
        <v>1259</v>
      </c>
      <c r="C80" s="2020"/>
      <c r="D80" s="2295">
        <f>SUM(C62:C69,C71:C78)</f>
        <v>-21262.545896</v>
      </c>
      <c r="E80" s="1886"/>
      <c r="F80" s="1886"/>
      <c r="G80" s="1886"/>
      <c r="H80" s="1886"/>
      <c r="I80" s="1886"/>
      <c r="J80" s="1886"/>
      <c r="K80" s="2296" t="str">
        <f>+'CO2 - Cálculos'!AC79</f>
        <v>CDR seco + trat. biol.</v>
      </c>
      <c r="L80" s="2295">
        <f>+'CO2 - Cálculos'!AH79</f>
        <v>0</v>
      </c>
      <c r="M80" s="2020"/>
      <c r="N80" s="1886"/>
      <c r="O80" s="1886"/>
      <c r="P80" s="1886"/>
      <c r="Q80" s="1886"/>
      <c r="R80" s="1886"/>
      <c r="S80" s="1886"/>
      <c r="T80" s="1886"/>
    </row>
    <row r="81" spans="1:20" ht="14.25" x14ac:dyDescent="0.2">
      <c r="A81" s="1886"/>
      <c r="B81" s="1886"/>
      <c r="C81" s="2395"/>
      <c r="D81" s="2395"/>
      <c r="E81" s="1886"/>
      <c r="F81" s="1886"/>
      <c r="G81" s="1886"/>
      <c r="H81" s="1886"/>
      <c r="I81" s="1886"/>
      <c r="J81" s="1886"/>
      <c r="K81" s="2296" t="str">
        <f>+'CO2 - Cálculos'!AC80</f>
        <v>CDR seco + CDR org.</v>
      </c>
      <c r="L81" s="2295">
        <f>+'CO2 - Cálculos'!AH80</f>
        <v>0</v>
      </c>
      <c r="M81" s="2020"/>
      <c r="N81" s="1886"/>
      <c r="O81" s="1886"/>
      <c r="P81" s="1886"/>
      <c r="Q81" s="1886"/>
      <c r="R81" s="1886"/>
      <c r="S81" s="1886"/>
      <c r="T81" s="1886"/>
    </row>
    <row r="82" spans="1:20" ht="14.25" x14ac:dyDescent="0.2">
      <c r="A82" s="1886"/>
      <c r="B82" s="1886"/>
      <c r="C82" s="1886"/>
      <c r="D82" s="1886"/>
      <c r="E82" s="2263"/>
      <c r="F82" s="1886"/>
      <c r="G82" s="1886"/>
      <c r="H82" s="1886"/>
      <c r="I82" s="1886"/>
      <c r="J82" s="1886"/>
      <c r="K82" s="2296" t="str">
        <f>+'CO2 - Cálculos'!AC81</f>
        <v>Incineração</v>
      </c>
      <c r="L82" s="2295">
        <f>+'CO2 - Cálculos'!AH81</f>
        <v>0</v>
      </c>
      <c r="M82" s="2020"/>
      <c r="N82" s="1886"/>
      <c r="O82" s="1886"/>
      <c r="P82" s="1886"/>
      <c r="Q82" s="1886"/>
      <c r="R82" s="1886"/>
      <c r="S82" s="1886"/>
      <c r="T82" s="1886"/>
    </row>
    <row r="83" spans="1:20" ht="14.25" x14ac:dyDescent="0.2">
      <c r="A83" s="1886"/>
      <c r="B83" s="1886"/>
      <c r="C83" s="1886"/>
      <c r="D83" s="1886"/>
      <c r="E83" s="2263"/>
      <c r="F83" s="1886"/>
      <c r="G83" s="1886"/>
      <c r="H83" s="1886"/>
      <c r="I83" s="1886"/>
      <c r="J83" s="1886"/>
      <c r="K83" s="2361" t="s">
        <v>1258</v>
      </c>
      <c r="L83" s="2020"/>
      <c r="M83" s="2020"/>
      <c r="N83" s="1886"/>
      <c r="O83" s="1886"/>
      <c r="P83" s="1886"/>
      <c r="Q83" s="1886"/>
      <c r="R83" s="1886"/>
      <c r="S83" s="1886"/>
      <c r="T83" s="1886"/>
    </row>
    <row r="84" spans="1:20" ht="14.25" x14ac:dyDescent="0.2">
      <c r="A84" s="1886"/>
      <c r="B84" s="1886"/>
      <c r="C84" s="1886"/>
      <c r="D84" s="1886"/>
      <c r="E84" s="2263"/>
      <c r="F84" s="1886"/>
      <c r="G84" s="1886"/>
      <c r="H84" s="1886"/>
      <c r="I84" s="1886"/>
      <c r="J84" s="1886"/>
      <c r="K84" s="2361" t="s">
        <v>1259</v>
      </c>
      <c r="L84" s="2020"/>
      <c r="M84" s="2295">
        <f>SUM(L62:L71,L73:L82)</f>
        <v>60730.016463997745</v>
      </c>
      <c r="N84" s="1886"/>
      <c r="O84" s="1886"/>
      <c r="P84" s="1886"/>
      <c r="Q84" s="1886"/>
      <c r="R84" s="1886"/>
      <c r="S84" s="1886"/>
      <c r="T84" s="1886"/>
    </row>
    <row r="85" spans="1:20" x14ac:dyDescent="0.2">
      <c r="A85" s="1886"/>
      <c r="B85" s="1886"/>
      <c r="C85" s="1886"/>
      <c r="D85" s="1886"/>
      <c r="E85" s="1886"/>
      <c r="F85" s="1886"/>
      <c r="G85" s="1886"/>
      <c r="H85" s="1886"/>
      <c r="I85" s="1886"/>
      <c r="J85" s="1886"/>
      <c r="K85" s="1886"/>
      <c r="L85" s="2395"/>
      <c r="M85" s="2395"/>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row r="121" spans="1:20" x14ac:dyDescent="0.2">
      <c r="A121" s="1886"/>
      <c r="B121" s="1886"/>
      <c r="C121" s="1886"/>
      <c r="D121" s="1886"/>
      <c r="E121" s="1886"/>
      <c r="F121" s="1886"/>
      <c r="G121" s="1886"/>
      <c r="H121" s="1886"/>
      <c r="I121" s="1886"/>
      <c r="J121" s="1886"/>
      <c r="K121" s="1886"/>
      <c r="L121" s="1886"/>
      <c r="M121" s="1886"/>
      <c r="N121" s="1886"/>
      <c r="O121" s="1886"/>
      <c r="P121" s="1886"/>
      <c r="Q121" s="1886"/>
      <c r="R121" s="1886"/>
      <c r="S121" s="1886"/>
      <c r="T121"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5D930-42A1-4612-BCE6-FEA1DCA29E59}">
  <dimension ref="A1:AU120"/>
  <sheetViews>
    <sheetView zoomScale="78" zoomScaleNormal="78" workbookViewId="0">
      <selection activeCell="L13" sqref="L13"/>
    </sheetView>
  </sheetViews>
  <sheetFormatPr defaultColWidth="11.42578125" defaultRowHeight="12.75" x14ac:dyDescent="0.2"/>
  <cols>
    <col min="1" max="1" width="8.42578125" style="1842" customWidth="1"/>
    <col min="2" max="2" width="37.42578125" style="1842" customWidth="1"/>
    <col min="3" max="3" width="17.140625" style="1842" customWidth="1"/>
    <col min="4" max="4" width="15.42578125" style="1842" bestFit="1" customWidth="1"/>
    <col min="5" max="5" width="16.42578125" style="1842" customWidth="1"/>
    <col min="6" max="7" width="11.42578125" style="1842"/>
    <col min="8" max="8" width="14.85546875" style="1842" bestFit="1" customWidth="1"/>
    <col min="9" max="9" width="18.5703125" style="1842" bestFit="1" customWidth="1"/>
    <col min="10" max="10" width="16.42578125" style="1842" customWidth="1"/>
    <col min="11" max="11" width="15.42578125" style="1842" customWidth="1"/>
    <col min="12" max="12" width="19.42578125" style="1842" bestFit="1" customWidth="1"/>
    <col min="13" max="13" width="11" style="1842" customWidth="1"/>
    <col min="14" max="14" width="11.85546875" style="1842" customWidth="1"/>
    <col min="15" max="16384" width="11.42578125" style="1842"/>
  </cols>
  <sheetData>
    <row r="1" spans="1:45" s="2225" customFormat="1" ht="26.1" customHeight="1" x14ac:dyDescent="0.2">
      <c r="A1" s="2287" t="s">
        <v>1269</v>
      </c>
      <c r="B1" s="2396"/>
      <c r="C1" s="2396"/>
      <c r="D1" s="2396"/>
      <c r="E1" s="2396"/>
      <c r="F1" s="2026"/>
      <c r="G1" s="2026"/>
      <c r="H1" s="2026"/>
      <c r="I1" s="2026"/>
      <c r="J1" s="2026"/>
      <c r="K1" s="2026"/>
      <c r="L1" s="2026"/>
      <c r="M1" s="2026"/>
      <c r="N1" s="2026"/>
      <c r="O1" s="2026"/>
      <c r="P1" s="2026"/>
      <c r="Q1" s="2026"/>
      <c r="R1" s="2026"/>
      <c r="S1" s="2026"/>
      <c r="T1" s="2026"/>
      <c r="U1" s="1841"/>
      <c r="V1" s="1841"/>
      <c r="W1" s="1841"/>
      <c r="X1" s="1841"/>
      <c r="Y1" s="1841"/>
      <c r="Z1" s="1841"/>
      <c r="AA1" s="1841"/>
      <c r="AB1" s="1841"/>
      <c r="AC1" s="1841"/>
      <c r="AD1" s="1841"/>
      <c r="AE1" s="1841"/>
      <c r="AF1" s="1841"/>
      <c r="AG1" s="1841"/>
      <c r="AH1" s="1841"/>
      <c r="AI1" s="1841"/>
      <c r="AJ1" s="1841"/>
      <c r="AK1" s="1841"/>
      <c r="AL1" s="1841"/>
      <c r="AM1" s="1841"/>
      <c r="AN1" s="1841"/>
      <c r="AO1" s="1841"/>
      <c r="AP1" s="1841"/>
      <c r="AQ1" s="1841"/>
      <c r="AR1" s="1841"/>
      <c r="AS1" s="1841"/>
    </row>
    <row r="2" spans="1:45" ht="14.25" customHeight="1" x14ac:dyDescent="0.25">
      <c r="A2" s="2397"/>
      <c r="B2" s="2398"/>
      <c r="C2" s="1886"/>
      <c r="D2" s="1886"/>
      <c r="E2" s="1886"/>
      <c r="F2" s="1886"/>
      <c r="G2" s="1886"/>
      <c r="H2" s="1886"/>
      <c r="I2" s="1886"/>
      <c r="J2" s="1886"/>
      <c r="K2" s="1886"/>
      <c r="L2" s="1886"/>
      <c r="M2" s="1886"/>
      <c r="N2" s="1886"/>
      <c r="O2" s="1886"/>
      <c r="P2" s="1886"/>
      <c r="Q2" s="1886"/>
      <c r="R2" s="1886"/>
      <c r="S2" s="1886"/>
      <c r="T2" s="1886"/>
    </row>
    <row r="3" spans="1:45" ht="18" customHeight="1" x14ac:dyDescent="0.25">
      <c r="A3" s="1886"/>
      <c r="B3" s="2228" t="s">
        <v>1238</v>
      </c>
      <c r="C3" s="2229">
        <f>+'CO2 - Cálculos'!AI58</f>
        <v>146000</v>
      </c>
      <c r="D3" s="2230"/>
      <c r="E3" s="2230"/>
      <c r="F3" s="1886"/>
      <c r="G3" s="1886"/>
      <c r="H3" s="1886"/>
      <c r="I3" s="1886"/>
      <c r="J3" s="1886"/>
      <c r="K3" s="1886"/>
      <c r="L3" s="1886"/>
      <c r="M3" s="1886"/>
      <c r="N3" s="1886"/>
      <c r="O3" s="1886"/>
      <c r="P3" s="1886"/>
      <c r="Q3" s="1886"/>
      <c r="R3" s="1886"/>
      <c r="S3" s="1886"/>
      <c r="T3" s="1886"/>
    </row>
    <row r="4" spans="1:45" ht="18" customHeight="1" x14ac:dyDescent="0.25">
      <c r="A4" s="1886"/>
      <c r="B4" s="2283"/>
      <c r="C4" s="2399"/>
      <c r="D4" s="2233"/>
      <c r="E4" s="2233"/>
      <c r="F4" s="1886"/>
      <c r="G4" s="1886"/>
      <c r="H4" s="1886"/>
      <c r="I4" s="1886"/>
      <c r="J4" s="1886"/>
      <c r="K4" s="1886"/>
      <c r="L4" s="1886"/>
      <c r="M4" s="2305"/>
      <c r="N4" s="2305"/>
      <c r="O4" s="2305"/>
      <c r="P4" s="2305"/>
      <c r="Q4" s="2305"/>
      <c r="R4" s="2305"/>
      <c r="S4" s="1886"/>
      <c r="T4" s="1886"/>
    </row>
    <row r="5" spans="1:45" ht="18" customHeight="1" x14ac:dyDescent="0.25">
      <c r="A5" s="1886"/>
      <c r="B5" s="2228" t="s">
        <v>1239</v>
      </c>
      <c r="C5" s="2229">
        <f>+'CO2 - Cálculos'!AI13</f>
        <v>14727.458000000001</v>
      </c>
      <c r="D5" s="2230"/>
      <c r="E5" s="2230"/>
      <c r="F5" s="1886"/>
      <c r="G5" s="1886"/>
      <c r="H5" s="1886"/>
      <c r="I5" s="1886"/>
      <c r="J5" s="1886"/>
      <c r="K5" s="1886"/>
      <c r="L5" s="1886"/>
      <c r="M5" s="2305"/>
      <c r="N5" s="2305"/>
      <c r="O5" s="2962" t="s">
        <v>1264</v>
      </c>
      <c r="P5" s="2963"/>
      <c r="Q5" s="2305"/>
      <c r="R5" s="2305"/>
      <c r="S5" s="1886"/>
      <c r="T5" s="1886"/>
    </row>
    <row r="6" spans="1:45" ht="18" customHeight="1" x14ac:dyDescent="0.25">
      <c r="A6" s="1886"/>
      <c r="B6" s="2400"/>
      <c r="C6" s="2236"/>
      <c r="D6" s="2230"/>
      <c r="E6" s="2230"/>
      <c r="F6" s="1886"/>
      <c r="G6" s="1886"/>
      <c r="H6" s="1886"/>
      <c r="I6" s="1886"/>
      <c r="J6" s="1886"/>
      <c r="K6" s="1886"/>
      <c r="L6" s="1886"/>
      <c r="M6" s="2305"/>
      <c r="N6" s="2305"/>
      <c r="O6" s="2964">
        <f>+C3</f>
        <v>146000</v>
      </c>
      <c r="P6" s="2965"/>
      <c r="Q6" s="2305"/>
      <c r="R6" s="2305"/>
      <c r="S6" s="1886"/>
      <c r="T6" s="1886"/>
    </row>
    <row r="7" spans="1:45" ht="18" customHeight="1" x14ac:dyDescent="0.25">
      <c r="A7" s="1886"/>
      <c r="B7" s="2237" t="s">
        <v>1108</v>
      </c>
      <c r="C7" s="2238">
        <f>+'CO2 - Cálculos'!AI5</f>
        <v>0</v>
      </c>
      <c r="D7" s="2230"/>
      <c r="E7" s="2230"/>
      <c r="F7" s="1886"/>
      <c r="G7" s="1886"/>
      <c r="H7" s="1886"/>
      <c r="I7" s="1886"/>
      <c r="J7" s="1886"/>
      <c r="K7" s="1886"/>
      <c r="L7" s="1886"/>
      <c r="M7" s="2401"/>
      <c r="N7" s="2305"/>
      <c r="O7" s="2305"/>
      <c r="P7" s="2305"/>
      <c r="Q7" s="2305"/>
      <c r="R7" s="2305"/>
      <c r="S7" s="1886"/>
      <c r="T7" s="1886"/>
    </row>
    <row r="8" spans="1:45" ht="18" customHeight="1" x14ac:dyDescent="0.25">
      <c r="A8" s="1886"/>
      <c r="B8" s="2237" t="s">
        <v>1109</v>
      </c>
      <c r="C8" s="2238">
        <f>+'CO2 - Cálculos'!AI6</f>
        <v>0</v>
      </c>
      <c r="D8" s="2230"/>
      <c r="E8" s="2230"/>
      <c r="F8" s="1886"/>
      <c r="G8" s="1886"/>
      <c r="H8" s="1886"/>
      <c r="I8" s="1886"/>
      <c r="J8" s="1886"/>
      <c r="K8" s="1886"/>
      <c r="L8" s="1886"/>
      <c r="M8" s="2305"/>
      <c r="N8" s="2305"/>
      <c r="O8" s="2305"/>
      <c r="P8" s="2305"/>
      <c r="Q8" s="2305"/>
      <c r="R8" s="2305"/>
      <c r="S8" s="1886"/>
      <c r="T8" s="1886"/>
    </row>
    <row r="9" spans="1:45" ht="18" customHeight="1" x14ac:dyDescent="0.25">
      <c r="A9" s="1886"/>
      <c r="B9" s="2237" t="s">
        <v>1110</v>
      </c>
      <c r="C9" s="2238">
        <f>+'CO2 - Cálculos'!AI7</f>
        <v>6368.9580000000005</v>
      </c>
      <c r="D9" s="2230"/>
      <c r="E9" s="2230"/>
      <c r="F9" s="1886"/>
      <c r="G9" s="1886"/>
      <c r="H9" s="1886"/>
      <c r="I9" s="1886"/>
      <c r="J9" s="1886"/>
      <c r="K9" s="1886"/>
      <c r="L9" s="2309"/>
      <c r="M9" s="1862" t="s">
        <v>1048</v>
      </c>
      <c r="N9" s="2310">
        <f>+C5</f>
        <v>14727.458000000001</v>
      </c>
      <c r="O9" s="2311">
        <f>+N9/O6</f>
        <v>0.100873</v>
      </c>
      <c r="P9" s="2312">
        <f>+Q9/O6</f>
        <v>0.8991269999999999</v>
      </c>
      <c r="Q9" s="2313">
        <f>+C16</f>
        <v>131272.54199999999</v>
      </c>
      <c r="R9" s="2314" t="s">
        <v>1241</v>
      </c>
      <c r="S9" s="1953"/>
      <c r="T9" s="1886"/>
    </row>
    <row r="10" spans="1:45" ht="18" customHeight="1" x14ac:dyDescent="0.25">
      <c r="A10" s="1886"/>
      <c r="B10" s="2237" t="s">
        <v>1111</v>
      </c>
      <c r="C10" s="2238">
        <f>+'CO2 - Cálculos'!AI8</f>
        <v>4336.2</v>
      </c>
      <c r="D10" s="2230"/>
      <c r="E10" s="2230"/>
      <c r="F10" s="1886"/>
      <c r="G10" s="1886"/>
      <c r="H10" s="1886"/>
      <c r="I10" s="1886"/>
      <c r="J10" s="1886"/>
      <c r="K10" s="1886"/>
      <c r="L10" s="2309"/>
      <c r="M10" s="2315"/>
      <c r="N10" s="2316"/>
      <c r="O10" s="2309"/>
      <c r="P10" s="2309"/>
      <c r="Q10" s="2316"/>
      <c r="R10" s="2315"/>
      <c r="S10" s="1953"/>
      <c r="T10" s="1886"/>
    </row>
    <row r="11" spans="1:45" ht="18" customHeight="1" x14ac:dyDescent="0.25">
      <c r="A11" s="1886"/>
      <c r="B11" s="2237" t="s">
        <v>50</v>
      </c>
      <c r="C11" s="2238">
        <f>+'CO2 - Cálculos'!AI9</f>
        <v>0</v>
      </c>
      <c r="D11" s="2230"/>
      <c r="E11" s="2230"/>
      <c r="F11" s="1886"/>
      <c r="G11" s="1886"/>
      <c r="H11" s="1886"/>
      <c r="I11" s="1886"/>
      <c r="J11" s="1886"/>
      <c r="K11" s="1886"/>
      <c r="L11" s="2309"/>
      <c r="M11" s="1862" t="str">
        <f t="shared" ref="M11:N18" si="0">+B7</f>
        <v>Resíduos de alimentos</v>
      </c>
      <c r="N11" s="2402">
        <f t="shared" si="0"/>
        <v>0</v>
      </c>
      <c r="O11" s="2318">
        <f t="shared" ref="O11:O18" si="1">+N11/$N$9</f>
        <v>0</v>
      </c>
      <c r="P11" s="2319">
        <f t="shared" ref="P11:P19" si="2">+Q11/$Q$9</f>
        <v>0</v>
      </c>
      <c r="Q11" s="2320">
        <f t="shared" ref="Q11:Q19" si="3">+C18</f>
        <v>0</v>
      </c>
      <c r="R11" s="2314" t="str">
        <f t="shared" ref="R11:R19" si="4">+B18</f>
        <v>Resíduos dispersos</v>
      </c>
      <c r="S11" s="1953"/>
      <c r="T11" s="1886"/>
    </row>
    <row r="12" spans="1:45" ht="18" customHeight="1" x14ac:dyDescent="0.25">
      <c r="A12" s="1886"/>
      <c r="B12" s="2237" t="s">
        <v>1112</v>
      </c>
      <c r="C12" s="2238">
        <f>+'CO2 - Cálculos'!AI10</f>
        <v>3190.1</v>
      </c>
      <c r="D12" s="2230"/>
      <c r="E12" s="2230"/>
      <c r="F12" s="1886"/>
      <c r="G12" s="1886"/>
      <c r="H12" s="1886"/>
      <c r="I12" s="1886"/>
      <c r="J12" s="1886"/>
      <c r="K12" s="1886"/>
      <c r="L12" s="2309"/>
      <c r="M12" s="1862" t="str">
        <f t="shared" si="0"/>
        <v>Resíduos de jardins e parques</v>
      </c>
      <c r="N12" s="2402">
        <f t="shared" si="0"/>
        <v>0</v>
      </c>
      <c r="O12" s="2318">
        <f t="shared" si="1"/>
        <v>0</v>
      </c>
      <c r="P12" s="2319">
        <f t="shared" si="2"/>
        <v>0</v>
      </c>
      <c r="Q12" s="2320">
        <f t="shared" si="3"/>
        <v>0</v>
      </c>
      <c r="R12" s="2314" t="str">
        <f t="shared" si="4"/>
        <v>Queima a céu aberto</v>
      </c>
      <c r="S12" s="1953"/>
      <c r="T12" s="1886"/>
    </row>
    <row r="13" spans="1:45" ht="18" customHeight="1" x14ac:dyDescent="0.25">
      <c r="A13" s="1886"/>
      <c r="B13" s="2237" t="s">
        <v>1113</v>
      </c>
      <c r="C13" s="2238">
        <f>+'CO2 - Cálculos'!AI11</f>
        <v>832.19999999999993</v>
      </c>
      <c r="D13" s="2230"/>
      <c r="E13" s="2230"/>
      <c r="F13" s="1886"/>
      <c r="G13" s="1886"/>
      <c r="H13" s="1886"/>
      <c r="I13" s="1886"/>
      <c r="J13" s="1886"/>
      <c r="K13" s="1886"/>
      <c r="L13" s="2309"/>
      <c r="M13" s="1862" t="str">
        <f t="shared" si="0"/>
        <v>Papel, papelão</v>
      </c>
      <c r="N13" s="2402">
        <f t="shared" si="0"/>
        <v>6368.9580000000005</v>
      </c>
      <c r="O13" s="2318">
        <f t="shared" si="1"/>
        <v>0.4324546707245745</v>
      </c>
      <c r="P13" s="2319">
        <f t="shared" si="2"/>
        <v>0</v>
      </c>
      <c r="Q13" s="2320">
        <f t="shared" si="3"/>
        <v>0</v>
      </c>
      <c r="R13" s="2314" t="str">
        <f t="shared" si="4"/>
        <v>Lixão não controlado</v>
      </c>
      <c r="S13" s="1953"/>
      <c r="T13" s="1886"/>
    </row>
    <row r="14" spans="1:45" ht="18" customHeight="1" x14ac:dyDescent="0.25">
      <c r="A14" s="1886"/>
      <c r="B14" s="2237" t="s">
        <v>1114</v>
      </c>
      <c r="C14" s="2238">
        <f>+'CO2 - Cálculos'!AI12</f>
        <v>0</v>
      </c>
      <c r="D14" s="2230"/>
      <c r="E14" s="2230"/>
      <c r="F14" s="1886"/>
      <c r="G14" s="1886"/>
      <c r="H14" s="1886"/>
      <c r="I14" s="1886"/>
      <c r="J14" s="1886"/>
      <c r="K14" s="1886"/>
      <c r="L14" s="2309"/>
      <c r="M14" s="1862" t="str">
        <f t="shared" si="0"/>
        <v>Plásticos</v>
      </c>
      <c r="N14" s="2402">
        <f t="shared" si="0"/>
        <v>4336.2</v>
      </c>
      <c r="O14" s="2318">
        <f t="shared" si="1"/>
        <v>0.29442962933589761</v>
      </c>
      <c r="P14" s="2319">
        <f t="shared" si="2"/>
        <v>0.3</v>
      </c>
      <c r="Q14" s="2320">
        <f t="shared" si="3"/>
        <v>39381.762599999995</v>
      </c>
      <c r="R14" s="2314" t="str">
        <f t="shared" si="4"/>
        <v>Aterro controlado</v>
      </c>
      <c r="S14" s="1953"/>
      <c r="T14" s="1886"/>
    </row>
    <row r="15" spans="1:45" ht="18" customHeight="1" x14ac:dyDescent="0.25">
      <c r="A15" s="1886"/>
      <c r="B15" s="2283"/>
      <c r="C15" s="2399"/>
      <c r="D15" s="2230"/>
      <c r="E15" s="2230"/>
      <c r="F15" s="1886"/>
      <c r="G15" s="1886"/>
      <c r="H15" s="1886"/>
      <c r="I15" s="1886"/>
      <c r="J15" s="1886"/>
      <c r="K15" s="1886"/>
      <c r="L15" s="2309"/>
      <c r="M15" s="1862" t="str">
        <f t="shared" si="0"/>
        <v>Vidros</v>
      </c>
      <c r="N15" s="2402">
        <f t="shared" si="0"/>
        <v>0</v>
      </c>
      <c r="O15" s="2318">
        <f t="shared" si="1"/>
        <v>0</v>
      </c>
      <c r="P15" s="2319">
        <f t="shared" si="2"/>
        <v>0</v>
      </c>
      <c r="Q15" s="2320">
        <f t="shared" si="3"/>
        <v>0</v>
      </c>
      <c r="R15" s="2314" t="str">
        <f t="shared" si="4"/>
        <v>Aterro sanitário</v>
      </c>
      <c r="S15" s="1953"/>
      <c r="T15" s="1886"/>
    </row>
    <row r="16" spans="1:45" ht="18" customHeight="1" x14ac:dyDescent="0.25">
      <c r="A16" s="1886"/>
      <c r="B16" s="2256" t="s">
        <v>1265</v>
      </c>
      <c r="C16" s="2229">
        <f>+'CO2 - Cálculos'!AI57</f>
        <v>131272.54199999999</v>
      </c>
      <c r="D16" s="2230"/>
      <c r="E16" s="2230"/>
      <c r="F16" s="1886"/>
      <c r="G16" s="1886"/>
      <c r="H16" s="1886"/>
      <c r="I16" s="1886"/>
      <c r="J16" s="1886"/>
      <c r="K16" s="1886"/>
      <c r="L16" s="2309"/>
      <c r="M16" s="1862" t="str">
        <f t="shared" si="0"/>
        <v>Metais ferrosos</v>
      </c>
      <c r="N16" s="2402">
        <f t="shared" si="0"/>
        <v>3190.1</v>
      </c>
      <c r="O16" s="2318">
        <f t="shared" si="1"/>
        <v>0.21660900340031525</v>
      </c>
      <c r="P16" s="2319">
        <f t="shared" si="2"/>
        <v>0</v>
      </c>
      <c r="Q16" s="2320">
        <f t="shared" si="3"/>
        <v>0</v>
      </c>
      <c r="R16" s="2314" t="str">
        <f t="shared" si="4"/>
        <v>Trat. biol + cobertura at.</v>
      </c>
      <c r="S16" s="1953"/>
      <c r="T16" s="1886"/>
    </row>
    <row r="17" spans="1:47" ht="18" customHeight="1" x14ac:dyDescent="0.25">
      <c r="A17" s="1886"/>
      <c r="B17" s="2400"/>
      <c r="C17" s="2236"/>
      <c r="D17" s="2230"/>
      <c r="E17" s="2230"/>
      <c r="F17" s="1886"/>
      <c r="G17" s="1886"/>
      <c r="H17" s="1886"/>
      <c r="I17" s="1886"/>
      <c r="J17" s="1886"/>
      <c r="K17" s="1886"/>
      <c r="L17" s="2309"/>
      <c r="M17" s="1862" t="str">
        <f t="shared" si="0"/>
        <v>Alumínio</v>
      </c>
      <c r="N17" s="2402">
        <f t="shared" si="0"/>
        <v>832.19999999999993</v>
      </c>
      <c r="O17" s="2318">
        <f t="shared" si="1"/>
        <v>5.650669653921267E-2</v>
      </c>
      <c r="P17" s="2319">
        <f t="shared" si="2"/>
        <v>0</v>
      </c>
      <c r="Q17" s="2320">
        <f t="shared" si="3"/>
        <v>0</v>
      </c>
      <c r="R17" s="2314" t="str">
        <f t="shared" si="4"/>
        <v>CDR seco + rejeito aterro</v>
      </c>
      <c r="S17" s="1953"/>
      <c r="T17" s="1886"/>
    </row>
    <row r="18" spans="1:47" ht="18" customHeight="1" x14ac:dyDescent="0.25">
      <c r="A18" s="1886"/>
      <c r="B18" s="2237" t="s">
        <v>1243</v>
      </c>
      <c r="C18" s="2238">
        <f>+'CO2 - Cálculos'!AI47</f>
        <v>0</v>
      </c>
      <c r="D18" s="2230"/>
      <c r="E18" s="2230"/>
      <c r="F18" s="1886"/>
      <c r="G18" s="1886"/>
      <c r="H18" s="1886"/>
      <c r="I18" s="1886"/>
      <c r="J18" s="1886"/>
      <c r="K18" s="1886"/>
      <c r="L18" s="2309"/>
      <c r="M18" s="1862" t="str">
        <f t="shared" si="0"/>
        <v>Têxteis</v>
      </c>
      <c r="N18" s="2402">
        <f t="shared" si="0"/>
        <v>0</v>
      </c>
      <c r="O18" s="2318">
        <f t="shared" si="1"/>
        <v>0</v>
      </c>
      <c r="P18" s="2319">
        <f t="shared" si="2"/>
        <v>0</v>
      </c>
      <c r="Q18" s="2320">
        <f t="shared" si="3"/>
        <v>0</v>
      </c>
      <c r="R18" s="2314" t="str">
        <f t="shared" si="4"/>
        <v>CDR seco + trat. biol.</v>
      </c>
      <c r="S18" s="1953"/>
      <c r="T18" s="1886"/>
    </row>
    <row r="19" spans="1:47" ht="18" customHeight="1" x14ac:dyDescent="0.25">
      <c r="A19" s="1886"/>
      <c r="B19" s="2237" t="s">
        <v>1244</v>
      </c>
      <c r="C19" s="2238">
        <f>+'CO2 - Cálculos'!AI48</f>
        <v>0</v>
      </c>
      <c r="D19" s="2230"/>
      <c r="E19" s="2230"/>
      <c r="F19" s="1886"/>
      <c r="G19" s="1886"/>
      <c r="H19" s="1886"/>
      <c r="I19" s="1886"/>
      <c r="J19" s="1886"/>
      <c r="K19" s="1886"/>
      <c r="L19" s="2309"/>
      <c r="M19" s="2309"/>
      <c r="N19" s="2369"/>
      <c r="O19" s="2321"/>
      <c r="P19" s="2319">
        <f t="shared" si="2"/>
        <v>0.7</v>
      </c>
      <c r="Q19" s="2320">
        <f t="shared" si="3"/>
        <v>91890.779399999985</v>
      </c>
      <c r="R19" s="2314" t="str">
        <f t="shared" si="4"/>
        <v>CDR seco + CDR org.</v>
      </c>
      <c r="S19" s="1953"/>
      <c r="T19" s="1886"/>
    </row>
    <row r="20" spans="1:47" ht="18" customHeight="1" x14ac:dyDescent="0.25">
      <c r="A20" s="1886"/>
      <c r="B20" s="2237" t="s">
        <v>1245</v>
      </c>
      <c r="C20" s="2238">
        <f>+'CO2 - Cálculos'!AI49</f>
        <v>0</v>
      </c>
      <c r="D20" s="2230"/>
      <c r="E20" s="2230"/>
      <c r="F20" s="1886"/>
      <c r="G20" s="1886"/>
      <c r="H20" s="1886"/>
      <c r="I20" s="1886"/>
      <c r="J20" s="1886"/>
      <c r="K20" s="1886"/>
      <c r="L20" s="2309"/>
      <c r="M20" s="2309"/>
      <c r="N20" s="2309"/>
      <c r="O20" s="2309"/>
      <c r="P20" s="2319">
        <f>+Q20/$Q$9</f>
        <v>0</v>
      </c>
      <c r="Q20" s="2320">
        <f>+C27</f>
        <v>0</v>
      </c>
      <c r="R20" s="2314" t="str">
        <f>+B27</f>
        <v>Incineração</v>
      </c>
      <c r="S20" s="1953"/>
      <c r="T20" s="1886"/>
    </row>
    <row r="21" spans="1:47" ht="18" customHeight="1" x14ac:dyDescent="0.25">
      <c r="A21" s="1886"/>
      <c r="B21" s="2237" t="s">
        <v>1246</v>
      </c>
      <c r="C21" s="2238">
        <f>+'CO2 - Cálculos'!AI50</f>
        <v>39381.762599999995</v>
      </c>
      <c r="D21" s="2230"/>
      <c r="E21" s="2230"/>
      <c r="F21" s="1886"/>
      <c r="G21" s="1886"/>
      <c r="H21" s="1886"/>
      <c r="I21" s="1886"/>
      <c r="J21" s="1886"/>
      <c r="K21" s="1886"/>
      <c r="L21" s="1886"/>
      <c r="M21" s="1886"/>
      <c r="N21" s="1886"/>
      <c r="O21" s="1886"/>
      <c r="P21" s="1886"/>
      <c r="Q21" s="2012"/>
      <c r="R21" s="1886"/>
      <c r="S21" s="1886"/>
      <c r="T21" s="1886"/>
    </row>
    <row r="22" spans="1:47" ht="18" customHeight="1" x14ac:dyDescent="0.25">
      <c r="A22" s="1886"/>
      <c r="B22" s="2259" t="s">
        <v>64</v>
      </c>
      <c r="C22" s="2238">
        <f>+'CO2 - Cálculos'!AI51</f>
        <v>0</v>
      </c>
      <c r="D22" s="2230"/>
      <c r="E22" s="2230"/>
      <c r="F22" s="1886"/>
      <c r="G22" s="1886"/>
      <c r="H22" s="1886"/>
      <c r="I22" s="1886"/>
      <c r="J22" s="1886"/>
      <c r="K22" s="1886"/>
      <c r="L22" s="1886"/>
      <c r="M22" s="1886"/>
      <c r="N22" s="1886"/>
      <c r="O22" s="1886"/>
      <c r="P22" s="1886"/>
      <c r="Q22" s="2012"/>
      <c r="R22" s="1886"/>
      <c r="S22" s="1886"/>
      <c r="T22" s="1886"/>
    </row>
    <row r="23" spans="1:47" ht="18" customHeight="1" x14ac:dyDescent="0.25">
      <c r="A23" s="1886"/>
      <c r="B23" s="2260" t="s">
        <v>1247</v>
      </c>
      <c r="C23" s="2261">
        <f>+'CO2 - Cálculos'!AI52</f>
        <v>0</v>
      </c>
      <c r="D23" s="2230"/>
      <c r="E23" s="2230"/>
      <c r="F23" s="1886"/>
      <c r="G23" s="1886"/>
      <c r="H23" s="1886"/>
      <c r="I23" s="1886"/>
      <c r="J23" s="1886"/>
      <c r="K23" s="1886"/>
      <c r="L23" s="1886"/>
      <c r="M23" s="1886"/>
      <c r="N23" s="1886"/>
      <c r="O23" s="1886"/>
      <c r="P23" s="1886"/>
      <c r="Q23" s="1886"/>
      <c r="R23" s="1886"/>
      <c r="S23" s="1886"/>
      <c r="T23" s="1886"/>
    </row>
    <row r="24" spans="1:47" ht="18" customHeight="1" x14ac:dyDescent="0.25">
      <c r="A24" s="1886"/>
      <c r="B24" s="2260" t="s">
        <v>1248</v>
      </c>
      <c r="C24" s="2238">
        <f>+'CO2 - Cálculos'!AI53</f>
        <v>0</v>
      </c>
      <c r="D24" s="2230"/>
      <c r="E24" s="2230"/>
      <c r="F24" s="1886"/>
      <c r="G24" s="1886"/>
      <c r="H24" s="1886"/>
      <c r="I24" s="1886"/>
      <c r="J24" s="1886"/>
      <c r="K24" s="1886"/>
      <c r="L24" s="1886"/>
      <c r="M24" s="1886"/>
      <c r="N24" s="1886"/>
      <c r="O24" s="1886"/>
      <c r="P24" s="1886"/>
      <c r="Q24" s="1886"/>
      <c r="R24" s="1886"/>
      <c r="S24" s="1886"/>
      <c r="T24" s="1886"/>
    </row>
    <row r="25" spans="1:47" ht="18" customHeight="1" x14ac:dyDescent="0.25">
      <c r="A25" s="1886"/>
      <c r="B25" s="2260" t="s">
        <v>1249</v>
      </c>
      <c r="C25" s="2238">
        <f>+'CO2 - Cálculos'!AI54</f>
        <v>0</v>
      </c>
      <c r="D25" s="2230"/>
      <c r="E25" s="2230"/>
      <c r="F25" s="1886"/>
      <c r="G25" s="1886"/>
      <c r="H25" s="1886"/>
      <c r="I25" s="1886"/>
      <c r="J25" s="1886"/>
      <c r="K25" s="1886"/>
      <c r="L25" s="1886"/>
      <c r="M25" s="1886"/>
      <c r="N25" s="1886"/>
      <c r="O25" s="1886"/>
      <c r="P25" s="1886"/>
      <c r="Q25" s="1886"/>
      <c r="R25" s="1886"/>
      <c r="S25" s="1886"/>
      <c r="T25" s="1886"/>
    </row>
    <row r="26" spans="1:47" ht="18" customHeight="1" x14ac:dyDescent="0.25">
      <c r="A26" s="1886"/>
      <c r="B26" s="2260" t="s">
        <v>1250</v>
      </c>
      <c r="C26" s="2238">
        <f>+'CO2 - Cálculos'!AI55</f>
        <v>91890.779399999985</v>
      </c>
      <c r="D26" s="2230"/>
      <c r="E26" s="2230"/>
      <c r="F26" s="1886"/>
      <c r="G26" s="1886"/>
      <c r="H26" s="1886"/>
      <c r="I26" s="1886"/>
      <c r="J26" s="1886"/>
      <c r="K26" s="1886"/>
      <c r="L26" s="1886"/>
      <c r="M26" s="1886"/>
      <c r="N26" s="1886"/>
      <c r="O26" s="1886"/>
      <c r="P26" s="1886"/>
      <c r="Q26" s="1886"/>
      <c r="R26" s="1886"/>
      <c r="S26" s="1886"/>
      <c r="T26" s="1886"/>
    </row>
    <row r="27" spans="1:47" ht="18" customHeight="1" x14ac:dyDescent="0.25">
      <c r="A27" s="1886"/>
      <c r="B27" s="2237" t="s">
        <v>63</v>
      </c>
      <c r="C27" s="2238">
        <f>+'CO2 - Cálculos'!AI56</f>
        <v>0</v>
      </c>
      <c r="D27" s="2230"/>
      <c r="E27" s="2230"/>
      <c r="F27" s="1886"/>
      <c r="G27" s="1886"/>
      <c r="H27" s="1886"/>
      <c r="I27" s="1886"/>
      <c r="J27" s="1886"/>
      <c r="K27" s="1886"/>
      <c r="L27" s="1886"/>
      <c r="M27" s="1886"/>
      <c r="N27" s="1886"/>
      <c r="O27" s="1886"/>
      <c r="P27" s="1886"/>
      <c r="Q27" s="1886"/>
      <c r="R27" s="1886"/>
      <c r="S27" s="1886"/>
      <c r="T27" s="1886"/>
    </row>
    <row r="28" spans="1:47" x14ac:dyDescent="0.2">
      <c r="A28" s="1886"/>
      <c r="B28" s="1886"/>
      <c r="C28" s="2230"/>
      <c r="D28" s="2230"/>
      <c r="E28" s="2230"/>
      <c r="F28" s="1886"/>
      <c r="G28" s="1886"/>
      <c r="H28" s="1886"/>
      <c r="I28" s="1886"/>
      <c r="J28" s="1886"/>
      <c r="K28" s="1886"/>
      <c r="L28" s="1886"/>
      <c r="M28" s="1886"/>
      <c r="N28" s="1886"/>
      <c r="O28" s="1886"/>
      <c r="P28" s="1886"/>
      <c r="Q28" s="1886"/>
      <c r="R28" s="1886"/>
      <c r="S28" s="1886"/>
      <c r="T28" s="1886"/>
    </row>
    <row r="29" spans="1:47" s="2225" customFormat="1" ht="26.1" customHeight="1" x14ac:dyDescent="0.2">
      <c r="A29" s="2059" t="s">
        <v>1266</v>
      </c>
      <c r="B29" s="2403"/>
      <c r="C29" s="2404"/>
      <c r="D29" s="2404"/>
      <c r="E29" s="2404"/>
      <c r="F29" s="2026"/>
      <c r="G29" s="2026"/>
      <c r="H29" s="2026"/>
      <c r="I29" s="2026"/>
      <c r="J29" s="2026"/>
      <c r="K29" s="2026"/>
      <c r="L29" s="2026"/>
      <c r="M29" s="2026"/>
      <c r="N29" s="2026"/>
      <c r="O29" s="2026"/>
      <c r="P29" s="2026"/>
      <c r="Q29" s="2026"/>
      <c r="R29" s="2026"/>
      <c r="S29" s="2026"/>
      <c r="T29" s="2026"/>
      <c r="U29" s="1841"/>
      <c r="V29" s="1841"/>
      <c r="W29" s="1841"/>
      <c r="X29" s="1841"/>
      <c r="Y29" s="1841"/>
      <c r="Z29" s="1841"/>
      <c r="AA29" s="1841"/>
      <c r="AB29" s="1841"/>
      <c r="AC29" s="1841"/>
      <c r="AD29" s="1841"/>
      <c r="AE29" s="1841"/>
      <c r="AF29" s="1841"/>
      <c r="AG29" s="1841"/>
      <c r="AH29" s="1841"/>
      <c r="AI29" s="1841"/>
      <c r="AJ29" s="1841"/>
      <c r="AK29" s="1841"/>
      <c r="AL29" s="1841"/>
      <c r="AM29" s="1841"/>
      <c r="AN29" s="1841"/>
      <c r="AO29" s="1841"/>
      <c r="AP29" s="1841"/>
      <c r="AQ29" s="1841"/>
      <c r="AR29" s="1841"/>
      <c r="AS29" s="1841"/>
      <c r="AT29" s="1841"/>
      <c r="AU29" s="1841"/>
    </row>
    <row r="30" spans="1:47"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47" ht="18" customHeight="1" x14ac:dyDescent="0.25">
      <c r="A31" s="1886"/>
      <c r="B31" s="2147"/>
      <c r="C31" s="2328" t="s">
        <v>1252</v>
      </c>
      <c r="D31" s="2075" t="s">
        <v>1253</v>
      </c>
      <c r="E31" s="2075" t="s">
        <v>1254</v>
      </c>
      <c r="F31" s="1886"/>
      <c r="G31" s="1886"/>
      <c r="H31" s="2267"/>
      <c r="I31" s="1886"/>
      <c r="J31" s="1886"/>
      <c r="K31" s="1886"/>
      <c r="L31" s="1886"/>
      <c r="M31" s="1886"/>
      <c r="N31" s="1886"/>
      <c r="O31" s="1886"/>
      <c r="P31" s="1886"/>
      <c r="Q31" s="1886"/>
      <c r="R31" s="1886"/>
      <c r="S31" s="1886"/>
      <c r="T31" s="1886"/>
    </row>
    <row r="32" spans="1:47" ht="18" customHeight="1" x14ac:dyDescent="0.2">
      <c r="A32" s="1886"/>
      <c r="B32" s="2302" t="s">
        <v>1239</v>
      </c>
      <c r="C32" s="2307"/>
      <c r="D32" s="2375"/>
      <c r="E32" s="2375"/>
      <c r="F32" s="1886"/>
      <c r="G32" s="1886"/>
      <c r="H32" s="1886"/>
      <c r="I32" s="1886"/>
      <c r="J32" s="1886"/>
      <c r="K32" s="1886"/>
      <c r="L32" s="1886"/>
      <c r="M32" s="1886"/>
      <c r="N32" s="1886"/>
      <c r="O32" s="1886"/>
      <c r="P32" s="1886"/>
      <c r="Q32" s="1886"/>
      <c r="R32" s="1886"/>
      <c r="S32" s="1886"/>
      <c r="T32" s="1886"/>
    </row>
    <row r="33" spans="1:20" ht="18" customHeight="1" x14ac:dyDescent="0.2">
      <c r="A33" s="1886"/>
      <c r="B33" s="2376"/>
      <c r="C33" s="2375"/>
      <c r="D33" s="2375"/>
      <c r="E33" s="2375"/>
      <c r="F33" s="1886"/>
      <c r="G33" s="1886"/>
      <c r="H33" s="1886"/>
      <c r="I33" s="1886"/>
      <c r="J33" s="1886"/>
      <c r="K33" s="1886"/>
      <c r="L33" s="1886"/>
      <c r="M33" s="1886"/>
      <c r="N33" s="1886"/>
      <c r="O33" s="1886"/>
      <c r="P33" s="1886"/>
      <c r="Q33" s="1886"/>
      <c r="R33" s="1886"/>
      <c r="S33" s="1886"/>
      <c r="T33" s="1886"/>
    </row>
    <row r="34" spans="1:20" ht="18" customHeight="1" x14ac:dyDescent="0.2">
      <c r="A34" s="1886"/>
      <c r="B34" s="2222" t="str">
        <f>B7</f>
        <v>Resíduos de alimentos</v>
      </c>
      <c r="C34" s="2308">
        <f t="shared" ref="C34:C41" si="5">+C62</f>
        <v>0</v>
      </c>
      <c r="D34" s="2308">
        <f t="shared" ref="D34:D41" si="6">+C71</f>
        <v>0</v>
      </c>
      <c r="E34" s="2308">
        <f t="shared" ref="E34:E41" si="7">+D34+C34</f>
        <v>0</v>
      </c>
      <c r="F34" s="1886"/>
      <c r="G34" s="1886"/>
      <c r="H34" s="1886"/>
      <c r="I34" s="1886"/>
      <c r="J34" s="1886"/>
      <c r="K34" s="1886"/>
      <c r="L34" s="1886"/>
      <c r="M34" s="1886"/>
      <c r="N34" s="1886"/>
      <c r="O34" s="1886"/>
      <c r="P34" s="1886"/>
      <c r="Q34" s="1886"/>
      <c r="R34" s="1886"/>
      <c r="S34" s="1886"/>
      <c r="T34" s="1886"/>
    </row>
    <row r="35" spans="1:20" ht="18" customHeight="1" x14ac:dyDescent="0.2">
      <c r="A35" s="1886"/>
      <c r="B35" s="2222" t="str">
        <f t="shared" ref="B35:B41" si="8">B8</f>
        <v>Resíduos de jardins e parques</v>
      </c>
      <c r="C35" s="2308">
        <f t="shared" si="5"/>
        <v>0</v>
      </c>
      <c r="D35" s="2308">
        <f t="shared" si="6"/>
        <v>0</v>
      </c>
      <c r="E35" s="2308">
        <f t="shared" si="7"/>
        <v>0</v>
      </c>
      <c r="F35" s="1886"/>
      <c r="G35" s="1886"/>
      <c r="H35" s="1886"/>
      <c r="I35" s="1886"/>
      <c r="J35" s="1886"/>
      <c r="K35" s="1886"/>
      <c r="L35" s="1886"/>
      <c r="M35" s="1886"/>
      <c r="N35" s="1886"/>
      <c r="O35" s="1886"/>
      <c r="P35" s="1886"/>
      <c r="Q35" s="1886"/>
      <c r="R35" s="1886"/>
      <c r="S35" s="1886"/>
      <c r="T35" s="1886"/>
    </row>
    <row r="36" spans="1:20" ht="18" customHeight="1" x14ac:dyDescent="0.2">
      <c r="A36" s="1886"/>
      <c r="B36" s="2222" t="str">
        <f t="shared" si="8"/>
        <v>Papel, papelão</v>
      </c>
      <c r="C36" s="2308">
        <f t="shared" si="5"/>
        <v>7999.4112480000003</v>
      </c>
      <c r="D36" s="2308">
        <f t="shared" si="6"/>
        <v>-9859.1469840000009</v>
      </c>
      <c r="E36" s="2308">
        <f t="shared" si="7"/>
        <v>-1859.7357360000005</v>
      </c>
      <c r="F36" s="1886"/>
      <c r="G36" s="1886"/>
      <c r="H36" s="1886"/>
      <c r="I36" s="1886"/>
      <c r="J36" s="1886"/>
      <c r="K36" s="1886"/>
      <c r="L36" s="1886"/>
      <c r="M36" s="1886"/>
      <c r="N36" s="1886"/>
      <c r="O36" s="1886"/>
      <c r="P36" s="1886"/>
      <c r="Q36" s="1886"/>
      <c r="R36" s="1886"/>
      <c r="S36" s="1886"/>
      <c r="T36" s="1886"/>
    </row>
    <row r="37" spans="1:20" ht="18" customHeight="1" x14ac:dyDescent="0.2">
      <c r="A37" s="1886"/>
      <c r="B37" s="2222" t="str">
        <f t="shared" si="8"/>
        <v>Plásticos</v>
      </c>
      <c r="C37" s="2308">
        <f t="shared" si="5"/>
        <v>1777.8420000000001</v>
      </c>
      <c r="D37" s="2308">
        <f t="shared" si="6"/>
        <v>-8281.2747600000002</v>
      </c>
      <c r="E37" s="2308">
        <f t="shared" si="7"/>
        <v>-6503.4327599999997</v>
      </c>
      <c r="F37" s="1886"/>
      <c r="G37" s="1886"/>
      <c r="H37" s="1886"/>
      <c r="I37" s="1886"/>
      <c r="J37" s="1886"/>
      <c r="K37" s="1886"/>
      <c r="L37" s="1886"/>
      <c r="M37" s="1886"/>
      <c r="N37" s="1886"/>
      <c r="O37" s="1886"/>
      <c r="P37" s="1886"/>
      <c r="Q37" s="1886"/>
      <c r="R37" s="1886"/>
      <c r="S37" s="1886"/>
      <c r="T37" s="1886"/>
    </row>
    <row r="38" spans="1:20" ht="18" customHeight="1" x14ac:dyDescent="0.2">
      <c r="A38" s="1886"/>
      <c r="B38" s="2222" t="str">
        <f t="shared" si="8"/>
        <v>Vidros</v>
      </c>
      <c r="C38" s="2308">
        <f t="shared" si="5"/>
        <v>0</v>
      </c>
      <c r="D38" s="2308">
        <f t="shared" si="6"/>
        <v>0</v>
      </c>
      <c r="E38" s="2308">
        <f t="shared" si="7"/>
        <v>0</v>
      </c>
      <c r="F38" s="1886"/>
      <c r="G38" s="1886"/>
      <c r="H38" s="1886"/>
      <c r="I38" s="1886"/>
      <c r="J38" s="1886"/>
      <c r="K38" s="1886"/>
      <c r="L38" s="1886"/>
      <c r="M38" s="1886"/>
      <c r="N38" s="1886"/>
      <c r="O38" s="1886"/>
      <c r="P38" s="1886"/>
      <c r="Q38" s="1886"/>
      <c r="R38" s="1886"/>
      <c r="S38" s="1886"/>
      <c r="T38" s="1886"/>
    </row>
    <row r="39" spans="1:20" ht="18" customHeight="1" x14ac:dyDescent="0.2">
      <c r="A39" s="1886"/>
      <c r="B39" s="2222" t="str">
        <f t="shared" si="8"/>
        <v>Metais ferrosos</v>
      </c>
      <c r="C39" s="2308">
        <f t="shared" si="5"/>
        <v>204.16639999999998</v>
      </c>
      <c r="D39" s="2308">
        <f t="shared" si="6"/>
        <v>-5461.4512000000004</v>
      </c>
      <c r="E39" s="2308">
        <f t="shared" si="7"/>
        <v>-5257.2848000000004</v>
      </c>
      <c r="F39" s="1886"/>
      <c r="G39" s="1886"/>
      <c r="H39" s="1886"/>
      <c r="I39" s="1886"/>
      <c r="J39" s="1886"/>
      <c r="K39" s="1886"/>
      <c r="L39" s="1886"/>
      <c r="M39" s="1886"/>
      <c r="N39" s="1886"/>
      <c r="O39" s="1886"/>
      <c r="P39" s="1886"/>
      <c r="Q39" s="1886"/>
      <c r="R39" s="1886"/>
      <c r="S39" s="1886"/>
      <c r="T39" s="1886"/>
    </row>
    <row r="40" spans="1:20" ht="18" customHeight="1" x14ac:dyDescent="0.2">
      <c r="A40" s="1886"/>
      <c r="B40" s="2222" t="str">
        <f t="shared" si="8"/>
        <v>Alumínio</v>
      </c>
      <c r="C40" s="2308">
        <f t="shared" si="5"/>
        <v>580.04339999999991</v>
      </c>
      <c r="D40" s="2308">
        <f t="shared" si="6"/>
        <v>-8222.1359999999986</v>
      </c>
      <c r="E40" s="2308">
        <f t="shared" si="7"/>
        <v>-7642.092599999999</v>
      </c>
      <c r="F40" s="1886"/>
      <c r="G40" s="1886"/>
      <c r="H40" s="1886"/>
      <c r="I40" s="1886"/>
      <c r="J40" s="1886"/>
      <c r="K40" s="1886"/>
      <c r="L40" s="1886"/>
      <c r="M40" s="1886"/>
      <c r="N40" s="1886"/>
      <c r="O40" s="1886"/>
      <c r="P40" s="1886"/>
      <c r="Q40" s="1886"/>
      <c r="R40" s="1886"/>
      <c r="S40" s="1886"/>
      <c r="T40" s="1886"/>
    </row>
    <row r="41" spans="1:20" ht="18" customHeight="1" x14ac:dyDescent="0.2">
      <c r="A41" s="1886"/>
      <c r="B41" s="2222" t="str">
        <f t="shared" si="8"/>
        <v>Têxteis</v>
      </c>
      <c r="C41" s="2308">
        <f t="shared" si="5"/>
        <v>0</v>
      </c>
      <c r="D41" s="2308">
        <f t="shared" si="6"/>
        <v>0</v>
      </c>
      <c r="E41" s="2308">
        <f t="shared" si="7"/>
        <v>0</v>
      </c>
      <c r="F41" s="1886"/>
      <c r="G41" s="1886"/>
      <c r="H41" s="1886"/>
      <c r="I41" s="1886"/>
      <c r="J41" s="1886"/>
      <c r="K41" s="1886"/>
      <c r="L41" s="1886"/>
      <c r="M41" s="1886"/>
      <c r="N41" s="1886"/>
      <c r="O41" s="1886"/>
      <c r="P41" s="1886"/>
      <c r="Q41" s="1886"/>
      <c r="R41" s="1886"/>
      <c r="S41" s="1886"/>
      <c r="T41" s="1886"/>
    </row>
    <row r="42" spans="1:20" ht="18" customHeight="1" x14ac:dyDescent="0.2">
      <c r="A42" s="1886"/>
      <c r="B42" s="1904"/>
      <c r="C42" s="2304"/>
      <c r="D42" s="2304"/>
      <c r="E42" s="2304"/>
      <c r="F42" s="1886"/>
      <c r="G42" s="1886"/>
      <c r="H42" s="1886"/>
      <c r="I42" s="1886"/>
      <c r="J42" s="1886"/>
      <c r="K42" s="1886"/>
      <c r="L42" s="1886"/>
      <c r="M42" s="1886"/>
      <c r="N42" s="1886"/>
      <c r="O42" s="1886"/>
      <c r="P42" s="1886"/>
      <c r="Q42" s="1886"/>
      <c r="R42" s="1886"/>
      <c r="S42" s="1886"/>
      <c r="T42" s="1886"/>
    </row>
    <row r="43" spans="1:20" ht="18" customHeight="1" x14ac:dyDescent="0.2">
      <c r="A43" s="1886"/>
      <c r="B43" s="1975" t="s">
        <v>1267</v>
      </c>
      <c r="C43" s="2307"/>
      <c r="D43" s="2307"/>
      <c r="E43" s="2307"/>
      <c r="F43" s="1886"/>
      <c r="G43" s="1886"/>
      <c r="H43" s="1886"/>
      <c r="I43" s="1886"/>
      <c r="J43" s="1886"/>
      <c r="K43" s="1886"/>
      <c r="L43" s="1886"/>
      <c r="M43" s="1886"/>
      <c r="N43" s="1886"/>
      <c r="O43" s="1886"/>
      <c r="P43" s="1886"/>
      <c r="Q43" s="1886"/>
      <c r="R43" s="1886"/>
      <c r="S43" s="1886"/>
      <c r="T43" s="1886"/>
    </row>
    <row r="44" spans="1:20" ht="18" customHeight="1" x14ac:dyDescent="0.2">
      <c r="A44" s="1886"/>
      <c r="B44" s="2376"/>
      <c r="C44" s="2307"/>
      <c r="D44" s="2307"/>
      <c r="E44" s="2307"/>
      <c r="F44" s="1886"/>
      <c r="G44" s="1886"/>
      <c r="H44" s="1886"/>
      <c r="I44" s="1886"/>
      <c r="J44" s="1886"/>
      <c r="K44" s="1886"/>
      <c r="L44" s="1886"/>
      <c r="M44" s="1886"/>
      <c r="N44" s="1886"/>
      <c r="O44" s="1886"/>
      <c r="P44" s="1886"/>
      <c r="Q44" s="1886"/>
      <c r="R44" s="1886"/>
      <c r="S44" s="1886"/>
      <c r="T44" s="1886"/>
    </row>
    <row r="45" spans="1:20" ht="18" customHeight="1" x14ac:dyDescent="0.2">
      <c r="A45" s="1886"/>
      <c r="B45" s="2222" t="str">
        <f>B18</f>
        <v>Resíduos dispersos</v>
      </c>
      <c r="C45" s="2308">
        <f t="shared" ref="C45:C53" si="9">+L62</f>
        <v>0</v>
      </c>
      <c r="D45" s="2308">
        <f t="shared" ref="D45:D54" si="10">+L73</f>
        <v>0</v>
      </c>
      <c r="E45" s="2308">
        <f t="shared" ref="E45:E53" si="11">+D45+C45</f>
        <v>0</v>
      </c>
      <c r="F45" s="1886"/>
      <c r="G45" s="1886"/>
      <c r="H45" s="1886"/>
      <c r="I45" s="1886"/>
      <c r="J45" s="1886"/>
      <c r="K45" s="1886"/>
      <c r="L45" s="1886"/>
      <c r="M45" s="1886"/>
      <c r="N45" s="1886"/>
      <c r="O45" s="1886"/>
      <c r="P45" s="1886"/>
      <c r="Q45" s="1886"/>
      <c r="R45" s="1886"/>
      <c r="S45" s="1886"/>
      <c r="T45" s="1886"/>
    </row>
    <row r="46" spans="1:20" ht="18" customHeight="1" x14ac:dyDescent="0.2">
      <c r="A46" s="1886"/>
      <c r="B46" s="2222" t="str">
        <f t="shared" ref="B46:B54" si="12">B19</f>
        <v>Queima a céu aberto</v>
      </c>
      <c r="C46" s="2308">
        <f t="shared" si="9"/>
        <v>0</v>
      </c>
      <c r="D46" s="2308">
        <f t="shared" si="10"/>
        <v>0</v>
      </c>
      <c r="E46" s="2308">
        <f t="shared" si="11"/>
        <v>0</v>
      </c>
      <c r="F46" s="1886"/>
      <c r="G46" s="1886"/>
      <c r="H46" s="1886"/>
      <c r="I46" s="1886"/>
      <c r="J46" s="1886"/>
      <c r="K46" s="1886"/>
      <c r="L46" s="1886"/>
      <c r="M46" s="1886"/>
      <c r="N46" s="1886"/>
      <c r="O46" s="1886"/>
      <c r="P46" s="1886"/>
      <c r="Q46" s="1886"/>
      <c r="R46" s="1886"/>
      <c r="S46" s="1886"/>
      <c r="T46" s="1886"/>
    </row>
    <row r="47" spans="1:20" ht="18" customHeight="1" x14ac:dyDescent="0.2">
      <c r="A47" s="1886"/>
      <c r="B47" s="2222" t="str">
        <f t="shared" si="12"/>
        <v>Lixão não controlado</v>
      </c>
      <c r="C47" s="2308">
        <f t="shared" si="9"/>
        <v>0</v>
      </c>
      <c r="D47" s="2308">
        <f t="shared" si="10"/>
        <v>0</v>
      </c>
      <c r="E47" s="2308">
        <f t="shared" si="11"/>
        <v>0</v>
      </c>
      <c r="F47" s="1886"/>
      <c r="G47" s="1886"/>
      <c r="H47" s="1886"/>
      <c r="I47" s="1886"/>
      <c r="J47" s="1886"/>
      <c r="K47" s="1886"/>
      <c r="L47" s="1886"/>
      <c r="M47" s="1886"/>
      <c r="N47" s="1886"/>
      <c r="O47" s="1886"/>
      <c r="P47" s="1886"/>
      <c r="Q47" s="1886"/>
      <c r="R47" s="1886"/>
      <c r="S47" s="1886"/>
      <c r="T47" s="1886"/>
    </row>
    <row r="48" spans="1:20" ht="18" customHeight="1" x14ac:dyDescent="0.2">
      <c r="A48" s="1886"/>
      <c r="B48" s="2222" t="str">
        <f t="shared" si="12"/>
        <v>Aterro controlado</v>
      </c>
      <c r="C48" s="2308">
        <f t="shared" si="9"/>
        <v>52922.54492561012</v>
      </c>
      <c r="D48" s="2308">
        <f t="shared" si="10"/>
        <v>0</v>
      </c>
      <c r="E48" s="2308">
        <f t="shared" si="11"/>
        <v>52922.54492561012</v>
      </c>
      <c r="F48" s="1886"/>
      <c r="G48" s="1886"/>
      <c r="H48" s="1886"/>
      <c r="I48" s="1886"/>
      <c r="J48" s="1886"/>
      <c r="K48" s="1886"/>
      <c r="L48" s="1886"/>
      <c r="M48" s="1886"/>
      <c r="N48" s="1886"/>
      <c r="O48" s="1886"/>
      <c r="P48" s="1886"/>
      <c r="Q48" s="1886"/>
      <c r="R48" s="1886"/>
      <c r="S48" s="1886"/>
      <c r="T48" s="1886"/>
    </row>
    <row r="49" spans="1:20" ht="18" customHeight="1" x14ac:dyDescent="0.2">
      <c r="A49" s="1886"/>
      <c r="B49" s="2222" t="str">
        <f t="shared" si="12"/>
        <v>Aterro sanitário</v>
      </c>
      <c r="C49" s="2308">
        <f t="shared" si="9"/>
        <v>0</v>
      </c>
      <c r="D49" s="2308">
        <f t="shared" si="10"/>
        <v>0</v>
      </c>
      <c r="E49" s="2308">
        <f t="shared" si="11"/>
        <v>0</v>
      </c>
      <c r="F49" s="1886"/>
      <c r="G49" s="1886"/>
      <c r="H49" s="1886"/>
      <c r="I49" s="1886"/>
      <c r="J49" s="1886"/>
      <c r="K49" s="1886"/>
      <c r="L49" s="1886"/>
      <c r="M49" s="1886"/>
      <c r="N49" s="1886"/>
      <c r="O49" s="1886"/>
      <c r="P49" s="1886"/>
      <c r="Q49" s="1886"/>
      <c r="R49" s="1886"/>
      <c r="S49" s="1886"/>
      <c r="T49" s="1886"/>
    </row>
    <row r="50" spans="1:20" ht="18" customHeight="1" x14ac:dyDescent="0.2">
      <c r="A50" s="1886"/>
      <c r="B50" s="2222" t="str">
        <f t="shared" si="12"/>
        <v>Trat. biol + cobertura at.</v>
      </c>
      <c r="C50" s="2308">
        <f t="shared" si="9"/>
        <v>0</v>
      </c>
      <c r="D50" s="2308">
        <f t="shared" si="10"/>
        <v>0</v>
      </c>
      <c r="E50" s="2308">
        <f t="shared" si="11"/>
        <v>0</v>
      </c>
      <c r="F50" s="1886"/>
      <c r="G50" s="1886"/>
      <c r="H50" s="1886"/>
      <c r="I50" s="1886"/>
      <c r="J50" s="1886"/>
      <c r="K50" s="1886"/>
      <c r="L50" s="1886"/>
      <c r="M50" s="1886"/>
      <c r="N50" s="1886"/>
      <c r="O50" s="1886"/>
      <c r="P50" s="1886"/>
      <c r="Q50" s="1886"/>
      <c r="R50" s="1886"/>
      <c r="S50" s="1886"/>
      <c r="T50" s="1886"/>
    </row>
    <row r="51" spans="1:20" ht="18" customHeight="1" x14ac:dyDescent="0.2">
      <c r="A51" s="1886"/>
      <c r="B51" s="2222" t="str">
        <f t="shared" si="12"/>
        <v>CDR seco + rejeito aterro</v>
      </c>
      <c r="C51" s="2308">
        <f t="shared" si="9"/>
        <v>0</v>
      </c>
      <c r="D51" s="2308">
        <f t="shared" si="10"/>
        <v>0</v>
      </c>
      <c r="E51" s="2308">
        <f t="shared" si="11"/>
        <v>0</v>
      </c>
      <c r="F51" s="1886"/>
      <c r="G51" s="2277"/>
      <c r="H51" s="2278"/>
      <c r="I51" s="2278"/>
      <c r="J51" s="2278"/>
      <c r="K51" s="1886"/>
      <c r="L51" s="1886"/>
      <c r="M51" s="1886"/>
      <c r="N51" s="1886"/>
      <c r="O51" s="1886"/>
      <c r="P51" s="1886"/>
      <c r="Q51" s="1886"/>
      <c r="R51" s="1886"/>
      <c r="S51" s="1886"/>
      <c r="T51" s="1886"/>
    </row>
    <row r="52" spans="1:20" ht="18" customHeight="1" x14ac:dyDescent="0.2">
      <c r="A52" s="1886"/>
      <c r="B52" s="2222" t="str">
        <f t="shared" si="12"/>
        <v>CDR seco + trat. biol.</v>
      </c>
      <c r="C52" s="2308">
        <f t="shared" si="9"/>
        <v>0</v>
      </c>
      <c r="D52" s="2308">
        <f t="shared" si="10"/>
        <v>0</v>
      </c>
      <c r="E52" s="2308">
        <f t="shared" si="11"/>
        <v>0</v>
      </c>
      <c r="F52" s="1886"/>
      <c r="G52" s="2382"/>
      <c r="H52" s="2266" t="s">
        <v>1255</v>
      </c>
      <c r="I52" s="2266" t="s">
        <v>1270</v>
      </c>
      <c r="J52" s="2266" t="s">
        <v>1256</v>
      </c>
      <c r="K52" s="1886"/>
      <c r="L52" s="1886"/>
      <c r="M52" s="1886"/>
      <c r="N52" s="1886"/>
      <c r="O52" s="1886"/>
      <c r="P52" s="1886"/>
      <c r="Q52" s="1886"/>
      <c r="R52" s="1886"/>
      <c r="S52" s="1886"/>
      <c r="T52" s="1886"/>
    </row>
    <row r="53" spans="1:20" ht="18" customHeight="1" x14ac:dyDescent="0.2">
      <c r="A53" s="1886"/>
      <c r="B53" s="2222" t="str">
        <f t="shared" si="12"/>
        <v>CDR seco + CDR org.</v>
      </c>
      <c r="C53" s="2308">
        <f t="shared" si="9"/>
        <v>14297.711968001611</v>
      </c>
      <c r="D53" s="2308">
        <f t="shared" si="10"/>
        <v>-80794.489341582099</v>
      </c>
      <c r="E53" s="2308">
        <f t="shared" si="11"/>
        <v>-66496.777373580495</v>
      </c>
      <c r="F53" s="1886"/>
      <c r="G53" s="1963" t="s">
        <v>1257</v>
      </c>
      <c r="H53" s="2295">
        <f>SUM(C34:C41)</f>
        <v>10561.463048000001</v>
      </c>
      <c r="I53" s="2295">
        <f>SUM(C45:C54)</f>
        <v>67220.256893611731</v>
      </c>
      <c r="J53" s="2295">
        <f>+I53+H53</f>
        <v>77781.719941611736</v>
      </c>
      <c r="K53" s="1886"/>
      <c r="L53" s="1886"/>
      <c r="M53" s="1886"/>
      <c r="N53" s="1886"/>
      <c r="O53" s="1886"/>
      <c r="P53" s="1886"/>
      <c r="Q53" s="1886"/>
      <c r="R53" s="1886"/>
      <c r="S53" s="1886"/>
      <c r="T53" s="1886"/>
    </row>
    <row r="54" spans="1:20" ht="18" customHeight="1" x14ac:dyDescent="0.2">
      <c r="A54" s="1886"/>
      <c r="B54" s="2222" t="str">
        <f t="shared" si="12"/>
        <v>Incineração</v>
      </c>
      <c r="C54" s="2308">
        <f>+L71</f>
        <v>0</v>
      </c>
      <c r="D54" s="2308">
        <f t="shared" si="10"/>
        <v>0</v>
      </c>
      <c r="E54" s="2308">
        <f>+D54+C54</f>
        <v>0</v>
      </c>
      <c r="F54" s="1886"/>
      <c r="G54" s="1963" t="s">
        <v>1258</v>
      </c>
      <c r="H54" s="2295">
        <f>SUM(D34:D41)</f>
        <v>-31824.008943999997</v>
      </c>
      <c r="I54" s="2295">
        <f>SUM(D45:D54)</f>
        <v>-80794.489341582099</v>
      </c>
      <c r="J54" s="2295">
        <f>+I54+H54</f>
        <v>-112618.4982855821</v>
      </c>
      <c r="K54" s="1886"/>
      <c r="L54" s="1886"/>
      <c r="M54" s="1886"/>
      <c r="N54" s="1886"/>
      <c r="O54" s="1886"/>
      <c r="P54" s="1886"/>
      <c r="Q54" s="1886"/>
      <c r="R54" s="1886"/>
      <c r="S54" s="1886"/>
      <c r="T54" s="1886"/>
    </row>
    <row r="55" spans="1:20" ht="18" customHeight="1" x14ac:dyDescent="0.2">
      <c r="A55" s="1886"/>
      <c r="B55" s="1904"/>
      <c r="C55" s="2304"/>
      <c r="D55" s="2304"/>
      <c r="E55" s="2304"/>
      <c r="F55" s="1886"/>
      <c r="G55" s="1963" t="s">
        <v>1259</v>
      </c>
      <c r="H55" s="2295">
        <f>+H53+H54</f>
        <v>-21262.545895999996</v>
      </c>
      <c r="I55" s="2295">
        <f>+I53+I54</f>
        <v>-13574.232447970368</v>
      </c>
      <c r="J55" s="2295">
        <f>+I55+H55</f>
        <v>-34836.778343970363</v>
      </c>
      <c r="K55" s="1886"/>
      <c r="L55" s="1886"/>
      <c r="M55" s="1886"/>
      <c r="N55" s="1886"/>
      <c r="O55" s="1886"/>
      <c r="P55" s="1886"/>
      <c r="Q55" s="1886"/>
      <c r="R55" s="1886"/>
      <c r="S55" s="1886"/>
      <c r="T55" s="1886"/>
    </row>
    <row r="56" spans="1:20" ht="18" customHeight="1" x14ac:dyDescent="0.2">
      <c r="A56" s="1886"/>
      <c r="B56" s="1975" t="s">
        <v>52</v>
      </c>
      <c r="C56" s="2328">
        <f>SUM(C34:C54)</f>
        <v>77781.719941611722</v>
      </c>
      <c r="D56" s="2328">
        <f>SUM(D34:D54)</f>
        <v>-112618.4982855821</v>
      </c>
      <c r="E56" s="2328">
        <f>+D56+C56</f>
        <v>-34836.778343970378</v>
      </c>
      <c r="F56" s="1886"/>
      <c r="G56" s="2277"/>
      <c r="H56" s="2286"/>
      <c r="I56" s="2286"/>
      <c r="J56" s="2286"/>
      <c r="K56" s="1886"/>
      <c r="L56" s="1886"/>
      <c r="M56" s="1886"/>
      <c r="N56" s="1886"/>
      <c r="O56" s="1886"/>
      <c r="P56" s="1886"/>
      <c r="Q56" s="1886"/>
      <c r="R56" s="1886"/>
      <c r="S56" s="1886"/>
      <c r="T56" s="1886"/>
    </row>
    <row r="57" spans="1:20"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20"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20" s="2225" customFormat="1" ht="26.1" customHeight="1" x14ac:dyDescent="0.2">
      <c r="A59" s="2287" t="s">
        <v>1260</v>
      </c>
      <c r="B59" s="1981"/>
      <c r="C59" s="2326"/>
      <c r="D59" s="2326"/>
      <c r="E59" s="2326"/>
      <c r="F59" s="2224"/>
      <c r="G59" s="1981"/>
      <c r="H59" s="1981"/>
      <c r="I59" s="1981"/>
      <c r="J59" s="1981"/>
      <c r="K59" s="1908" t="s">
        <v>1261</v>
      </c>
      <c r="L59" s="1981"/>
      <c r="M59" s="1981"/>
      <c r="N59" s="1981"/>
      <c r="O59" s="1981"/>
      <c r="P59" s="1981"/>
      <c r="Q59" s="1981"/>
      <c r="R59" s="1981"/>
      <c r="S59" s="1981"/>
      <c r="T59" s="1981"/>
    </row>
    <row r="60" spans="1:20"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20" ht="18" customHeight="1" x14ac:dyDescent="0.2">
      <c r="A61" s="1886"/>
      <c r="B61" s="2405"/>
      <c r="C61" s="2302" t="s">
        <v>1239</v>
      </c>
      <c r="D61" s="2075" t="s">
        <v>1259</v>
      </c>
      <c r="E61" s="1886"/>
      <c r="F61" s="1886"/>
      <c r="G61" s="1886"/>
      <c r="H61" s="1886"/>
      <c r="I61" s="1886"/>
      <c r="J61" s="2406"/>
      <c r="K61" s="2407"/>
      <c r="L61" s="2075" t="s">
        <v>1267</v>
      </c>
      <c r="M61" s="2075" t="s">
        <v>1259</v>
      </c>
      <c r="N61" s="1886"/>
      <c r="O61" s="1886"/>
      <c r="P61" s="1886"/>
      <c r="Q61" s="1886"/>
      <c r="R61" s="1886"/>
      <c r="S61" s="1886"/>
      <c r="T61" s="1886"/>
    </row>
    <row r="62" spans="1:20" ht="18" customHeight="1" x14ac:dyDescent="0.2">
      <c r="A62" s="1886"/>
      <c r="B62" s="2299" t="str">
        <f>+'CO2 - Cálculos'!AC16</f>
        <v>Resíduos de alimentos</v>
      </c>
      <c r="C62" s="2308">
        <f>+'CO2 - Cálculos'!AI16</f>
        <v>0</v>
      </c>
      <c r="D62" s="2375"/>
      <c r="E62" s="1886"/>
      <c r="F62" s="1886"/>
      <c r="G62" s="1886"/>
      <c r="H62" s="1886"/>
      <c r="I62" s="1886"/>
      <c r="J62" s="2406"/>
      <c r="K62" s="2408" t="str">
        <f>+'CO2 - Cálculos'!AC61</f>
        <v>Resíduos dispersos</v>
      </c>
      <c r="L62" s="2409">
        <f>+'CO2 - Cálculos'!AI61</f>
        <v>0</v>
      </c>
      <c r="M62" s="2376"/>
      <c r="N62" s="1886"/>
      <c r="O62" s="1886"/>
      <c r="P62" s="1886"/>
      <c r="Q62" s="1886"/>
      <c r="R62" s="1886"/>
      <c r="S62" s="1886"/>
      <c r="T62" s="1886"/>
    </row>
    <row r="63" spans="1:20" ht="18" customHeight="1" x14ac:dyDescent="0.2">
      <c r="A63" s="1886"/>
      <c r="B63" s="2299" t="str">
        <f>+'CO2 - Cálculos'!AC17</f>
        <v>Resíduos de jardins e parques</v>
      </c>
      <c r="C63" s="2308">
        <f>+'CO2 - Cálculos'!AI17</f>
        <v>0</v>
      </c>
      <c r="D63" s="2375"/>
      <c r="E63" s="1886"/>
      <c r="F63" s="1886"/>
      <c r="G63" s="1886"/>
      <c r="H63" s="1886"/>
      <c r="I63" s="1886"/>
      <c r="J63" s="2406"/>
      <c r="K63" s="2408" t="str">
        <f>+'CO2 - Cálculos'!AC62</f>
        <v>Queima a céu aberto</v>
      </c>
      <c r="L63" s="2409">
        <f>+'CO2 - Cálculos'!AI62</f>
        <v>0</v>
      </c>
      <c r="M63" s="2376"/>
      <c r="N63" s="1886"/>
      <c r="O63" s="1886"/>
      <c r="P63" s="1886"/>
      <c r="Q63" s="1886"/>
      <c r="R63" s="1886"/>
      <c r="S63" s="1886"/>
      <c r="T63" s="1886"/>
    </row>
    <row r="64" spans="1:20" ht="18" customHeight="1" x14ac:dyDescent="0.2">
      <c r="A64" s="1886"/>
      <c r="B64" s="2299" t="str">
        <f>+'CO2 - Cálculos'!AC18</f>
        <v>Papel, papelão</v>
      </c>
      <c r="C64" s="2308">
        <f>+'CO2 - Cálculos'!AI18</f>
        <v>7999.4112480000003</v>
      </c>
      <c r="D64" s="2375"/>
      <c r="E64" s="1886"/>
      <c r="F64" s="1886"/>
      <c r="G64" s="1886"/>
      <c r="H64" s="1886"/>
      <c r="I64" s="1886"/>
      <c r="J64" s="2406"/>
      <c r="K64" s="2408" t="str">
        <f>+'CO2 - Cálculos'!AC63</f>
        <v>Lixão não controlado</v>
      </c>
      <c r="L64" s="2409">
        <f>+'CO2 - Cálculos'!AI63</f>
        <v>0</v>
      </c>
      <c r="M64" s="2376"/>
      <c r="N64" s="1886"/>
      <c r="O64" s="1886"/>
      <c r="P64" s="1886"/>
      <c r="Q64" s="1886"/>
      <c r="R64" s="1886"/>
      <c r="S64" s="1886"/>
      <c r="T64" s="1886"/>
    </row>
    <row r="65" spans="1:20" ht="18" customHeight="1" x14ac:dyDescent="0.2">
      <c r="A65" s="1886"/>
      <c r="B65" s="2299" t="str">
        <f>+'CO2 - Cálculos'!AC19</f>
        <v>Plásticos</v>
      </c>
      <c r="C65" s="2308">
        <f>+'CO2 - Cálculos'!AI19</f>
        <v>1777.8420000000001</v>
      </c>
      <c r="D65" s="2375"/>
      <c r="E65" s="1886"/>
      <c r="F65" s="1886"/>
      <c r="G65" s="1886"/>
      <c r="H65" s="1886"/>
      <c r="I65" s="1886"/>
      <c r="J65" s="2406"/>
      <c r="K65" s="2408" t="str">
        <f>+'CO2 - Cálculos'!AC64</f>
        <v>Aterro controlado</v>
      </c>
      <c r="L65" s="2409">
        <f>+'CO2 - Cálculos'!AI64</f>
        <v>52922.54492561012</v>
      </c>
      <c r="M65" s="2376"/>
      <c r="N65" s="1886"/>
      <c r="O65" s="1886"/>
      <c r="P65" s="1886"/>
      <c r="Q65" s="1886"/>
      <c r="R65" s="1886"/>
      <c r="S65" s="1886"/>
      <c r="T65" s="1886"/>
    </row>
    <row r="66" spans="1:20" ht="18" customHeight="1" x14ac:dyDescent="0.2">
      <c r="A66" s="1886"/>
      <c r="B66" s="2299" t="str">
        <f>+'CO2 - Cálculos'!AC20</f>
        <v>Vidros</v>
      </c>
      <c r="C66" s="2308">
        <f>+'CO2 - Cálculos'!AI20</f>
        <v>0</v>
      </c>
      <c r="D66" s="2375"/>
      <c r="E66" s="1886"/>
      <c r="F66" s="1886"/>
      <c r="G66" s="1886"/>
      <c r="H66" s="1886"/>
      <c r="I66" s="1886"/>
      <c r="J66" s="2406"/>
      <c r="K66" s="2408" t="str">
        <f>+'CO2 - Cálculos'!AC65</f>
        <v>Aterro sanitário</v>
      </c>
      <c r="L66" s="2409">
        <f>+'CO2 - Cálculos'!AI65</f>
        <v>0</v>
      </c>
      <c r="M66" s="2376"/>
      <c r="N66" s="1886"/>
      <c r="O66" s="1886"/>
      <c r="P66" s="1886"/>
      <c r="Q66" s="1886"/>
      <c r="R66" s="1886"/>
      <c r="S66" s="1886"/>
      <c r="T66" s="1886"/>
    </row>
    <row r="67" spans="1:20" ht="18" customHeight="1" x14ac:dyDescent="0.2">
      <c r="A67" s="1886"/>
      <c r="B67" s="2299" t="str">
        <f>+'CO2 - Cálculos'!AC21</f>
        <v>Metais ferrosos</v>
      </c>
      <c r="C67" s="2308">
        <f>+'CO2 - Cálculos'!AI21</f>
        <v>204.16639999999998</v>
      </c>
      <c r="D67" s="2375"/>
      <c r="E67" s="1886"/>
      <c r="F67" s="1886"/>
      <c r="G67" s="1886"/>
      <c r="H67" s="1886"/>
      <c r="I67" s="1886"/>
      <c r="J67" s="2410"/>
      <c r="K67" s="2408" t="str">
        <f>+'CO2 - Cálculos'!AC66</f>
        <v>Trat. biol + cobertura at.</v>
      </c>
      <c r="L67" s="2409">
        <f>+'CO2 - Cálculos'!AI66</f>
        <v>0</v>
      </c>
      <c r="M67" s="2376"/>
      <c r="N67" s="1886"/>
      <c r="O67" s="1886"/>
      <c r="P67" s="1886"/>
      <c r="Q67" s="1886"/>
      <c r="R67" s="1886"/>
      <c r="S67" s="1886"/>
      <c r="T67" s="1886"/>
    </row>
    <row r="68" spans="1:20" ht="18" customHeight="1" x14ac:dyDescent="0.2">
      <c r="A68" s="1886"/>
      <c r="B68" s="2299" t="str">
        <f>+'CO2 - Cálculos'!AC22</f>
        <v>Alumínio</v>
      </c>
      <c r="C68" s="2308">
        <f>+'CO2 - Cálculos'!AI22</f>
        <v>580.04339999999991</v>
      </c>
      <c r="D68" s="2375"/>
      <c r="E68" s="1886"/>
      <c r="F68" s="1886"/>
      <c r="G68" s="1886"/>
      <c r="H68" s="1886"/>
      <c r="I68" s="1886"/>
      <c r="J68" s="2410"/>
      <c r="K68" s="2408" t="str">
        <f>+'CO2 - Cálculos'!AC67</f>
        <v>CDR seco + rejeito aterro</v>
      </c>
      <c r="L68" s="2409">
        <f>+'CO2 - Cálculos'!AI67</f>
        <v>0</v>
      </c>
      <c r="M68" s="2376"/>
      <c r="N68" s="1886"/>
      <c r="O68" s="1886"/>
      <c r="P68" s="1886"/>
      <c r="Q68" s="1886"/>
      <c r="R68" s="1886"/>
      <c r="S68" s="1886"/>
      <c r="T68" s="1886"/>
    </row>
    <row r="69" spans="1:20" ht="18" customHeight="1" x14ac:dyDescent="0.2">
      <c r="A69" s="2230"/>
      <c r="B69" s="2299" t="str">
        <f>+'CO2 - Cálculos'!AC23</f>
        <v>Têxteis</v>
      </c>
      <c r="C69" s="2308">
        <f>+'CO2 - Cálculos'!AI23</f>
        <v>0</v>
      </c>
      <c r="D69" s="2375"/>
      <c r="E69" s="1886"/>
      <c r="F69" s="1886"/>
      <c r="G69" s="1886"/>
      <c r="H69" s="1886"/>
      <c r="I69" s="1886"/>
      <c r="J69" s="2410"/>
      <c r="K69" s="2408" t="str">
        <f>+'CO2 - Cálculos'!AC68</f>
        <v>CDR seco + trat. biol.</v>
      </c>
      <c r="L69" s="2409">
        <f>+'CO2 - Cálculos'!AI68</f>
        <v>0</v>
      </c>
      <c r="M69" s="2376"/>
      <c r="N69" s="1886"/>
      <c r="O69" s="1886"/>
      <c r="P69" s="1886"/>
      <c r="Q69" s="1886"/>
      <c r="R69" s="1886"/>
      <c r="S69" s="1886"/>
      <c r="T69" s="1886"/>
    </row>
    <row r="70" spans="1:20" ht="18" customHeight="1" x14ac:dyDescent="0.2">
      <c r="A70" s="1886"/>
      <c r="B70" s="2361" t="s">
        <v>1257</v>
      </c>
      <c r="C70" s="2375"/>
      <c r="D70" s="2307"/>
      <c r="E70" s="1886"/>
      <c r="F70" s="1886"/>
      <c r="G70" s="1886"/>
      <c r="H70" s="1886"/>
      <c r="I70" s="1886"/>
      <c r="J70" s="2406"/>
      <c r="K70" s="2408" t="str">
        <f>+'CO2 - Cálculos'!AC69</f>
        <v>CDR seco + CDR org.</v>
      </c>
      <c r="L70" s="2409">
        <f>+'CO2 - Cálculos'!AI69</f>
        <v>14297.711968001611</v>
      </c>
      <c r="M70" s="2376"/>
      <c r="N70" s="1886"/>
      <c r="O70" s="1886"/>
      <c r="P70" s="1886"/>
      <c r="Q70" s="1886"/>
      <c r="R70" s="1886"/>
      <c r="S70" s="1886"/>
      <c r="T70" s="1886"/>
    </row>
    <row r="71" spans="1:20" ht="18" customHeight="1" x14ac:dyDescent="0.2">
      <c r="A71" s="1886"/>
      <c r="B71" s="2296" t="str">
        <f>+'CO2 - Cálculos'!AC25</f>
        <v>Resíduos de alimentos</v>
      </c>
      <c r="C71" s="2308">
        <f>+'CO2 - Cálculos'!AI25</f>
        <v>0</v>
      </c>
      <c r="D71" s="2375"/>
      <c r="E71" s="1886"/>
      <c r="F71" s="1886"/>
      <c r="G71" s="1886"/>
      <c r="H71" s="1886"/>
      <c r="I71" s="1886"/>
      <c r="J71" s="2406"/>
      <c r="K71" s="2408" t="str">
        <f>+'CO2 - Cálculos'!AC70</f>
        <v>Incineração</v>
      </c>
      <c r="L71" s="2409">
        <f>+'CO2 - Cálculos'!AI70</f>
        <v>0</v>
      </c>
      <c r="M71" s="2376"/>
      <c r="N71" s="1886"/>
      <c r="O71" s="1886"/>
      <c r="P71" s="1886"/>
      <c r="Q71" s="1886"/>
      <c r="R71" s="1886"/>
      <c r="S71" s="1886"/>
      <c r="T71" s="1886"/>
    </row>
    <row r="72" spans="1:20" ht="18" customHeight="1" x14ac:dyDescent="0.2">
      <c r="A72" s="1886"/>
      <c r="B72" s="2296" t="str">
        <f>+'CO2 - Cálculos'!AC26</f>
        <v>Resíduos de jardins e parques</v>
      </c>
      <c r="C72" s="2308">
        <f>+'CO2 - Cálculos'!AI26</f>
        <v>0</v>
      </c>
      <c r="D72" s="2375"/>
      <c r="E72" s="1886"/>
      <c r="F72" s="1886"/>
      <c r="G72" s="1886"/>
      <c r="H72" s="1886"/>
      <c r="I72" s="1886"/>
      <c r="J72" s="2406"/>
      <c r="K72" s="2411" t="s">
        <v>1257</v>
      </c>
      <c r="L72" s="2376"/>
      <c r="M72" s="2376"/>
      <c r="N72" s="1886"/>
      <c r="O72" s="1886"/>
      <c r="P72" s="1886"/>
      <c r="Q72" s="1886"/>
      <c r="R72" s="1886"/>
      <c r="S72" s="1886"/>
      <c r="T72" s="1886"/>
    </row>
    <row r="73" spans="1:20" ht="18" customHeight="1" x14ac:dyDescent="0.2">
      <c r="A73" s="1886"/>
      <c r="B73" s="2296" t="str">
        <f>+'CO2 - Cálculos'!AC27</f>
        <v>Papel, papelão</v>
      </c>
      <c r="C73" s="2308">
        <f>+'CO2 - Cálculos'!AI27</f>
        <v>-9859.1469840000009</v>
      </c>
      <c r="D73" s="2375"/>
      <c r="E73" s="1886"/>
      <c r="F73" s="1886"/>
      <c r="G73" s="1886"/>
      <c r="H73" s="1886"/>
      <c r="I73" s="1886"/>
      <c r="J73" s="2406"/>
      <c r="K73" s="2408" t="str">
        <f>+'CO2 - Cálculos'!AC72</f>
        <v>Resíduos dispersos</v>
      </c>
      <c r="L73" s="2412">
        <f>+'CO2 - Cálculos'!AI72</f>
        <v>0</v>
      </c>
      <c r="M73" s="2376"/>
      <c r="N73" s="1886"/>
      <c r="O73" s="1886"/>
      <c r="P73" s="1886"/>
      <c r="Q73" s="1886"/>
      <c r="R73" s="1886"/>
      <c r="S73" s="1886"/>
      <c r="T73" s="1886"/>
    </row>
    <row r="74" spans="1:20" ht="18" customHeight="1" x14ac:dyDescent="0.2">
      <c r="A74" s="1886"/>
      <c r="B74" s="2296" t="str">
        <f>+'CO2 - Cálculos'!AC28</f>
        <v>Plásticos</v>
      </c>
      <c r="C74" s="2308">
        <f>+'CO2 - Cálculos'!AI28</f>
        <v>-8281.2747600000002</v>
      </c>
      <c r="D74" s="2375"/>
      <c r="E74" s="1886"/>
      <c r="F74" s="1886"/>
      <c r="G74" s="1886"/>
      <c r="H74" s="1886"/>
      <c r="I74" s="1886"/>
      <c r="J74" s="2406"/>
      <c r="K74" s="2408" t="str">
        <f>+'CO2 - Cálculos'!AC73</f>
        <v>Queima a céu aberto</v>
      </c>
      <c r="L74" s="2412">
        <f>+'CO2 - Cálculos'!AI73</f>
        <v>0</v>
      </c>
      <c r="M74" s="2376"/>
      <c r="N74" s="1886"/>
      <c r="O74" s="1886"/>
      <c r="P74" s="1886"/>
      <c r="Q74" s="1886"/>
      <c r="R74" s="1886"/>
      <c r="S74" s="1886"/>
      <c r="T74" s="1886"/>
    </row>
    <row r="75" spans="1:20" ht="18" customHeight="1" x14ac:dyDescent="0.2">
      <c r="A75" s="1886"/>
      <c r="B75" s="2296" t="str">
        <f>+'CO2 - Cálculos'!AC29</f>
        <v>Vidros</v>
      </c>
      <c r="C75" s="2308">
        <f>+'CO2 - Cálculos'!AI29</f>
        <v>0</v>
      </c>
      <c r="D75" s="2375"/>
      <c r="E75" s="1886"/>
      <c r="F75" s="1886"/>
      <c r="G75" s="1886"/>
      <c r="H75" s="1886"/>
      <c r="I75" s="1886"/>
      <c r="J75" s="2406"/>
      <c r="K75" s="2408" t="str">
        <f>+'CO2 - Cálculos'!AC74</f>
        <v>Lixão não controlado</v>
      </c>
      <c r="L75" s="2412">
        <f>+'CO2 - Cálculos'!AI74</f>
        <v>0</v>
      </c>
      <c r="M75" s="2376"/>
      <c r="N75" s="1886"/>
      <c r="O75" s="1886"/>
      <c r="P75" s="1886"/>
      <c r="Q75" s="1886"/>
      <c r="R75" s="1886"/>
      <c r="S75" s="1886"/>
      <c r="T75" s="1886"/>
    </row>
    <row r="76" spans="1:20" ht="18" customHeight="1" x14ac:dyDescent="0.2">
      <c r="A76" s="1886"/>
      <c r="B76" s="2296" t="str">
        <f>+'CO2 - Cálculos'!AC30</f>
        <v>Metais ferrosos</v>
      </c>
      <c r="C76" s="2308">
        <f>+'CO2 - Cálculos'!AI30</f>
        <v>-5461.4512000000004</v>
      </c>
      <c r="D76" s="2375"/>
      <c r="E76" s="1886"/>
      <c r="F76" s="1886"/>
      <c r="G76" s="1886"/>
      <c r="H76" s="1886"/>
      <c r="I76" s="1886"/>
      <c r="J76" s="2406"/>
      <c r="K76" s="2408" t="str">
        <f>+'CO2 - Cálculos'!AC75</f>
        <v>Aterro controlado</v>
      </c>
      <c r="L76" s="2412">
        <f>+'CO2 - Cálculos'!AI75</f>
        <v>0</v>
      </c>
      <c r="M76" s="2376"/>
      <c r="N76" s="1886"/>
      <c r="O76" s="1886"/>
      <c r="P76" s="1886"/>
      <c r="Q76" s="1886"/>
      <c r="R76" s="1886"/>
      <c r="S76" s="1886"/>
      <c r="T76" s="1886"/>
    </row>
    <row r="77" spans="1:20" ht="18" customHeight="1" x14ac:dyDescent="0.2">
      <c r="A77" s="1886"/>
      <c r="B77" s="2296" t="str">
        <f>+'CO2 - Cálculos'!AC31</f>
        <v>Alumínio</v>
      </c>
      <c r="C77" s="2308">
        <f>+'CO2 - Cálculos'!AI31</f>
        <v>-8222.1359999999986</v>
      </c>
      <c r="D77" s="2375"/>
      <c r="E77" s="1886"/>
      <c r="F77" s="1886"/>
      <c r="G77" s="1886"/>
      <c r="H77" s="1886"/>
      <c r="I77" s="1886"/>
      <c r="J77" s="2410"/>
      <c r="K77" s="2408" t="str">
        <f>+'CO2 - Cálculos'!AC76</f>
        <v>Aterro sanitário</v>
      </c>
      <c r="L77" s="2412">
        <f>+'CO2 - Cálculos'!AI76</f>
        <v>0</v>
      </c>
      <c r="M77" s="2376"/>
      <c r="N77" s="1886"/>
      <c r="O77" s="1886"/>
      <c r="P77" s="1886"/>
      <c r="Q77" s="1886"/>
      <c r="R77" s="1886"/>
      <c r="S77" s="1886"/>
      <c r="T77" s="1886"/>
    </row>
    <row r="78" spans="1:20" ht="18" customHeight="1" x14ac:dyDescent="0.2">
      <c r="A78" s="1886"/>
      <c r="B78" s="2296" t="str">
        <f>+'CO2 - Cálculos'!AC32</f>
        <v>Têxteis</v>
      </c>
      <c r="C78" s="2308">
        <f>+'CO2 - Cálculos'!AI32</f>
        <v>0</v>
      </c>
      <c r="D78" s="2375"/>
      <c r="E78" s="1886"/>
      <c r="F78" s="1886"/>
      <c r="G78" s="1886"/>
      <c r="H78" s="1886"/>
      <c r="I78" s="1886"/>
      <c r="J78" s="2410"/>
      <c r="K78" s="2408" t="str">
        <f>+'CO2 - Cálculos'!AC77</f>
        <v>Trat. biol + cobertura at.</v>
      </c>
      <c r="L78" s="2412">
        <f>+'CO2 - Cálculos'!AI77</f>
        <v>0</v>
      </c>
      <c r="M78" s="2376"/>
      <c r="N78" s="1886"/>
      <c r="O78" s="1886"/>
      <c r="P78" s="1886"/>
      <c r="Q78" s="1886"/>
      <c r="R78" s="1886"/>
      <c r="S78" s="1886"/>
      <c r="T78" s="1886"/>
    </row>
    <row r="79" spans="1:20" ht="18" customHeight="1" x14ac:dyDescent="0.2">
      <c r="A79" s="1886"/>
      <c r="B79" s="2361" t="s">
        <v>1258</v>
      </c>
      <c r="C79" s="2375"/>
      <c r="D79" s="2307"/>
      <c r="E79" s="1886"/>
      <c r="F79" s="1886"/>
      <c r="G79" s="1886"/>
      <c r="H79" s="1886"/>
      <c r="I79" s="1886"/>
      <c r="J79" s="2410"/>
      <c r="K79" s="2408" t="str">
        <f>+'CO2 - Cálculos'!AC78</f>
        <v>CDR seco + rejeito aterro</v>
      </c>
      <c r="L79" s="2412">
        <f>+'CO2 - Cálculos'!AI78</f>
        <v>0</v>
      </c>
      <c r="M79" s="2376"/>
      <c r="N79" s="1886"/>
      <c r="O79" s="1886"/>
      <c r="P79" s="1886"/>
      <c r="Q79" s="1886"/>
      <c r="R79" s="1886"/>
      <c r="S79" s="1886"/>
      <c r="T79" s="1886"/>
    </row>
    <row r="80" spans="1:20" ht="18" customHeight="1" x14ac:dyDescent="0.2">
      <c r="A80" s="1886"/>
      <c r="B80" s="2361" t="s">
        <v>1259</v>
      </c>
      <c r="C80" s="2375"/>
      <c r="D80" s="2308">
        <f>SUM(C62:C69,C71:C78)</f>
        <v>-21262.545896</v>
      </c>
      <c r="E80" s="1886"/>
      <c r="F80" s="1886"/>
      <c r="G80" s="1886"/>
      <c r="H80" s="1886"/>
      <c r="I80" s="1886"/>
      <c r="J80" s="2406"/>
      <c r="K80" s="2408" t="str">
        <f>+'CO2 - Cálculos'!AC79</f>
        <v>CDR seco + trat. biol.</v>
      </c>
      <c r="L80" s="2412">
        <f>+'CO2 - Cálculos'!AI79</f>
        <v>0</v>
      </c>
      <c r="M80" s="2376"/>
      <c r="N80" s="1886"/>
      <c r="O80" s="1886"/>
      <c r="P80" s="1886"/>
      <c r="Q80" s="1886"/>
      <c r="R80" s="1886"/>
      <c r="S80" s="1886"/>
      <c r="T80" s="1886"/>
    </row>
    <row r="81" spans="1:20" ht="18" customHeight="1" x14ac:dyDescent="0.2">
      <c r="A81" s="1886"/>
      <c r="B81" s="1886"/>
      <c r="C81" s="1886"/>
      <c r="D81" s="1886"/>
      <c r="E81" s="1886"/>
      <c r="F81" s="1886"/>
      <c r="G81" s="1886"/>
      <c r="H81" s="1886"/>
      <c r="I81" s="1886"/>
      <c r="J81" s="2406"/>
      <c r="K81" s="2408" t="str">
        <f>+'CO2 - Cálculos'!AC80</f>
        <v>CDR seco + CDR org.</v>
      </c>
      <c r="L81" s="2412">
        <f>+'CO2 - Cálculos'!AI80</f>
        <v>-80794.489341582099</v>
      </c>
      <c r="M81" s="2376"/>
      <c r="N81" s="1886"/>
      <c r="O81" s="1886"/>
      <c r="P81" s="1886"/>
      <c r="Q81" s="1886"/>
      <c r="R81" s="1886"/>
      <c r="S81" s="1886"/>
      <c r="T81" s="1886"/>
    </row>
    <row r="82" spans="1:20" ht="18" customHeight="1" x14ac:dyDescent="0.2">
      <c r="A82" s="1886"/>
      <c r="B82" s="1886"/>
      <c r="C82" s="1886"/>
      <c r="D82" s="1886"/>
      <c r="E82" s="2263"/>
      <c r="F82" s="1886"/>
      <c r="G82" s="1886"/>
      <c r="H82" s="1886"/>
      <c r="I82" s="1886"/>
      <c r="J82" s="2406"/>
      <c r="K82" s="2408" t="str">
        <f>+'CO2 - Cálculos'!AC81</f>
        <v>Incineração</v>
      </c>
      <c r="L82" s="2412">
        <f>+'CO2 - Cálculos'!AI81</f>
        <v>0</v>
      </c>
      <c r="M82" s="2376"/>
      <c r="N82" s="1886"/>
      <c r="O82" s="1886"/>
      <c r="P82" s="1886"/>
      <c r="Q82" s="1886"/>
      <c r="R82" s="1886"/>
      <c r="S82" s="1886"/>
      <c r="T82" s="1886"/>
    </row>
    <row r="83" spans="1:20" ht="18" customHeight="1" x14ac:dyDescent="0.2">
      <c r="A83" s="1886"/>
      <c r="B83" s="1886"/>
      <c r="C83" s="1886"/>
      <c r="D83" s="1886"/>
      <c r="E83" s="2263"/>
      <c r="F83" s="1886"/>
      <c r="G83" s="1886"/>
      <c r="H83" s="1886"/>
      <c r="I83" s="1886"/>
      <c r="J83" s="2406"/>
      <c r="K83" s="2411" t="s">
        <v>1258</v>
      </c>
      <c r="L83" s="2376"/>
      <c r="M83" s="2376"/>
      <c r="N83" s="1886"/>
      <c r="O83" s="1886"/>
      <c r="P83" s="1886"/>
      <c r="Q83" s="1886"/>
      <c r="R83" s="1886"/>
      <c r="S83" s="1886"/>
      <c r="T83" s="1886"/>
    </row>
    <row r="84" spans="1:20" ht="18" customHeight="1" x14ac:dyDescent="0.2">
      <c r="A84" s="1886"/>
      <c r="B84" s="1886"/>
      <c r="C84" s="1886"/>
      <c r="D84" s="1886"/>
      <c r="E84" s="2263"/>
      <c r="F84" s="1886"/>
      <c r="G84" s="1886"/>
      <c r="H84" s="1886"/>
      <c r="I84" s="1886"/>
      <c r="J84" s="2406"/>
      <c r="K84" s="2411" t="s">
        <v>1259</v>
      </c>
      <c r="L84" s="2376"/>
      <c r="M84" s="2413">
        <f>SUM(L62:L71,L73:L82)</f>
        <v>-13574.232447970368</v>
      </c>
      <c r="N84" s="1886"/>
      <c r="O84" s="1886"/>
      <c r="P84" s="1886"/>
      <c r="Q84" s="1886"/>
      <c r="R84" s="1886"/>
      <c r="S84" s="1886"/>
      <c r="T84" s="1886"/>
    </row>
    <row r="85" spans="1:20" ht="18" customHeight="1" x14ac:dyDescent="0.2">
      <c r="A85" s="1886"/>
      <c r="B85" s="1886"/>
      <c r="C85" s="1886"/>
      <c r="D85" s="1886"/>
      <c r="E85" s="1886"/>
      <c r="F85" s="1886"/>
      <c r="G85" s="1886"/>
      <c r="H85" s="1886"/>
      <c r="I85" s="1886"/>
      <c r="J85" s="1886"/>
      <c r="K85" s="1886"/>
      <c r="L85" s="1886"/>
      <c r="M85" s="1886"/>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919FF-5189-4C90-BAFF-14F4E5A35F04}">
  <dimension ref="A1:AU120"/>
  <sheetViews>
    <sheetView zoomScale="78" zoomScaleNormal="78" workbookViewId="0">
      <selection activeCell="L13" sqref="L13"/>
    </sheetView>
  </sheetViews>
  <sheetFormatPr defaultColWidth="11.42578125" defaultRowHeight="12.75" x14ac:dyDescent="0.2"/>
  <cols>
    <col min="1" max="1" width="8.42578125" style="1842" customWidth="1"/>
    <col min="2" max="2" width="37.42578125" style="1842" customWidth="1"/>
    <col min="3" max="3" width="17.140625" style="1842" customWidth="1"/>
    <col min="4" max="4" width="15.42578125" style="1842" bestFit="1" customWidth="1"/>
    <col min="5" max="5" width="16.42578125" style="1842" customWidth="1"/>
    <col min="6" max="7" width="11.42578125" style="1842"/>
    <col min="8" max="8" width="14.85546875" style="1842" bestFit="1" customWidth="1"/>
    <col min="9" max="9" width="18.5703125" style="1842" bestFit="1" customWidth="1"/>
    <col min="10" max="10" width="16.42578125" style="1842" customWidth="1"/>
    <col min="11" max="11" width="15.42578125" style="1842" customWidth="1"/>
    <col min="12" max="12" width="19.42578125" style="1842" bestFit="1" customWidth="1"/>
    <col min="13" max="13" width="11" style="1842" customWidth="1"/>
    <col min="14" max="14" width="11.85546875" style="1842" customWidth="1"/>
    <col min="15" max="16384" width="11.42578125" style="1842"/>
  </cols>
  <sheetData>
    <row r="1" spans="1:45" s="2225" customFormat="1" ht="26.1" customHeight="1" x14ac:dyDescent="0.2">
      <c r="A1" s="2287" t="s">
        <v>1269</v>
      </c>
      <c r="B1" s="2396"/>
      <c r="C1" s="2396"/>
      <c r="D1" s="2396"/>
      <c r="E1" s="2396"/>
      <c r="F1" s="2026"/>
      <c r="G1" s="2026"/>
      <c r="H1" s="2026"/>
      <c r="I1" s="2026"/>
      <c r="J1" s="2026"/>
      <c r="K1" s="2026"/>
      <c r="L1" s="2026"/>
      <c r="M1" s="2026"/>
      <c r="N1" s="2026"/>
      <c r="O1" s="2026"/>
      <c r="P1" s="2026"/>
      <c r="Q1" s="2026"/>
      <c r="R1" s="2026"/>
      <c r="S1" s="2026"/>
      <c r="T1" s="2026"/>
      <c r="U1" s="1841"/>
      <c r="V1" s="1841"/>
      <c r="W1" s="1841"/>
      <c r="X1" s="1841"/>
      <c r="Y1" s="1841"/>
      <c r="Z1" s="1841"/>
      <c r="AA1" s="1841"/>
      <c r="AB1" s="1841"/>
      <c r="AC1" s="1841"/>
      <c r="AD1" s="1841"/>
      <c r="AE1" s="1841"/>
      <c r="AF1" s="1841"/>
      <c r="AG1" s="1841"/>
      <c r="AH1" s="1841"/>
      <c r="AI1" s="1841"/>
      <c r="AJ1" s="1841"/>
      <c r="AK1" s="1841"/>
      <c r="AL1" s="1841"/>
      <c r="AM1" s="1841"/>
      <c r="AN1" s="1841"/>
      <c r="AO1" s="1841"/>
      <c r="AP1" s="1841"/>
      <c r="AQ1" s="1841"/>
      <c r="AR1" s="1841"/>
      <c r="AS1" s="1841"/>
    </row>
    <row r="2" spans="1:45" ht="14.25" customHeight="1" x14ac:dyDescent="0.25">
      <c r="A2" s="2397"/>
      <c r="B2" s="2398"/>
      <c r="C2" s="1886"/>
      <c r="D2" s="1886"/>
      <c r="E2" s="1886"/>
      <c r="F2" s="1886"/>
      <c r="G2" s="1886"/>
      <c r="H2" s="1886"/>
      <c r="I2" s="1886"/>
      <c r="J2" s="1886"/>
      <c r="K2" s="1886"/>
      <c r="L2" s="1886"/>
      <c r="M2" s="1886"/>
      <c r="N2" s="1886"/>
      <c r="O2" s="1886"/>
      <c r="P2" s="1886"/>
      <c r="Q2" s="1886"/>
      <c r="R2" s="1886"/>
      <c r="S2" s="1886"/>
      <c r="T2" s="1886"/>
    </row>
    <row r="3" spans="1:45" ht="18" customHeight="1" x14ac:dyDescent="0.25">
      <c r="A3" s="1886"/>
      <c r="B3" s="2228" t="s">
        <v>1238</v>
      </c>
      <c r="C3" s="2229">
        <f>+'CO2 - Cálculos'!AI58</f>
        <v>146000</v>
      </c>
      <c r="D3" s="2230"/>
      <c r="E3" s="2230"/>
      <c r="F3" s="1886"/>
      <c r="G3" s="1886"/>
      <c r="H3" s="1886"/>
      <c r="I3" s="1886"/>
      <c r="J3" s="1886"/>
      <c r="K3" s="1886"/>
      <c r="L3" s="1886"/>
      <c r="M3" s="1886"/>
      <c r="N3" s="1886"/>
      <c r="O3" s="1886"/>
      <c r="P3" s="1886"/>
      <c r="Q3" s="1886"/>
      <c r="R3" s="1886"/>
      <c r="S3" s="1886"/>
      <c r="T3" s="1886"/>
    </row>
    <row r="4" spans="1:45" ht="18" customHeight="1" x14ac:dyDescent="0.25">
      <c r="A4" s="1886"/>
      <c r="B4" s="2283"/>
      <c r="C4" s="2399"/>
      <c r="D4" s="2233"/>
      <c r="E4" s="2233"/>
      <c r="F4" s="1886"/>
      <c r="G4" s="1886"/>
      <c r="H4" s="1886"/>
      <c r="I4" s="1886"/>
      <c r="J4" s="1886"/>
      <c r="K4" s="1886"/>
      <c r="L4" s="1886"/>
      <c r="M4" s="2305"/>
      <c r="N4" s="2305"/>
      <c r="O4" s="2305"/>
      <c r="P4" s="2305"/>
      <c r="Q4" s="2305"/>
      <c r="R4" s="2305"/>
      <c r="S4" s="1886"/>
      <c r="T4" s="1886"/>
    </row>
    <row r="5" spans="1:45" ht="18" customHeight="1" x14ac:dyDescent="0.25">
      <c r="A5" s="1886"/>
      <c r="B5" s="2228" t="s">
        <v>1239</v>
      </c>
      <c r="C5" s="2229">
        <f>+'CO2 - Cálculos'!AI13</f>
        <v>14727.458000000001</v>
      </c>
      <c r="D5" s="2230"/>
      <c r="E5" s="2230"/>
      <c r="F5" s="1886"/>
      <c r="G5" s="1886"/>
      <c r="H5" s="1886"/>
      <c r="I5" s="1886"/>
      <c r="J5" s="1886"/>
      <c r="K5" s="1886"/>
      <c r="L5" s="1886"/>
      <c r="M5" s="2305"/>
      <c r="N5" s="2305"/>
      <c r="O5" s="2962" t="s">
        <v>1264</v>
      </c>
      <c r="P5" s="2963"/>
      <c r="Q5" s="2305"/>
      <c r="R5" s="2305"/>
      <c r="S5" s="1886"/>
      <c r="T5" s="1886"/>
    </row>
    <row r="6" spans="1:45" ht="18" customHeight="1" x14ac:dyDescent="0.25">
      <c r="A6" s="1886"/>
      <c r="B6" s="2400"/>
      <c r="C6" s="2236"/>
      <c r="D6" s="2230"/>
      <c r="E6" s="2230"/>
      <c r="F6" s="1886"/>
      <c r="G6" s="1886"/>
      <c r="H6" s="1886"/>
      <c r="I6" s="1886"/>
      <c r="J6" s="1886"/>
      <c r="K6" s="1886"/>
      <c r="L6" s="1886"/>
      <c r="M6" s="2305"/>
      <c r="N6" s="2305"/>
      <c r="O6" s="2964">
        <f>+C3</f>
        <v>146000</v>
      </c>
      <c r="P6" s="2965"/>
      <c r="Q6" s="2305"/>
      <c r="R6" s="2305"/>
      <c r="S6" s="1886"/>
      <c r="T6" s="1886"/>
    </row>
    <row r="7" spans="1:45" ht="18" customHeight="1" x14ac:dyDescent="0.25">
      <c r="A7" s="1886"/>
      <c r="B7" s="2237" t="s">
        <v>1108</v>
      </c>
      <c r="C7" s="2238">
        <f>+'CO2 - Cálculos'!AJ5</f>
        <v>0</v>
      </c>
      <c r="D7" s="2230"/>
      <c r="E7" s="2230"/>
      <c r="F7" s="1886"/>
      <c r="G7" s="1886"/>
      <c r="H7" s="1886"/>
      <c r="I7" s="1886"/>
      <c r="J7" s="1886"/>
      <c r="K7" s="1886"/>
      <c r="L7" s="1886"/>
      <c r="M7" s="2401"/>
      <c r="N7" s="2305"/>
      <c r="O7" s="2305"/>
      <c r="P7" s="2305"/>
      <c r="Q7" s="2305"/>
      <c r="R7" s="2305"/>
      <c r="S7" s="1886"/>
      <c r="T7" s="1886"/>
    </row>
    <row r="8" spans="1:45" ht="18" customHeight="1" x14ac:dyDescent="0.25">
      <c r="A8" s="1886"/>
      <c r="B8" s="2237" t="s">
        <v>1109</v>
      </c>
      <c r="C8" s="2238">
        <f>+'CO2 - Cálculos'!AJ6</f>
        <v>0</v>
      </c>
      <c r="D8" s="2230"/>
      <c r="E8" s="2230"/>
      <c r="F8" s="1886"/>
      <c r="G8" s="1886"/>
      <c r="H8" s="1886"/>
      <c r="I8" s="1886"/>
      <c r="J8" s="1886"/>
      <c r="K8" s="1886"/>
      <c r="L8" s="1886"/>
      <c r="M8" s="2305"/>
      <c r="N8" s="2305"/>
      <c r="O8" s="2305"/>
      <c r="P8" s="2305"/>
      <c r="Q8" s="2305"/>
      <c r="R8" s="2305"/>
      <c r="S8" s="1886"/>
      <c r="T8" s="1886"/>
    </row>
    <row r="9" spans="1:45" ht="18" customHeight="1" x14ac:dyDescent="0.25">
      <c r="A9" s="1886"/>
      <c r="B9" s="2237" t="s">
        <v>1110</v>
      </c>
      <c r="C9" s="2238">
        <f>+'CO2 - Cálculos'!AJ7</f>
        <v>6368.9580000000005</v>
      </c>
      <c r="D9" s="2230"/>
      <c r="E9" s="2230"/>
      <c r="F9" s="1886"/>
      <c r="G9" s="1886"/>
      <c r="H9" s="1886"/>
      <c r="I9" s="1886"/>
      <c r="J9" s="1886"/>
      <c r="K9" s="1886"/>
      <c r="L9" s="2309"/>
      <c r="M9" s="1862" t="s">
        <v>1048</v>
      </c>
      <c r="N9" s="2310">
        <f>+C5</f>
        <v>14727.458000000001</v>
      </c>
      <c r="O9" s="2311">
        <f>+N9/O6</f>
        <v>0.100873</v>
      </c>
      <c r="P9" s="2312">
        <f>+Q9/O6</f>
        <v>0.8991269999999999</v>
      </c>
      <c r="Q9" s="2313">
        <f>+C16</f>
        <v>131272.54199999999</v>
      </c>
      <c r="R9" s="2314" t="s">
        <v>1241</v>
      </c>
      <c r="S9" s="1953"/>
      <c r="T9" s="1886"/>
    </row>
    <row r="10" spans="1:45" ht="18" customHeight="1" x14ac:dyDescent="0.25">
      <c r="A10" s="1886"/>
      <c r="B10" s="2237" t="s">
        <v>1111</v>
      </c>
      <c r="C10" s="2238">
        <f>+'CO2 - Cálculos'!AJ8</f>
        <v>4336.2</v>
      </c>
      <c r="D10" s="2230"/>
      <c r="E10" s="2230"/>
      <c r="F10" s="1886"/>
      <c r="G10" s="1886"/>
      <c r="H10" s="1886"/>
      <c r="I10" s="1886"/>
      <c r="J10" s="1886"/>
      <c r="K10" s="1886"/>
      <c r="L10" s="2309"/>
      <c r="M10" s="2315"/>
      <c r="N10" s="2316"/>
      <c r="O10" s="2309"/>
      <c r="P10" s="2309"/>
      <c r="Q10" s="2316"/>
      <c r="R10" s="2315"/>
      <c r="S10" s="1953"/>
      <c r="T10" s="1886"/>
    </row>
    <row r="11" spans="1:45" ht="18" customHeight="1" x14ac:dyDescent="0.25">
      <c r="A11" s="1886"/>
      <c r="B11" s="2237" t="s">
        <v>50</v>
      </c>
      <c r="C11" s="2238">
        <f>+'CO2 - Cálculos'!AJ9</f>
        <v>0</v>
      </c>
      <c r="D11" s="2230"/>
      <c r="E11" s="2230"/>
      <c r="F11" s="1886"/>
      <c r="G11" s="1886"/>
      <c r="H11" s="1886"/>
      <c r="I11" s="1886"/>
      <c r="J11" s="1886"/>
      <c r="K11" s="1886"/>
      <c r="L11" s="2309"/>
      <c r="M11" s="1862" t="str">
        <f t="shared" ref="M11:N18" si="0">+B7</f>
        <v>Resíduos de alimentos</v>
      </c>
      <c r="N11" s="2402">
        <f t="shared" si="0"/>
        <v>0</v>
      </c>
      <c r="O11" s="2318">
        <f t="shared" ref="O11:O18" si="1">+N11/$N$9</f>
        <v>0</v>
      </c>
      <c r="P11" s="2319">
        <f t="shared" ref="P11:P19" si="2">+Q11/$Q$9</f>
        <v>0</v>
      </c>
      <c r="Q11" s="2320">
        <f t="shared" ref="Q11:Q19" si="3">+C18</f>
        <v>0</v>
      </c>
      <c r="R11" s="2314" t="str">
        <f t="shared" ref="R11:R19" si="4">+B18</f>
        <v>Resíduos dispersos</v>
      </c>
      <c r="S11" s="1953"/>
      <c r="T11" s="1886"/>
    </row>
    <row r="12" spans="1:45" ht="18" customHeight="1" x14ac:dyDescent="0.25">
      <c r="A12" s="1886"/>
      <c r="B12" s="2237" t="s">
        <v>1112</v>
      </c>
      <c r="C12" s="2238">
        <f>+'CO2 - Cálculos'!AJ10</f>
        <v>3190.1</v>
      </c>
      <c r="D12" s="2230"/>
      <c r="E12" s="2230"/>
      <c r="F12" s="1886"/>
      <c r="G12" s="1886"/>
      <c r="H12" s="1886"/>
      <c r="I12" s="1886"/>
      <c r="J12" s="1886"/>
      <c r="K12" s="1886"/>
      <c r="L12" s="2309"/>
      <c r="M12" s="1862" t="str">
        <f t="shared" si="0"/>
        <v>Resíduos de jardins e parques</v>
      </c>
      <c r="N12" s="2402">
        <f t="shared" si="0"/>
        <v>0</v>
      </c>
      <c r="O12" s="2318">
        <f t="shared" si="1"/>
        <v>0</v>
      </c>
      <c r="P12" s="2319">
        <f t="shared" si="2"/>
        <v>0</v>
      </c>
      <c r="Q12" s="2320">
        <f t="shared" si="3"/>
        <v>0</v>
      </c>
      <c r="R12" s="2314" t="str">
        <f t="shared" si="4"/>
        <v>Queima a céu aberto</v>
      </c>
      <c r="S12" s="1953"/>
      <c r="T12" s="1886"/>
    </row>
    <row r="13" spans="1:45" ht="18" customHeight="1" x14ac:dyDescent="0.25">
      <c r="A13" s="1886"/>
      <c r="B13" s="2237" t="s">
        <v>1113</v>
      </c>
      <c r="C13" s="2238">
        <f>+'CO2 - Cálculos'!AJ11</f>
        <v>832.19999999999993</v>
      </c>
      <c r="D13" s="2230"/>
      <c r="E13" s="2230"/>
      <c r="F13" s="1886"/>
      <c r="G13" s="1886"/>
      <c r="H13" s="1886"/>
      <c r="I13" s="1886"/>
      <c r="J13" s="1886"/>
      <c r="K13" s="1886"/>
      <c r="L13" s="2309"/>
      <c r="M13" s="1862" t="str">
        <f t="shared" si="0"/>
        <v>Papel, papelão</v>
      </c>
      <c r="N13" s="2402">
        <f t="shared" si="0"/>
        <v>6368.9580000000005</v>
      </c>
      <c r="O13" s="2318">
        <f t="shared" si="1"/>
        <v>0.4324546707245745</v>
      </c>
      <c r="P13" s="2319">
        <f t="shared" si="2"/>
        <v>0</v>
      </c>
      <c r="Q13" s="2320">
        <f t="shared" si="3"/>
        <v>0</v>
      </c>
      <c r="R13" s="2314" t="str">
        <f t="shared" si="4"/>
        <v>Lixão não controlado</v>
      </c>
      <c r="S13" s="1953"/>
      <c r="T13" s="1886"/>
    </row>
    <row r="14" spans="1:45" ht="18" customHeight="1" x14ac:dyDescent="0.25">
      <c r="A14" s="1886"/>
      <c r="B14" s="2237" t="s">
        <v>1114</v>
      </c>
      <c r="C14" s="2238">
        <f>+'CO2 - Cálculos'!AJ12</f>
        <v>0</v>
      </c>
      <c r="D14" s="2230"/>
      <c r="E14" s="2230"/>
      <c r="F14" s="1886"/>
      <c r="G14" s="1886"/>
      <c r="H14" s="1886"/>
      <c r="I14" s="1886"/>
      <c r="J14" s="1886"/>
      <c r="K14" s="1886"/>
      <c r="L14" s="2309"/>
      <c r="M14" s="1862" t="str">
        <f t="shared" si="0"/>
        <v>Plásticos</v>
      </c>
      <c r="N14" s="2402">
        <f t="shared" si="0"/>
        <v>4336.2</v>
      </c>
      <c r="O14" s="2318">
        <f t="shared" si="1"/>
        <v>0.29442962933589761</v>
      </c>
      <c r="P14" s="2319">
        <f t="shared" si="2"/>
        <v>0.15</v>
      </c>
      <c r="Q14" s="2320">
        <f t="shared" si="3"/>
        <v>19690.881299999997</v>
      </c>
      <c r="R14" s="2314" t="str">
        <f t="shared" si="4"/>
        <v>Aterro controlado</v>
      </c>
      <c r="S14" s="1953"/>
      <c r="T14" s="1886"/>
    </row>
    <row r="15" spans="1:45" ht="18" customHeight="1" x14ac:dyDescent="0.25">
      <c r="A15" s="1886"/>
      <c r="B15" s="2283"/>
      <c r="C15" s="2399"/>
      <c r="D15" s="2230"/>
      <c r="E15" s="2230"/>
      <c r="F15" s="1886"/>
      <c r="G15" s="1886"/>
      <c r="H15" s="1886"/>
      <c r="I15" s="1886"/>
      <c r="J15" s="1886"/>
      <c r="K15" s="1886"/>
      <c r="L15" s="2309"/>
      <c r="M15" s="1862" t="str">
        <f t="shared" si="0"/>
        <v>Vidros</v>
      </c>
      <c r="N15" s="2402">
        <f t="shared" si="0"/>
        <v>0</v>
      </c>
      <c r="O15" s="2318">
        <f t="shared" si="1"/>
        <v>0</v>
      </c>
      <c r="P15" s="2319">
        <f t="shared" si="2"/>
        <v>0</v>
      </c>
      <c r="Q15" s="2320">
        <f t="shared" si="3"/>
        <v>0</v>
      </c>
      <c r="R15" s="2314" t="str">
        <f t="shared" si="4"/>
        <v>Aterro sanitário</v>
      </c>
      <c r="S15" s="1953"/>
      <c r="T15" s="1886"/>
    </row>
    <row r="16" spans="1:45" ht="18" customHeight="1" x14ac:dyDescent="0.25">
      <c r="A16" s="1886"/>
      <c r="B16" s="2256" t="s">
        <v>1265</v>
      </c>
      <c r="C16" s="2229">
        <f>+'CO2 - Cálculos'!AI57</f>
        <v>131272.54199999999</v>
      </c>
      <c r="D16" s="2230"/>
      <c r="E16" s="2230"/>
      <c r="F16" s="1886"/>
      <c r="G16" s="1886"/>
      <c r="H16" s="1886"/>
      <c r="I16" s="1886"/>
      <c r="J16" s="1886"/>
      <c r="K16" s="1886"/>
      <c r="L16" s="2309"/>
      <c r="M16" s="1862" t="str">
        <f t="shared" si="0"/>
        <v>Metais ferrosos</v>
      </c>
      <c r="N16" s="2402">
        <f t="shared" si="0"/>
        <v>3190.1</v>
      </c>
      <c r="O16" s="2318">
        <f t="shared" si="1"/>
        <v>0.21660900340031525</v>
      </c>
      <c r="P16" s="2319">
        <f t="shared" si="2"/>
        <v>0</v>
      </c>
      <c r="Q16" s="2320">
        <f t="shared" si="3"/>
        <v>0</v>
      </c>
      <c r="R16" s="2314" t="str">
        <f t="shared" si="4"/>
        <v>Trat. biol + cobertura at.</v>
      </c>
      <c r="S16" s="1953"/>
      <c r="T16" s="1886"/>
    </row>
    <row r="17" spans="1:47" ht="18" customHeight="1" x14ac:dyDescent="0.25">
      <c r="A17" s="1886"/>
      <c r="B17" s="2400"/>
      <c r="C17" s="2236"/>
      <c r="D17" s="2230"/>
      <c r="E17" s="2230"/>
      <c r="F17" s="1886"/>
      <c r="G17" s="1886"/>
      <c r="H17" s="1886"/>
      <c r="I17" s="1886"/>
      <c r="J17" s="1886"/>
      <c r="K17" s="1886"/>
      <c r="L17" s="2309"/>
      <c r="M17" s="1862" t="str">
        <f t="shared" si="0"/>
        <v>Alumínio</v>
      </c>
      <c r="N17" s="2402">
        <f t="shared" si="0"/>
        <v>832.19999999999993</v>
      </c>
      <c r="O17" s="2318">
        <f t="shared" si="1"/>
        <v>5.650669653921267E-2</v>
      </c>
      <c r="P17" s="2319">
        <f t="shared" si="2"/>
        <v>0</v>
      </c>
      <c r="Q17" s="2320">
        <f t="shared" si="3"/>
        <v>0</v>
      </c>
      <c r="R17" s="2314" t="str">
        <f t="shared" si="4"/>
        <v>CDR seco + rejeito aterro</v>
      </c>
      <c r="S17" s="1953"/>
      <c r="T17" s="1886"/>
    </row>
    <row r="18" spans="1:47" ht="18" customHeight="1" x14ac:dyDescent="0.25">
      <c r="A18" s="1886"/>
      <c r="B18" s="2237" t="s">
        <v>1243</v>
      </c>
      <c r="C18" s="2238">
        <f>+'CO2 - Cálculos'!AJ47</f>
        <v>0</v>
      </c>
      <c r="D18" s="2230"/>
      <c r="E18" s="2230"/>
      <c r="F18" s="1886"/>
      <c r="G18" s="1886"/>
      <c r="H18" s="1886"/>
      <c r="I18" s="1886"/>
      <c r="J18" s="1886"/>
      <c r="K18" s="1886"/>
      <c r="L18" s="2309"/>
      <c r="M18" s="1862" t="str">
        <f t="shared" si="0"/>
        <v>Têxteis</v>
      </c>
      <c r="N18" s="2402">
        <f t="shared" si="0"/>
        <v>0</v>
      </c>
      <c r="O18" s="2318">
        <f t="shared" si="1"/>
        <v>0</v>
      </c>
      <c r="P18" s="2319">
        <f t="shared" si="2"/>
        <v>0</v>
      </c>
      <c r="Q18" s="2320">
        <f t="shared" si="3"/>
        <v>0</v>
      </c>
      <c r="R18" s="2314" t="str">
        <f t="shared" si="4"/>
        <v>CDR seco + trat. biol.</v>
      </c>
      <c r="S18" s="1953"/>
      <c r="T18" s="1886"/>
    </row>
    <row r="19" spans="1:47" ht="18" customHeight="1" x14ac:dyDescent="0.25">
      <c r="A19" s="1886"/>
      <c r="B19" s="2237" t="s">
        <v>1244</v>
      </c>
      <c r="C19" s="2238">
        <f>+'CO2 - Cálculos'!AJ48</f>
        <v>0</v>
      </c>
      <c r="D19" s="2230"/>
      <c r="E19" s="2230"/>
      <c r="F19" s="1886"/>
      <c r="G19" s="1886"/>
      <c r="H19" s="1886"/>
      <c r="I19" s="1886"/>
      <c r="J19" s="1886"/>
      <c r="K19" s="1886"/>
      <c r="L19" s="2309"/>
      <c r="M19" s="2309"/>
      <c r="N19" s="2369"/>
      <c r="O19" s="2321"/>
      <c r="P19" s="2319">
        <f t="shared" si="2"/>
        <v>0</v>
      </c>
      <c r="Q19" s="2320">
        <f t="shared" si="3"/>
        <v>0</v>
      </c>
      <c r="R19" s="2314" t="str">
        <f t="shared" si="4"/>
        <v>CDR seco + CDR org.</v>
      </c>
      <c r="S19" s="1953"/>
      <c r="T19" s="1886"/>
    </row>
    <row r="20" spans="1:47" ht="18" customHeight="1" x14ac:dyDescent="0.25">
      <c r="A20" s="1886"/>
      <c r="B20" s="2237" t="s">
        <v>1245</v>
      </c>
      <c r="C20" s="2238">
        <f>+'CO2 - Cálculos'!AJ49</f>
        <v>0</v>
      </c>
      <c r="D20" s="2230"/>
      <c r="E20" s="2230"/>
      <c r="F20" s="1886"/>
      <c r="G20" s="1886"/>
      <c r="H20" s="1886"/>
      <c r="I20" s="1886"/>
      <c r="J20" s="1886"/>
      <c r="K20" s="1886"/>
      <c r="L20" s="2309"/>
      <c r="M20" s="2309"/>
      <c r="N20" s="2309"/>
      <c r="O20" s="2309"/>
      <c r="P20" s="2319">
        <f>+Q20/$Q$9</f>
        <v>0.85</v>
      </c>
      <c r="Q20" s="2320">
        <f>+C27</f>
        <v>111581.66069999998</v>
      </c>
      <c r="R20" s="2314" t="str">
        <f>+B27</f>
        <v>Incineração</v>
      </c>
      <c r="S20" s="1953"/>
      <c r="T20" s="1886"/>
    </row>
    <row r="21" spans="1:47" ht="18" customHeight="1" x14ac:dyDescent="0.25">
      <c r="A21" s="1886"/>
      <c r="B21" s="2237" t="s">
        <v>1246</v>
      </c>
      <c r="C21" s="2238">
        <f>+'CO2 - Cálculos'!AJ50</f>
        <v>19690.881299999997</v>
      </c>
      <c r="D21" s="2230"/>
      <c r="E21" s="2230"/>
      <c r="F21" s="1886"/>
      <c r="G21" s="1886"/>
      <c r="H21" s="1886"/>
      <c r="I21" s="1886"/>
      <c r="J21" s="1886"/>
      <c r="K21" s="1886"/>
      <c r="L21" s="1886"/>
      <c r="M21" s="1886"/>
      <c r="N21" s="1886"/>
      <c r="O21" s="1886"/>
      <c r="P21" s="1886"/>
      <c r="Q21" s="2012"/>
      <c r="R21" s="1886"/>
      <c r="S21" s="1886"/>
      <c r="T21" s="1886"/>
    </row>
    <row r="22" spans="1:47" ht="18" customHeight="1" x14ac:dyDescent="0.25">
      <c r="A22" s="1886"/>
      <c r="B22" s="2259" t="s">
        <v>64</v>
      </c>
      <c r="C22" s="2238">
        <f>+'CO2 - Cálculos'!AJ51</f>
        <v>0</v>
      </c>
      <c r="D22" s="2230"/>
      <c r="E22" s="2230"/>
      <c r="F22" s="1886"/>
      <c r="G22" s="1886"/>
      <c r="H22" s="1886"/>
      <c r="I22" s="1886"/>
      <c r="J22" s="1886"/>
      <c r="K22" s="1886"/>
      <c r="L22" s="1886"/>
      <c r="M22" s="1886"/>
      <c r="N22" s="1886"/>
      <c r="O22" s="1886"/>
      <c r="P22" s="1886"/>
      <c r="Q22" s="2012"/>
      <c r="R22" s="1886"/>
      <c r="S22" s="1886"/>
      <c r="T22" s="1886"/>
    </row>
    <row r="23" spans="1:47" ht="18" customHeight="1" x14ac:dyDescent="0.25">
      <c r="A23" s="1886"/>
      <c r="B23" s="2260" t="s">
        <v>1247</v>
      </c>
      <c r="C23" s="2261">
        <f>+'CO2 - Cálculos'!AJ52</f>
        <v>0</v>
      </c>
      <c r="D23" s="2230"/>
      <c r="E23" s="2230"/>
      <c r="F23" s="1886"/>
      <c r="G23" s="1886"/>
      <c r="H23" s="1886"/>
      <c r="I23" s="1886"/>
      <c r="J23" s="1886"/>
      <c r="K23" s="1886"/>
      <c r="L23" s="1886"/>
      <c r="M23" s="1886"/>
      <c r="N23" s="1886"/>
      <c r="O23" s="1886"/>
      <c r="P23" s="1886"/>
      <c r="Q23" s="1886"/>
      <c r="R23" s="1886"/>
      <c r="S23" s="1886"/>
      <c r="T23" s="1886"/>
    </row>
    <row r="24" spans="1:47" ht="18" customHeight="1" x14ac:dyDescent="0.25">
      <c r="A24" s="1886"/>
      <c r="B24" s="2260" t="s">
        <v>1248</v>
      </c>
      <c r="C24" s="2238">
        <f>+'CO2 - Cálculos'!AJ53</f>
        <v>0</v>
      </c>
      <c r="D24" s="2230"/>
      <c r="E24" s="2230"/>
      <c r="F24" s="1886"/>
      <c r="G24" s="1886"/>
      <c r="H24" s="1886"/>
      <c r="I24" s="1886"/>
      <c r="J24" s="1886"/>
      <c r="K24" s="1886"/>
      <c r="L24" s="1886"/>
      <c r="M24" s="1886"/>
      <c r="N24" s="1886"/>
      <c r="O24" s="1886"/>
      <c r="P24" s="1886"/>
      <c r="Q24" s="1886"/>
      <c r="R24" s="1886"/>
      <c r="S24" s="1886"/>
      <c r="T24" s="1886"/>
    </row>
    <row r="25" spans="1:47" ht="18" customHeight="1" x14ac:dyDescent="0.25">
      <c r="A25" s="1886"/>
      <c r="B25" s="2260" t="s">
        <v>1249</v>
      </c>
      <c r="C25" s="2238">
        <f>+'CO2 - Cálculos'!AJ54</f>
        <v>0</v>
      </c>
      <c r="D25" s="2230"/>
      <c r="E25" s="2230"/>
      <c r="F25" s="1886"/>
      <c r="G25" s="1886"/>
      <c r="H25" s="1886"/>
      <c r="I25" s="1886"/>
      <c r="J25" s="1886"/>
      <c r="K25" s="1886"/>
      <c r="L25" s="1886"/>
      <c r="M25" s="1886"/>
      <c r="N25" s="1886"/>
      <c r="O25" s="1886"/>
      <c r="P25" s="1886"/>
      <c r="Q25" s="1886"/>
      <c r="R25" s="1886"/>
      <c r="S25" s="1886"/>
      <c r="T25" s="1886"/>
    </row>
    <row r="26" spans="1:47" ht="18" customHeight="1" x14ac:dyDescent="0.25">
      <c r="A26" s="1886"/>
      <c r="B26" s="2260" t="s">
        <v>1250</v>
      </c>
      <c r="C26" s="2238">
        <f>+'CO2 - Cálculos'!AJ55</f>
        <v>0</v>
      </c>
      <c r="D26" s="2230"/>
      <c r="E26" s="2230"/>
      <c r="F26" s="1886"/>
      <c r="G26" s="1886"/>
      <c r="H26" s="1886"/>
      <c r="I26" s="1886"/>
      <c r="J26" s="1886"/>
      <c r="K26" s="1886"/>
      <c r="L26" s="1886"/>
      <c r="M26" s="1886"/>
      <c r="N26" s="1886"/>
      <c r="O26" s="1886"/>
      <c r="P26" s="1886"/>
      <c r="Q26" s="1886"/>
      <c r="R26" s="1886"/>
      <c r="S26" s="1886"/>
      <c r="T26" s="1886"/>
    </row>
    <row r="27" spans="1:47" ht="18" customHeight="1" x14ac:dyDescent="0.25">
      <c r="A27" s="1886"/>
      <c r="B27" s="2237" t="s">
        <v>63</v>
      </c>
      <c r="C27" s="2238">
        <f>+'CO2 - Cálculos'!AJ56</f>
        <v>111581.66069999998</v>
      </c>
      <c r="D27" s="2230"/>
      <c r="E27" s="2230"/>
      <c r="F27" s="1886"/>
      <c r="G27" s="1886"/>
      <c r="H27" s="1886"/>
      <c r="I27" s="1886"/>
      <c r="J27" s="1886"/>
      <c r="K27" s="1886"/>
      <c r="L27" s="1886"/>
      <c r="M27" s="1886"/>
      <c r="N27" s="1886"/>
      <c r="O27" s="1886"/>
      <c r="P27" s="1886"/>
      <c r="Q27" s="1886"/>
      <c r="R27" s="1886"/>
      <c r="S27" s="1886"/>
      <c r="T27" s="1886"/>
    </row>
    <row r="28" spans="1:47" x14ac:dyDescent="0.2">
      <c r="A28" s="1886"/>
      <c r="B28" s="1886"/>
      <c r="C28" s="2230"/>
      <c r="D28" s="2230"/>
      <c r="E28" s="2230"/>
      <c r="F28" s="1886"/>
      <c r="G28" s="1886"/>
      <c r="H28" s="1886"/>
      <c r="I28" s="1886"/>
      <c r="J28" s="1886"/>
      <c r="K28" s="1886"/>
      <c r="L28" s="1886"/>
      <c r="M28" s="1886"/>
      <c r="N28" s="1886"/>
      <c r="O28" s="1886"/>
      <c r="P28" s="1886"/>
      <c r="Q28" s="1886"/>
      <c r="R28" s="1886"/>
      <c r="S28" s="1886"/>
      <c r="T28" s="1886"/>
    </row>
    <row r="29" spans="1:47" s="2225" customFormat="1" ht="26.1" customHeight="1" x14ac:dyDescent="0.2">
      <c r="A29" s="2059" t="s">
        <v>1266</v>
      </c>
      <c r="B29" s="2403"/>
      <c r="C29" s="2404"/>
      <c r="D29" s="2404"/>
      <c r="E29" s="2404"/>
      <c r="F29" s="2026"/>
      <c r="G29" s="2026"/>
      <c r="H29" s="2026"/>
      <c r="I29" s="2026"/>
      <c r="J29" s="2026"/>
      <c r="K29" s="2026"/>
      <c r="L29" s="2026"/>
      <c r="M29" s="2026"/>
      <c r="N29" s="2026"/>
      <c r="O29" s="2026"/>
      <c r="P29" s="2026"/>
      <c r="Q29" s="2026"/>
      <c r="R29" s="2026"/>
      <c r="S29" s="2026"/>
      <c r="T29" s="2026"/>
      <c r="U29" s="1841"/>
      <c r="V29" s="1841"/>
      <c r="W29" s="1841"/>
      <c r="X29" s="1841"/>
      <c r="Y29" s="1841"/>
      <c r="Z29" s="1841"/>
      <c r="AA29" s="1841"/>
      <c r="AB29" s="1841"/>
      <c r="AC29" s="1841"/>
      <c r="AD29" s="1841"/>
      <c r="AE29" s="1841"/>
      <c r="AF29" s="1841"/>
      <c r="AG29" s="1841"/>
      <c r="AH29" s="1841"/>
      <c r="AI29" s="1841"/>
      <c r="AJ29" s="1841"/>
      <c r="AK29" s="1841"/>
      <c r="AL29" s="1841"/>
      <c r="AM29" s="1841"/>
      <c r="AN29" s="1841"/>
      <c r="AO29" s="1841"/>
      <c r="AP29" s="1841"/>
      <c r="AQ29" s="1841"/>
      <c r="AR29" s="1841"/>
      <c r="AS29" s="1841"/>
      <c r="AT29" s="1841"/>
      <c r="AU29" s="1841"/>
    </row>
    <row r="30" spans="1:47"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47" ht="18" customHeight="1" x14ac:dyDescent="0.25">
      <c r="A31" s="1886"/>
      <c r="B31" s="2147"/>
      <c r="C31" s="2328" t="s">
        <v>1252</v>
      </c>
      <c r="D31" s="2075" t="s">
        <v>1253</v>
      </c>
      <c r="E31" s="2075" t="s">
        <v>1254</v>
      </c>
      <c r="F31" s="1886"/>
      <c r="G31" s="1886"/>
      <c r="H31" s="2267"/>
      <c r="I31" s="1886"/>
      <c r="J31" s="1886"/>
      <c r="K31" s="1886"/>
      <c r="L31" s="1886"/>
      <c r="M31" s="1886"/>
      <c r="N31" s="1886"/>
      <c r="O31" s="1886"/>
      <c r="P31" s="1886"/>
      <c r="Q31" s="1886"/>
      <c r="R31" s="1886"/>
      <c r="S31" s="1886"/>
      <c r="T31" s="1886"/>
    </row>
    <row r="32" spans="1:47" ht="18" customHeight="1" x14ac:dyDescent="0.2">
      <c r="A32" s="1886"/>
      <c r="B32" s="2302" t="s">
        <v>1239</v>
      </c>
      <c r="C32" s="2307"/>
      <c r="D32" s="2375"/>
      <c r="E32" s="2375"/>
      <c r="F32" s="1886"/>
      <c r="G32" s="1886"/>
      <c r="H32" s="1886"/>
      <c r="I32" s="1886"/>
      <c r="J32" s="1886"/>
      <c r="K32" s="1886"/>
      <c r="L32" s="1886"/>
      <c r="M32" s="1886"/>
      <c r="N32" s="1886"/>
      <c r="O32" s="1886"/>
      <c r="P32" s="1886"/>
      <c r="Q32" s="1886"/>
      <c r="R32" s="1886"/>
      <c r="S32" s="1886"/>
      <c r="T32" s="1886"/>
    </row>
    <row r="33" spans="1:20" ht="18" customHeight="1" x14ac:dyDescent="0.2">
      <c r="A33" s="1886"/>
      <c r="B33" s="2376"/>
      <c r="C33" s="2375"/>
      <c r="D33" s="2375"/>
      <c r="E33" s="2375"/>
      <c r="F33" s="1886"/>
      <c r="G33" s="1886"/>
      <c r="H33" s="1886"/>
      <c r="I33" s="1886"/>
      <c r="J33" s="1886"/>
      <c r="K33" s="1886"/>
      <c r="L33" s="1886"/>
      <c r="M33" s="1886"/>
      <c r="N33" s="1886"/>
      <c r="O33" s="1886"/>
      <c r="P33" s="1886"/>
      <c r="Q33" s="1886"/>
      <c r="R33" s="1886"/>
      <c r="S33" s="1886"/>
      <c r="T33" s="1886"/>
    </row>
    <row r="34" spans="1:20" ht="18" customHeight="1" x14ac:dyDescent="0.2">
      <c r="A34" s="1886"/>
      <c r="B34" s="2222" t="str">
        <f>B7</f>
        <v>Resíduos de alimentos</v>
      </c>
      <c r="C34" s="2308">
        <f t="shared" ref="C34:C41" si="5">+C62</f>
        <v>0</v>
      </c>
      <c r="D34" s="2308">
        <f t="shared" ref="D34:D41" si="6">+C71</f>
        <v>0</v>
      </c>
      <c r="E34" s="2308">
        <f t="shared" ref="E34:E41" si="7">+D34+C34</f>
        <v>0</v>
      </c>
      <c r="F34" s="1886"/>
      <c r="G34" s="1886"/>
      <c r="H34" s="1886"/>
      <c r="I34" s="1886"/>
      <c r="J34" s="1886"/>
      <c r="K34" s="1886"/>
      <c r="L34" s="1886"/>
      <c r="M34" s="1886"/>
      <c r="N34" s="1886"/>
      <c r="O34" s="1886"/>
      <c r="P34" s="1886"/>
      <c r="Q34" s="1886"/>
      <c r="R34" s="1886"/>
      <c r="S34" s="1886"/>
      <c r="T34" s="1886"/>
    </row>
    <row r="35" spans="1:20" ht="18" customHeight="1" x14ac:dyDescent="0.2">
      <c r="A35" s="1886"/>
      <c r="B35" s="2222" t="str">
        <f t="shared" ref="B35:B41" si="8">B8</f>
        <v>Resíduos de jardins e parques</v>
      </c>
      <c r="C35" s="2308">
        <f t="shared" si="5"/>
        <v>0</v>
      </c>
      <c r="D35" s="2308">
        <f t="shared" si="6"/>
        <v>0</v>
      </c>
      <c r="E35" s="2308">
        <f t="shared" si="7"/>
        <v>0</v>
      </c>
      <c r="F35" s="1886"/>
      <c r="G35" s="1886"/>
      <c r="H35" s="1886"/>
      <c r="I35" s="1886"/>
      <c r="J35" s="1886"/>
      <c r="K35" s="1886"/>
      <c r="L35" s="1886"/>
      <c r="M35" s="1886"/>
      <c r="N35" s="1886"/>
      <c r="O35" s="1886"/>
      <c r="P35" s="1886"/>
      <c r="Q35" s="1886"/>
      <c r="R35" s="1886"/>
      <c r="S35" s="1886"/>
      <c r="T35" s="1886"/>
    </row>
    <row r="36" spans="1:20" ht="18" customHeight="1" x14ac:dyDescent="0.2">
      <c r="A36" s="1886"/>
      <c r="B36" s="2222" t="str">
        <f t="shared" si="8"/>
        <v>Papel, papelão</v>
      </c>
      <c r="C36" s="2308">
        <f t="shared" si="5"/>
        <v>7999.4112480000003</v>
      </c>
      <c r="D36" s="2308">
        <f t="shared" si="6"/>
        <v>-9859.1469840000009</v>
      </c>
      <c r="E36" s="2308">
        <f t="shared" si="7"/>
        <v>-1859.7357360000005</v>
      </c>
      <c r="F36" s="1886"/>
      <c r="G36" s="1886"/>
      <c r="H36" s="1886"/>
      <c r="I36" s="1886"/>
      <c r="J36" s="1886"/>
      <c r="K36" s="1886"/>
      <c r="L36" s="1886"/>
      <c r="M36" s="1886"/>
      <c r="N36" s="1886"/>
      <c r="O36" s="1886"/>
      <c r="P36" s="1886"/>
      <c r="Q36" s="1886"/>
      <c r="R36" s="1886"/>
      <c r="S36" s="1886"/>
      <c r="T36" s="1886"/>
    </row>
    <row r="37" spans="1:20" ht="18" customHeight="1" x14ac:dyDescent="0.2">
      <c r="A37" s="1886"/>
      <c r="B37" s="2222" t="str">
        <f t="shared" si="8"/>
        <v>Plásticos</v>
      </c>
      <c r="C37" s="2308">
        <f t="shared" si="5"/>
        <v>1777.8420000000001</v>
      </c>
      <c r="D37" s="2308">
        <f t="shared" si="6"/>
        <v>-8281.2747600000002</v>
      </c>
      <c r="E37" s="2308">
        <f t="shared" si="7"/>
        <v>-6503.4327599999997</v>
      </c>
      <c r="F37" s="1886"/>
      <c r="G37" s="1886"/>
      <c r="H37" s="1886"/>
      <c r="I37" s="1886"/>
      <c r="J37" s="1886"/>
      <c r="K37" s="1886"/>
      <c r="L37" s="1886"/>
      <c r="M37" s="1886"/>
      <c r="N37" s="1886"/>
      <c r="O37" s="1886"/>
      <c r="P37" s="1886"/>
      <c r="Q37" s="1886"/>
      <c r="R37" s="1886"/>
      <c r="S37" s="1886"/>
      <c r="T37" s="1886"/>
    </row>
    <row r="38" spans="1:20" ht="18" customHeight="1" x14ac:dyDescent="0.2">
      <c r="A38" s="1886"/>
      <c r="B38" s="2222" t="str">
        <f t="shared" si="8"/>
        <v>Vidros</v>
      </c>
      <c r="C38" s="2308">
        <f t="shared" si="5"/>
        <v>0</v>
      </c>
      <c r="D38" s="2308">
        <f t="shared" si="6"/>
        <v>0</v>
      </c>
      <c r="E38" s="2308">
        <f t="shared" si="7"/>
        <v>0</v>
      </c>
      <c r="F38" s="1886"/>
      <c r="G38" s="1886"/>
      <c r="H38" s="1886"/>
      <c r="I38" s="1886"/>
      <c r="J38" s="1886"/>
      <c r="K38" s="1886"/>
      <c r="L38" s="1886"/>
      <c r="M38" s="1886"/>
      <c r="N38" s="1886"/>
      <c r="O38" s="1886"/>
      <c r="P38" s="1886"/>
      <c r="Q38" s="1886"/>
      <c r="R38" s="1886"/>
      <c r="S38" s="1886"/>
      <c r="T38" s="1886"/>
    </row>
    <row r="39" spans="1:20" ht="18" customHeight="1" x14ac:dyDescent="0.2">
      <c r="A39" s="1886"/>
      <c r="B39" s="2222" t="str">
        <f t="shared" si="8"/>
        <v>Metais ferrosos</v>
      </c>
      <c r="C39" s="2308">
        <f t="shared" si="5"/>
        <v>204.16639999999998</v>
      </c>
      <c r="D39" s="2308">
        <f t="shared" si="6"/>
        <v>-5461.4512000000004</v>
      </c>
      <c r="E39" s="2308">
        <f t="shared" si="7"/>
        <v>-5257.2848000000004</v>
      </c>
      <c r="F39" s="1886"/>
      <c r="G39" s="1886"/>
      <c r="H39" s="1886"/>
      <c r="I39" s="1886"/>
      <c r="J39" s="1886"/>
      <c r="K39" s="1886"/>
      <c r="L39" s="1886"/>
      <c r="M39" s="1886"/>
      <c r="N39" s="1886"/>
      <c r="O39" s="1886"/>
      <c r="P39" s="1886"/>
      <c r="Q39" s="1886"/>
      <c r="R39" s="1886"/>
      <c r="S39" s="1886"/>
      <c r="T39" s="1886"/>
    </row>
    <row r="40" spans="1:20" ht="18" customHeight="1" x14ac:dyDescent="0.2">
      <c r="A40" s="1886"/>
      <c r="B40" s="2222" t="str">
        <f t="shared" si="8"/>
        <v>Alumínio</v>
      </c>
      <c r="C40" s="2308">
        <f t="shared" si="5"/>
        <v>580.04339999999991</v>
      </c>
      <c r="D40" s="2308">
        <f t="shared" si="6"/>
        <v>-8222.1359999999986</v>
      </c>
      <c r="E40" s="2308">
        <f t="shared" si="7"/>
        <v>-7642.092599999999</v>
      </c>
      <c r="F40" s="1886"/>
      <c r="G40" s="1886"/>
      <c r="H40" s="1886"/>
      <c r="I40" s="1886"/>
      <c r="J40" s="1886"/>
      <c r="K40" s="1886"/>
      <c r="L40" s="1886"/>
      <c r="M40" s="1886"/>
      <c r="N40" s="1886"/>
      <c r="O40" s="1886"/>
      <c r="P40" s="1886"/>
      <c r="Q40" s="1886"/>
      <c r="R40" s="1886"/>
      <c r="S40" s="1886"/>
      <c r="T40" s="1886"/>
    </row>
    <row r="41" spans="1:20" ht="18" customHeight="1" x14ac:dyDescent="0.2">
      <c r="A41" s="1886"/>
      <c r="B41" s="2222" t="str">
        <f t="shared" si="8"/>
        <v>Têxteis</v>
      </c>
      <c r="C41" s="2308">
        <f t="shared" si="5"/>
        <v>0</v>
      </c>
      <c r="D41" s="2308">
        <f t="shared" si="6"/>
        <v>0</v>
      </c>
      <c r="E41" s="2308">
        <f t="shared" si="7"/>
        <v>0</v>
      </c>
      <c r="F41" s="1886"/>
      <c r="G41" s="1886"/>
      <c r="H41" s="1886"/>
      <c r="I41" s="1886"/>
      <c r="J41" s="1886"/>
      <c r="K41" s="1886"/>
      <c r="L41" s="1886"/>
      <c r="M41" s="1886"/>
      <c r="N41" s="1886"/>
      <c r="O41" s="1886"/>
      <c r="P41" s="1886"/>
      <c r="Q41" s="1886"/>
      <c r="R41" s="1886"/>
      <c r="S41" s="1886"/>
      <c r="T41" s="1886"/>
    </row>
    <row r="42" spans="1:20" ht="18" customHeight="1" x14ac:dyDescent="0.2">
      <c r="A42" s="1886"/>
      <c r="B42" s="1904"/>
      <c r="C42" s="2304"/>
      <c r="D42" s="2304"/>
      <c r="E42" s="2304"/>
      <c r="F42" s="1886"/>
      <c r="G42" s="1886"/>
      <c r="H42" s="1886"/>
      <c r="I42" s="1886"/>
      <c r="J42" s="1886"/>
      <c r="K42" s="1886"/>
      <c r="L42" s="1886"/>
      <c r="M42" s="1886"/>
      <c r="N42" s="1886"/>
      <c r="O42" s="1886"/>
      <c r="P42" s="1886"/>
      <c r="Q42" s="1886"/>
      <c r="R42" s="1886"/>
      <c r="S42" s="1886"/>
      <c r="T42" s="1886"/>
    </row>
    <row r="43" spans="1:20" ht="18" customHeight="1" x14ac:dyDescent="0.2">
      <c r="A43" s="1886"/>
      <c r="B43" s="1975" t="s">
        <v>1267</v>
      </c>
      <c r="C43" s="2307"/>
      <c r="D43" s="2307"/>
      <c r="E43" s="2307"/>
      <c r="F43" s="1886"/>
      <c r="G43" s="1886"/>
      <c r="H43" s="1886"/>
      <c r="I43" s="1886"/>
      <c r="J43" s="1886"/>
      <c r="K43" s="1886"/>
      <c r="L43" s="1886"/>
      <c r="M43" s="1886"/>
      <c r="N43" s="1886"/>
      <c r="O43" s="1886"/>
      <c r="P43" s="1886"/>
      <c r="Q43" s="1886"/>
      <c r="R43" s="1886"/>
      <c r="S43" s="1886"/>
      <c r="T43" s="1886"/>
    </row>
    <row r="44" spans="1:20" ht="18" customHeight="1" x14ac:dyDescent="0.2">
      <c r="A44" s="1886"/>
      <c r="B44" s="2376"/>
      <c r="C44" s="2307"/>
      <c r="D44" s="2307"/>
      <c r="E44" s="2307"/>
      <c r="F44" s="1886"/>
      <c r="G44" s="1886"/>
      <c r="H44" s="1886"/>
      <c r="I44" s="1886"/>
      <c r="J44" s="1886"/>
      <c r="K44" s="1886"/>
      <c r="L44" s="1886"/>
      <c r="M44" s="1886"/>
      <c r="N44" s="1886"/>
      <c r="O44" s="1886"/>
      <c r="P44" s="1886"/>
      <c r="Q44" s="1886"/>
      <c r="R44" s="1886"/>
      <c r="S44" s="1886"/>
      <c r="T44" s="1886"/>
    </row>
    <row r="45" spans="1:20" ht="18" customHeight="1" x14ac:dyDescent="0.2">
      <c r="A45" s="1886"/>
      <c r="B45" s="2222" t="str">
        <f>B18</f>
        <v>Resíduos dispersos</v>
      </c>
      <c r="C45" s="2308">
        <f t="shared" ref="C45:C53" si="9">+L62</f>
        <v>0</v>
      </c>
      <c r="D45" s="2308">
        <f t="shared" ref="D45:D54" si="10">+L73</f>
        <v>0</v>
      </c>
      <c r="E45" s="2308">
        <f t="shared" ref="E45:E53" si="11">+D45+C45</f>
        <v>0</v>
      </c>
      <c r="F45" s="1886"/>
      <c r="G45" s="1886"/>
      <c r="H45" s="1886"/>
      <c r="I45" s="1886"/>
      <c r="J45" s="1886"/>
      <c r="K45" s="1886"/>
      <c r="L45" s="1886"/>
      <c r="M45" s="1886"/>
      <c r="N45" s="1886"/>
      <c r="O45" s="1886"/>
      <c r="P45" s="1886"/>
      <c r="Q45" s="1886"/>
      <c r="R45" s="1886"/>
      <c r="S45" s="1886"/>
      <c r="T45" s="1886"/>
    </row>
    <row r="46" spans="1:20" ht="18" customHeight="1" x14ac:dyDescent="0.2">
      <c r="A46" s="1886"/>
      <c r="B46" s="2222" t="str">
        <f t="shared" ref="B46:B54" si="12">B19</f>
        <v>Queima a céu aberto</v>
      </c>
      <c r="C46" s="2308">
        <f t="shared" si="9"/>
        <v>0</v>
      </c>
      <c r="D46" s="2308">
        <f t="shared" si="10"/>
        <v>0</v>
      </c>
      <c r="E46" s="2308">
        <f t="shared" si="11"/>
        <v>0</v>
      </c>
      <c r="F46" s="1886"/>
      <c r="G46" s="1886"/>
      <c r="H46" s="1886"/>
      <c r="I46" s="1886"/>
      <c r="J46" s="1886"/>
      <c r="K46" s="1886"/>
      <c r="L46" s="1886"/>
      <c r="M46" s="1886"/>
      <c r="N46" s="1886"/>
      <c r="O46" s="1886"/>
      <c r="P46" s="1886"/>
      <c r="Q46" s="1886"/>
      <c r="R46" s="1886"/>
      <c r="S46" s="1886"/>
      <c r="T46" s="1886"/>
    </row>
    <row r="47" spans="1:20" ht="18" customHeight="1" x14ac:dyDescent="0.2">
      <c r="A47" s="1886"/>
      <c r="B47" s="2222" t="str">
        <f t="shared" si="12"/>
        <v>Lixão não controlado</v>
      </c>
      <c r="C47" s="2308">
        <f t="shared" si="9"/>
        <v>0</v>
      </c>
      <c r="D47" s="2308">
        <f t="shared" si="10"/>
        <v>0</v>
      </c>
      <c r="E47" s="2308">
        <f t="shared" si="11"/>
        <v>0</v>
      </c>
      <c r="F47" s="1886"/>
      <c r="G47" s="1886"/>
      <c r="H47" s="1886"/>
      <c r="I47" s="1886"/>
      <c r="J47" s="1886"/>
      <c r="K47" s="1886"/>
      <c r="L47" s="1886"/>
      <c r="M47" s="1886"/>
      <c r="N47" s="1886"/>
      <c r="O47" s="1886"/>
      <c r="P47" s="1886"/>
      <c r="Q47" s="1886"/>
      <c r="R47" s="1886"/>
      <c r="S47" s="1886"/>
      <c r="T47" s="1886"/>
    </row>
    <row r="48" spans="1:20" ht="18" customHeight="1" x14ac:dyDescent="0.2">
      <c r="A48" s="1886"/>
      <c r="B48" s="2222" t="str">
        <f t="shared" si="12"/>
        <v>Aterro controlado</v>
      </c>
      <c r="C48" s="2308">
        <f t="shared" si="9"/>
        <v>26461.27246280506</v>
      </c>
      <c r="D48" s="2308">
        <f t="shared" si="10"/>
        <v>0</v>
      </c>
      <c r="E48" s="2308">
        <f t="shared" si="11"/>
        <v>26461.27246280506</v>
      </c>
      <c r="F48" s="1886"/>
      <c r="G48" s="1886"/>
      <c r="H48" s="1886"/>
      <c r="I48" s="1886"/>
      <c r="J48" s="1886"/>
      <c r="K48" s="1886"/>
      <c r="L48" s="1886"/>
      <c r="M48" s="1886"/>
      <c r="N48" s="1886"/>
      <c r="O48" s="1886"/>
      <c r="P48" s="1886"/>
      <c r="Q48" s="1886"/>
      <c r="R48" s="1886"/>
      <c r="S48" s="1886"/>
      <c r="T48" s="1886"/>
    </row>
    <row r="49" spans="1:20" ht="18" customHeight="1" x14ac:dyDescent="0.2">
      <c r="A49" s="1886"/>
      <c r="B49" s="2222" t="str">
        <f t="shared" si="12"/>
        <v>Aterro sanitário</v>
      </c>
      <c r="C49" s="2308">
        <f t="shared" si="9"/>
        <v>0</v>
      </c>
      <c r="D49" s="2308">
        <f t="shared" si="10"/>
        <v>0</v>
      </c>
      <c r="E49" s="2308">
        <f t="shared" si="11"/>
        <v>0</v>
      </c>
      <c r="F49" s="1886"/>
      <c r="G49" s="1886"/>
      <c r="H49" s="1886"/>
      <c r="I49" s="1886"/>
      <c r="J49" s="1886"/>
      <c r="K49" s="1886"/>
      <c r="L49" s="1886"/>
      <c r="M49" s="1886"/>
      <c r="N49" s="1886"/>
      <c r="O49" s="1886"/>
      <c r="P49" s="1886"/>
      <c r="Q49" s="1886"/>
      <c r="R49" s="1886"/>
      <c r="S49" s="1886"/>
      <c r="T49" s="1886"/>
    </row>
    <row r="50" spans="1:20" ht="18" customHeight="1" x14ac:dyDescent="0.2">
      <c r="A50" s="1886"/>
      <c r="B50" s="2222" t="str">
        <f t="shared" si="12"/>
        <v>Trat. biol + cobertura at.</v>
      </c>
      <c r="C50" s="2308">
        <f t="shared" si="9"/>
        <v>0</v>
      </c>
      <c r="D50" s="2308">
        <f t="shared" si="10"/>
        <v>0</v>
      </c>
      <c r="E50" s="2308">
        <f t="shared" si="11"/>
        <v>0</v>
      </c>
      <c r="F50" s="1886"/>
      <c r="G50" s="1886"/>
      <c r="H50" s="1886"/>
      <c r="I50" s="1886"/>
      <c r="J50" s="1886"/>
      <c r="K50" s="1886"/>
      <c r="L50" s="1886"/>
      <c r="M50" s="1886"/>
      <c r="N50" s="1886"/>
      <c r="O50" s="1886"/>
      <c r="P50" s="1886"/>
      <c r="Q50" s="1886"/>
      <c r="R50" s="1886"/>
      <c r="S50" s="1886"/>
      <c r="T50" s="1886"/>
    </row>
    <row r="51" spans="1:20" ht="18" customHeight="1" x14ac:dyDescent="0.2">
      <c r="A51" s="1886"/>
      <c r="B51" s="2222" t="str">
        <f t="shared" si="12"/>
        <v>CDR seco + rejeito aterro</v>
      </c>
      <c r="C51" s="2308">
        <f t="shared" si="9"/>
        <v>0</v>
      </c>
      <c r="D51" s="2308">
        <f t="shared" si="10"/>
        <v>0</v>
      </c>
      <c r="E51" s="2308">
        <f t="shared" si="11"/>
        <v>0</v>
      </c>
      <c r="F51" s="1886"/>
      <c r="G51" s="2277"/>
      <c r="H51" s="2278"/>
      <c r="I51" s="2278"/>
      <c r="J51" s="2278"/>
      <c r="K51" s="1886"/>
      <c r="L51" s="1886"/>
      <c r="M51" s="1886"/>
      <c r="N51" s="1886"/>
      <c r="O51" s="1886"/>
      <c r="P51" s="1886"/>
      <c r="Q51" s="1886"/>
      <c r="R51" s="1886"/>
      <c r="S51" s="1886"/>
      <c r="T51" s="1886"/>
    </row>
    <row r="52" spans="1:20" ht="18" customHeight="1" x14ac:dyDescent="0.2">
      <c r="A52" s="1886"/>
      <c r="B52" s="2222" t="str">
        <f t="shared" si="12"/>
        <v>CDR seco + trat. biol.</v>
      </c>
      <c r="C52" s="2308">
        <f t="shared" si="9"/>
        <v>0</v>
      </c>
      <c r="D52" s="2308">
        <f t="shared" si="10"/>
        <v>0</v>
      </c>
      <c r="E52" s="2308">
        <f t="shared" si="11"/>
        <v>0</v>
      </c>
      <c r="F52" s="1886"/>
      <c r="G52" s="2382"/>
      <c r="H52" s="2266" t="s">
        <v>1255</v>
      </c>
      <c r="I52" s="2266" t="s">
        <v>1270</v>
      </c>
      <c r="J52" s="2266" t="s">
        <v>1256</v>
      </c>
      <c r="K52" s="1886"/>
      <c r="L52" s="1886"/>
      <c r="M52" s="1886"/>
      <c r="N52" s="1886"/>
      <c r="O52" s="1886"/>
      <c r="P52" s="1886"/>
      <c r="Q52" s="1886"/>
      <c r="R52" s="1886"/>
      <c r="S52" s="1886"/>
      <c r="T52" s="1886"/>
    </row>
    <row r="53" spans="1:20" ht="18" customHeight="1" x14ac:dyDescent="0.2">
      <c r="A53" s="1886"/>
      <c r="B53" s="2222" t="str">
        <f t="shared" si="12"/>
        <v>CDR seco + CDR org.</v>
      </c>
      <c r="C53" s="2308">
        <f t="shared" si="9"/>
        <v>0</v>
      </c>
      <c r="D53" s="2308">
        <f t="shared" si="10"/>
        <v>0</v>
      </c>
      <c r="E53" s="2308">
        <f t="shared" si="11"/>
        <v>0</v>
      </c>
      <c r="F53" s="1886"/>
      <c r="G53" s="1963" t="s">
        <v>1257</v>
      </c>
      <c r="H53" s="2295">
        <f>SUM(C34:C41)</f>
        <v>10561.463048000001</v>
      </c>
      <c r="I53" s="2295">
        <f>SUM(C45:C54)</f>
        <v>65989.517947731059</v>
      </c>
      <c r="J53" s="2295">
        <f>+I53+H53</f>
        <v>76550.980995731064</v>
      </c>
      <c r="K53" s="1886"/>
      <c r="L53" s="1886"/>
      <c r="M53" s="1886"/>
      <c r="N53" s="1886"/>
      <c r="O53" s="1886"/>
      <c r="P53" s="1886"/>
      <c r="Q53" s="1886"/>
      <c r="R53" s="1886"/>
      <c r="S53" s="1886"/>
      <c r="T53" s="1886"/>
    </row>
    <row r="54" spans="1:20" ht="18" customHeight="1" x14ac:dyDescent="0.2">
      <c r="A54" s="1886"/>
      <c r="B54" s="2222" t="str">
        <f t="shared" si="12"/>
        <v>Incineração</v>
      </c>
      <c r="C54" s="2308">
        <f>+L71</f>
        <v>39528.245484926003</v>
      </c>
      <c r="D54" s="2308">
        <f t="shared" si="10"/>
        <v>-2810.5079200893747</v>
      </c>
      <c r="E54" s="2308">
        <f>+D54+C54</f>
        <v>36717.737564836629</v>
      </c>
      <c r="F54" s="1886"/>
      <c r="G54" s="1963" t="s">
        <v>1258</v>
      </c>
      <c r="H54" s="2295">
        <f>SUM(D34:D41)</f>
        <v>-31824.008943999997</v>
      </c>
      <c r="I54" s="2295">
        <f>SUM(D45:D54)</f>
        <v>-2810.5079200893747</v>
      </c>
      <c r="J54" s="2295">
        <f>+I54+H54</f>
        <v>-34634.516864089375</v>
      </c>
      <c r="K54" s="1886"/>
      <c r="L54" s="1886"/>
      <c r="M54" s="1886"/>
      <c r="N54" s="1886"/>
      <c r="O54" s="1886"/>
      <c r="P54" s="1886"/>
      <c r="Q54" s="1886"/>
      <c r="R54" s="1886"/>
      <c r="S54" s="1886"/>
      <c r="T54" s="1886"/>
    </row>
    <row r="55" spans="1:20" ht="18" customHeight="1" x14ac:dyDescent="0.2">
      <c r="A55" s="1886"/>
      <c r="B55" s="1904"/>
      <c r="C55" s="2304"/>
      <c r="D55" s="2304"/>
      <c r="E55" s="2304"/>
      <c r="F55" s="1886"/>
      <c r="G55" s="1963" t="s">
        <v>1259</v>
      </c>
      <c r="H55" s="2295">
        <f>+H53+H54</f>
        <v>-21262.545895999996</v>
      </c>
      <c r="I55" s="2295">
        <f>+I53+I54</f>
        <v>63179.010027641685</v>
      </c>
      <c r="J55" s="2295">
        <f>+I55+H55</f>
        <v>41916.464131641689</v>
      </c>
      <c r="K55" s="1886"/>
      <c r="L55" s="1886"/>
      <c r="M55" s="1886"/>
      <c r="N55" s="1886"/>
      <c r="O55" s="1886"/>
      <c r="P55" s="1886"/>
      <c r="Q55" s="1886"/>
      <c r="R55" s="1886"/>
      <c r="S55" s="1886"/>
      <c r="T55" s="1886"/>
    </row>
    <row r="56" spans="1:20" ht="18" customHeight="1" x14ac:dyDescent="0.2">
      <c r="A56" s="1886"/>
      <c r="B56" s="1975" t="s">
        <v>52</v>
      </c>
      <c r="C56" s="2328">
        <f>SUM(C34:C54)</f>
        <v>76550.980995731064</v>
      </c>
      <c r="D56" s="2328">
        <f>SUM(D34:D54)</f>
        <v>-34634.516864089375</v>
      </c>
      <c r="E56" s="2328">
        <f>+D56+C56</f>
        <v>41916.464131641689</v>
      </c>
      <c r="F56" s="1886"/>
      <c r="G56" s="2277"/>
      <c r="H56" s="2286"/>
      <c r="I56" s="2286"/>
      <c r="J56" s="2286"/>
      <c r="K56" s="1886"/>
      <c r="L56" s="1886"/>
      <c r="M56" s="1886"/>
      <c r="N56" s="1886"/>
      <c r="O56" s="1886"/>
      <c r="P56" s="1886"/>
      <c r="Q56" s="1886"/>
      <c r="R56" s="1886"/>
      <c r="S56" s="1886"/>
      <c r="T56" s="1886"/>
    </row>
    <row r="57" spans="1:20"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20"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20" s="2225" customFormat="1" ht="26.1" customHeight="1" x14ac:dyDescent="0.2">
      <c r="A59" s="2287" t="s">
        <v>1260</v>
      </c>
      <c r="B59" s="1981"/>
      <c r="C59" s="2326"/>
      <c r="D59" s="2326"/>
      <c r="E59" s="2326"/>
      <c r="F59" s="2224"/>
      <c r="G59" s="1981"/>
      <c r="H59" s="1981"/>
      <c r="I59" s="1981"/>
      <c r="J59" s="1981"/>
      <c r="K59" s="1908" t="s">
        <v>1261</v>
      </c>
      <c r="L59" s="1981"/>
      <c r="M59" s="1981"/>
      <c r="N59" s="1981"/>
      <c r="O59" s="1981"/>
      <c r="P59" s="1981"/>
      <c r="Q59" s="1981"/>
      <c r="R59" s="1981"/>
      <c r="S59" s="1981"/>
      <c r="T59" s="1981"/>
    </row>
    <row r="60" spans="1:20"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20" ht="18" customHeight="1" x14ac:dyDescent="0.2">
      <c r="A61" s="1886"/>
      <c r="B61" s="2405"/>
      <c r="C61" s="2302" t="s">
        <v>1239</v>
      </c>
      <c r="D61" s="2075" t="s">
        <v>1259</v>
      </c>
      <c r="E61" s="1886"/>
      <c r="F61" s="1886"/>
      <c r="G61" s="1886"/>
      <c r="H61" s="1886"/>
      <c r="I61" s="1886"/>
      <c r="J61" s="2406"/>
      <c r="K61" s="2407"/>
      <c r="L61" s="2075" t="s">
        <v>1267</v>
      </c>
      <c r="M61" s="2075" t="s">
        <v>1259</v>
      </c>
      <c r="N61" s="1886"/>
      <c r="O61" s="1886"/>
      <c r="P61" s="1886"/>
      <c r="Q61" s="1886"/>
      <c r="R61" s="1886"/>
      <c r="S61" s="1886"/>
      <c r="T61" s="1886"/>
    </row>
    <row r="62" spans="1:20" ht="18" customHeight="1" x14ac:dyDescent="0.2">
      <c r="A62" s="1886"/>
      <c r="B62" s="2299" t="str">
        <f>+'CO2 - Cálculos'!AC16</f>
        <v>Resíduos de alimentos</v>
      </c>
      <c r="C62" s="2308">
        <f>+'CO2 - Cálculos'!AJ16</f>
        <v>0</v>
      </c>
      <c r="D62" s="2375"/>
      <c r="E62" s="1886"/>
      <c r="F62" s="1886"/>
      <c r="G62" s="1886"/>
      <c r="H62" s="1886"/>
      <c r="I62" s="1886"/>
      <c r="J62" s="2406"/>
      <c r="K62" s="2408" t="str">
        <f>+'CO2 - Cálculos'!AC61</f>
        <v>Resíduos dispersos</v>
      </c>
      <c r="L62" s="2409">
        <f>+'CO2 - Cálculos'!AJ61</f>
        <v>0</v>
      </c>
      <c r="M62" s="2376"/>
      <c r="N62" s="1886"/>
      <c r="O62" s="1886"/>
      <c r="P62" s="1886"/>
      <c r="Q62" s="1886"/>
      <c r="R62" s="1886"/>
      <c r="S62" s="1886"/>
      <c r="T62" s="1886"/>
    </row>
    <row r="63" spans="1:20" ht="18" customHeight="1" x14ac:dyDescent="0.2">
      <c r="A63" s="1886"/>
      <c r="B63" s="2299" t="str">
        <f>+'CO2 - Cálculos'!AC17</f>
        <v>Resíduos de jardins e parques</v>
      </c>
      <c r="C63" s="2308">
        <f>+'CO2 - Cálculos'!AJ17</f>
        <v>0</v>
      </c>
      <c r="D63" s="2375"/>
      <c r="E63" s="1886"/>
      <c r="F63" s="1886"/>
      <c r="G63" s="1886"/>
      <c r="H63" s="1886"/>
      <c r="I63" s="1886"/>
      <c r="J63" s="2406"/>
      <c r="K63" s="2408" t="str">
        <f>+'CO2 - Cálculos'!AC62</f>
        <v>Queima a céu aberto</v>
      </c>
      <c r="L63" s="2409">
        <f>+'CO2 - Cálculos'!AJ62</f>
        <v>0</v>
      </c>
      <c r="M63" s="2376"/>
      <c r="N63" s="1886"/>
      <c r="O63" s="1886"/>
      <c r="P63" s="1886"/>
      <c r="Q63" s="1886"/>
      <c r="R63" s="1886"/>
      <c r="S63" s="1886"/>
      <c r="T63" s="1886"/>
    </row>
    <row r="64" spans="1:20" ht="18" customHeight="1" x14ac:dyDescent="0.2">
      <c r="A64" s="1886"/>
      <c r="B64" s="2299" t="str">
        <f>+'CO2 - Cálculos'!AC18</f>
        <v>Papel, papelão</v>
      </c>
      <c r="C64" s="2308">
        <f>+'CO2 - Cálculos'!AJ18</f>
        <v>7999.4112480000003</v>
      </c>
      <c r="D64" s="2375"/>
      <c r="E64" s="1886"/>
      <c r="F64" s="1886"/>
      <c r="G64" s="1886"/>
      <c r="H64" s="1886"/>
      <c r="I64" s="1886"/>
      <c r="J64" s="2406"/>
      <c r="K64" s="2408" t="str">
        <f>+'CO2 - Cálculos'!AC63</f>
        <v>Lixão não controlado</v>
      </c>
      <c r="L64" s="2409">
        <f>+'CO2 - Cálculos'!AJ63</f>
        <v>0</v>
      </c>
      <c r="M64" s="2376"/>
      <c r="N64" s="1886"/>
      <c r="O64" s="1886"/>
      <c r="P64" s="1886"/>
      <c r="Q64" s="1886"/>
      <c r="R64" s="1886"/>
      <c r="S64" s="1886"/>
      <c r="T64" s="1886"/>
    </row>
    <row r="65" spans="1:20" ht="18" customHeight="1" x14ac:dyDescent="0.2">
      <c r="A65" s="1886"/>
      <c r="B65" s="2299" t="str">
        <f>+'CO2 - Cálculos'!AC19</f>
        <v>Plásticos</v>
      </c>
      <c r="C65" s="2308">
        <f>+'CO2 - Cálculos'!AJ19</f>
        <v>1777.8420000000001</v>
      </c>
      <c r="D65" s="2375"/>
      <c r="E65" s="1886"/>
      <c r="F65" s="1886"/>
      <c r="G65" s="1886"/>
      <c r="H65" s="1886"/>
      <c r="I65" s="1886"/>
      <c r="J65" s="2406"/>
      <c r="K65" s="2408" t="str">
        <f>+'CO2 - Cálculos'!AC64</f>
        <v>Aterro controlado</v>
      </c>
      <c r="L65" s="2409">
        <f>+'CO2 - Cálculos'!AJ64</f>
        <v>26461.27246280506</v>
      </c>
      <c r="M65" s="2376"/>
      <c r="N65" s="1886"/>
      <c r="O65" s="1886"/>
      <c r="P65" s="1886"/>
      <c r="Q65" s="1886"/>
      <c r="R65" s="1886"/>
      <c r="S65" s="1886"/>
      <c r="T65" s="1886"/>
    </row>
    <row r="66" spans="1:20" ht="18" customHeight="1" x14ac:dyDescent="0.2">
      <c r="A66" s="1886"/>
      <c r="B66" s="2299" t="str">
        <f>+'CO2 - Cálculos'!AC20</f>
        <v>Vidros</v>
      </c>
      <c r="C66" s="2308">
        <f>+'CO2 - Cálculos'!AJ20</f>
        <v>0</v>
      </c>
      <c r="D66" s="2375"/>
      <c r="E66" s="1886"/>
      <c r="F66" s="1886"/>
      <c r="G66" s="1886"/>
      <c r="H66" s="1886"/>
      <c r="I66" s="1886"/>
      <c r="J66" s="2406"/>
      <c r="K66" s="2408" t="str">
        <f>+'CO2 - Cálculos'!AC65</f>
        <v>Aterro sanitário</v>
      </c>
      <c r="L66" s="2409">
        <f>+'CO2 - Cálculos'!AJ65</f>
        <v>0</v>
      </c>
      <c r="M66" s="2376"/>
      <c r="N66" s="1886"/>
      <c r="O66" s="1886"/>
      <c r="P66" s="1886"/>
      <c r="Q66" s="1886"/>
      <c r="R66" s="1886"/>
      <c r="S66" s="1886"/>
      <c r="T66" s="1886"/>
    </row>
    <row r="67" spans="1:20" ht="18" customHeight="1" x14ac:dyDescent="0.2">
      <c r="A67" s="1886"/>
      <c r="B67" s="2299" t="str">
        <f>+'CO2 - Cálculos'!AC21</f>
        <v>Metais ferrosos</v>
      </c>
      <c r="C67" s="2308">
        <f>+'CO2 - Cálculos'!AJ21</f>
        <v>204.16639999999998</v>
      </c>
      <c r="D67" s="2375"/>
      <c r="E67" s="1886"/>
      <c r="F67" s="1886"/>
      <c r="G67" s="1886"/>
      <c r="H67" s="1886"/>
      <c r="I67" s="1886"/>
      <c r="J67" s="2410"/>
      <c r="K67" s="2408" t="str">
        <f>+'CO2 - Cálculos'!AC66</f>
        <v>Trat. biol + cobertura at.</v>
      </c>
      <c r="L67" s="2409">
        <f>+'CO2 - Cálculos'!AJ66</f>
        <v>0</v>
      </c>
      <c r="M67" s="2376"/>
      <c r="N67" s="1886"/>
      <c r="O67" s="1886"/>
      <c r="P67" s="1886"/>
      <c r="Q67" s="1886"/>
      <c r="R67" s="1886"/>
      <c r="S67" s="1886"/>
      <c r="T67" s="1886"/>
    </row>
    <row r="68" spans="1:20" ht="18" customHeight="1" x14ac:dyDescent="0.2">
      <c r="A68" s="1886"/>
      <c r="B68" s="2299" t="str">
        <f>+'CO2 - Cálculos'!AC22</f>
        <v>Alumínio</v>
      </c>
      <c r="C68" s="2308">
        <f>+'CO2 - Cálculos'!AJ22</f>
        <v>580.04339999999991</v>
      </c>
      <c r="D68" s="2375"/>
      <c r="E68" s="1886"/>
      <c r="F68" s="1886"/>
      <c r="G68" s="1886"/>
      <c r="H68" s="1886"/>
      <c r="I68" s="1886"/>
      <c r="J68" s="2410"/>
      <c r="K68" s="2408" t="str">
        <f>+'CO2 - Cálculos'!AC67</f>
        <v>CDR seco + rejeito aterro</v>
      </c>
      <c r="L68" s="2409">
        <f>+'CO2 - Cálculos'!AJ67</f>
        <v>0</v>
      </c>
      <c r="M68" s="2376"/>
      <c r="N68" s="1886"/>
      <c r="O68" s="1886"/>
      <c r="P68" s="1886"/>
      <c r="Q68" s="1886"/>
      <c r="R68" s="1886"/>
      <c r="S68" s="1886"/>
      <c r="T68" s="1886"/>
    </row>
    <row r="69" spans="1:20" ht="18" customHeight="1" x14ac:dyDescent="0.2">
      <c r="A69" s="2230"/>
      <c r="B69" s="2299" t="str">
        <f>+'CO2 - Cálculos'!AC23</f>
        <v>Têxteis</v>
      </c>
      <c r="C69" s="2308">
        <f>+'CO2 - Cálculos'!AJ23</f>
        <v>0</v>
      </c>
      <c r="D69" s="2375"/>
      <c r="E69" s="1886"/>
      <c r="F69" s="1886"/>
      <c r="G69" s="1886"/>
      <c r="H69" s="1886"/>
      <c r="I69" s="1886"/>
      <c r="J69" s="2410"/>
      <c r="K69" s="2408" t="str">
        <f>+'CO2 - Cálculos'!AC68</f>
        <v>CDR seco + trat. biol.</v>
      </c>
      <c r="L69" s="2409">
        <f>+'CO2 - Cálculos'!AJ68</f>
        <v>0</v>
      </c>
      <c r="M69" s="2376"/>
      <c r="N69" s="1886"/>
      <c r="O69" s="1886"/>
      <c r="P69" s="1886"/>
      <c r="Q69" s="1886"/>
      <c r="R69" s="1886"/>
      <c r="S69" s="1886"/>
      <c r="T69" s="1886"/>
    </row>
    <row r="70" spans="1:20" ht="18" customHeight="1" x14ac:dyDescent="0.2">
      <c r="A70" s="1886"/>
      <c r="B70" s="2361" t="s">
        <v>1257</v>
      </c>
      <c r="C70" s="2375"/>
      <c r="D70" s="2307"/>
      <c r="E70" s="1886"/>
      <c r="F70" s="1886"/>
      <c r="G70" s="1886"/>
      <c r="H70" s="1886"/>
      <c r="I70" s="1886"/>
      <c r="J70" s="2406"/>
      <c r="K70" s="2408" t="str">
        <f>+'CO2 - Cálculos'!AC69</f>
        <v>CDR seco + CDR org.</v>
      </c>
      <c r="L70" s="2409">
        <f>+'CO2 - Cálculos'!AJ69</f>
        <v>0</v>
      </c>
      <c r="M70" s="2376"/>
      <c r="N70" s="1886"/>
      <c r="O70" s="1886"/>
      <c r="P70" s="1886"/>
      <c r="Q70" s="1886"/>
      <c r="R70" s="1886"/>
      <c r="S70" s="1886"/>
      <c r="T70" s="1886"/>
    </row>
    <row r="71" spans="1:20" ht="18" customHeight="1" x14ac:dyDescent="0.2">
      <c r="A71" s="1886"/>
      <c r="B71" s="2296" t="str">
        <f>+'CO2 - Cálculos'!AC25</f>
        <v>Resíduos de alimentos</v>
      </c>
      <c r="C71" s="2308">
        <f>+'CO2 - Cálculos'!AJ25</f>
        <v>0</v>
      </c>
      <c r="D71" s="2375"/>
      <c r="E71" s="1886"/>
      <c r="F71" s="1886"/>
      <c r="G71" s="1886"/>
      <c r="H71" s="1886"/>
      <c r="I71" s="1886"/>
      <c r="J71" s="2406"/>
      <c r="K71" s="2408" t="str">
        <f>+'CO2 - Cálculos'!AC70</f>
        <v>Incineração</v>
      </c>
      <c r="L71" s="2409">
        <f>+'CO2 - Cálculos'!AJ70</f>
        <v>39528.245484926003</v>
      </c>
      <c r="M71" s="2376"/>
      <c r="N71" s="1886"/>
      <c r="O71" s="1886"/>
      <c r="P71" s="1886"/>
      <c r="Q71" s="1886"/>
      <c r="R71" s="1886"/>
      <c r="S71" s="1886"/>
      <c r="T71" s="1886"/>
    </row>
    <row r="72" spans="1:20" ht="18" customHeight="1" x14ac:dyDescent="0.2">
      <c r="A72" s="1886"/>
      <c r="B72" s="2296" t="str">
        <f>+'CO2 - Cálculos'!AC26</f>
        <v>Resíduos de jardins e parques</v>
      </c>
      <c r="C72" s="2308">
        <f>+'CO2 - Cálculos'!AJ26</f>
        <v>0</v>
      </c>
      <c r="D72" s="2375"/>
      <c r="E72" s="1886"/>
      <c r="F72" s="1886"/>
      <c r="G72" s="1886"/>
      <c r="H72" s="1886"/>
      <c r="I72" s="1886"/>
      <c r="J72" s="2406"/>
      <c r="K72" s="2411" t="s">
        <v>1257</v>
      </c>
      <c r="L72" s="2376"/>
      <c r="M72" s="2376"/>
      <c r="N72" s="1886"/>
      <c r="O72" s="1886"/>
      <c r="P72" s="1886"/>
      <c r="Q72" s="1886"/>
      <c r="R72" s="1886"/>
      <c r="S72" s="1886"/>
      <c r="T72" s="1886"/>
    </row>
    <row r="73" spans="1:20" ht="18" customHeight="1" x14ac:dyDescent="0.2">
      <c r="A73" s="1886"/>
      <c r="B73" s="2296" t="str">
        <f>+'CO2 - Cálculos'!AC27</f>
        <v>Papel, papelão</v>
      </c>
      <c r="C73" s="2308">
        <f>+'CO2 - Cálculos'!AJ27</f>
        <v>-9859.1469840000009</v>
      </c>
      <c r="D73" s="2375"/>
      <c r="E73" s="1886"/>
      <c r="F73" s="1886"/>
      <c r="G73" s="1886"/>
      <c r="H73" s="1886"/>
      <c r="I73" s="1886"/>
      <c r="J73" s="2406"/>
      <c r="K73" s="2408" t="str">
        <f>+'CO2 - Cálculos'!AC72</f>
        <v>Resíduos dispersos</v>
      </c>
      <c r="L73" s="2412">
        <f>+'CO2 - Cálculos'!AJ72</f>
        <v>0</v>
      </c>
      <c r="M73" s="2376"/>
      <c r="N73" s="1886"/>
      <c r="O73" s="1886"/>
      <c r="P73" s="1886"/>
      <c r="Q73" s="1886"/>
      <c r="R73" s="1886"/>
      <c r="S73" s="1886"/>
      <c r="T73" s="1886"/>
    </row>
    <row r="74" spans="1:20" ht="18" customHeight="1" x14ac:dyDescent="0.2">
      <c r="A74" s="1886"/>
      <c r="B74" s="2296" t="str">
        <f>+'CO2 - Cálculos'!AC28</f>
        <v>Plásticos</v>
      </c>
      <c r="C74" s="2308">
        <f>+'CO2 - Cálculos'!AJ28</f>
        <v>-8281.2747600000002</v>
      </c>
      <c r="D74" s="2375"/>
      <c r="E74" s="1886"/>
      <c r="F74" s="1886"/>
      <c r="G74" s="1886"/>
      <c r="H74" s="1886"/>
      <c r="I74" s="1886"/>
      <c r="J74" s="2406"/>
      <c r="K74" s="2408" t="str">
        <f>+'CO2 - Cálculos'!AC73</f>
        <v>Queima a céu aberto</v>
      </c>
      <c r="L74" s="2412">
        <f>+'CO2 - Cálculos'!AJ73</f>
        <v>0</v>
      </c>
      <c r="M74" s="2376"/>
      <c r="N74" s="1886"/>
      <c r="O74" s="1886"/>
      <c r="P74" s="1886"/>
      <c r="Q74" s="1886"/>
      <c r="R74" s="1886"/>
      <c r="S74" s="1886"/>
      <c r="T74" s="1886"/>
    </row>
    <row r="75" spans="1:20" ht="18" customHeight="1" x14ac:dyDescent="0.2">
      <c r="A75" s="1886"/>
      <c r="B75" s="2296" t="str">
        <f>+'CO2 - Cálculos'!AC29</f>
        <v>Vidros</v>
      </c>
      <c r="C75" s="2308">
        <f>+'CO2 - Cálculos'!AJ29</f>
        <v>0</v>
      </c>
      <c r="D75" s="2375"/>
      <c r="E75" s="1886"/>
      <c r="F75" s="1886"/>
      <c r="G75" s="1886"/>
      <c r="H75" s="1886"/>
      <c r="I75" s="1886"/>
      <c r="J75" s="2406"/>
      <c r="K75" s="2408" t="str">
        <f>+'CO2 - Cálculos'!AC74</f>
        <v>Lixão não controlado</v>
      </c>
      <c r="L75" s="2412">
        <f>+'CO2 - Cálculos'!AJ74</f>
        <v>0</v>
      </c>
      <c r="M75" s="2376"/>
      <c r="N75" s="1886"/>
      <c r="O75" s="1886"/>
      <c r="P75" s="1886"/>
      <c r="Q75" s="1886"/>
      <c r="R75" s="1886"/>
      <c r="S75" s="1886"/>
      <c r="T75" s="1886"/>
    </row>
    <row r="76" spans="1:20" ht="18" customHeight="1" x14ac:dyDescent="0.2">
      <c r="A76" s="1886"/>
      <c r="B76" s="2296" t="str">
        <f>+'CO2 - Cálculos'!AC30</f>
        <v>Metais ferrosos</v>
      </c>
      <c r="C76" s="2308">
        <f>+'CO2 - Cálculos'!AJ30</f>
        <v>-5461.4512000000004</v>
      </c>
      <c r="D76" s="2375"/>
      <c r="E76" s="1886"/>
      <c r="F76" s="1886"/>
      <c r="G76" s="1886"/>
      <c r="H76" s="1886"/>
      <c r="I76" s="1886"/>
      <c r="J76" s="2406"/>
      <c r="K76" s="2408" t="str">
        <f>+'CO2 - Cálculos'!AC75</f>
        <v>Aterro controlado</v>
      </c>
      <c r="L76" s="2412">
        <f>+'CO2 - Cálculos'!AJ75</f>
        <v>0</v>
      </c>
      <c r="M76" s="2376"/>
      <c r="N76" s="1886"/>
      <c r="O76" s="1886"/>
      <c r="P76" s="1886"/>
      <c r="Q76" s="1886"/>
      <c r="R76" s="1886"/>
      <c r="S76" s="1886"/>
      <c r="T76" s="1886"/>
    </row>
    <row r="77" spans="1:20" ht="18" customHeight="1" x14ac:dyDescent="0.2">
      <c r="A77" s="1886"/>
      <c r="B77" s="2296" t="str">
        <f>+'CO2 - Cálculos'!AC31</f>
        <v>Alumínio</v>
      </c>
      <c r="C77" s="2308">
        <f>+'CO2 - Cálculos'!AJ31</f>
        <v>-8222.1359999999986</v>
      </c>
      <c r="D77" s="2375"/>
      <c r="E77" s="1886"/>
      <c r="F77" s="1886"/>
      <c r="G77" s="1886"/>
      <c r="H77" s="1886"/>
      <c r="I77" s="1886"/>
      <c r="J77" s="2410"/>
      <c r="K77" s="2408" t="str">
        <f>+'CO2 - Cálculos'!AC76</f>
        <v>Aterro sanitário</v>
      </c>
      <c r="L77" s="2412">
        <f>+'CO2 - Cálculos'!AJ76</f>
        <v>0</v>
      </c>
      <c r="M77" s="2376"/>
      <c r="N77" s="1886"/>
      <c r="O77" s="1886"/>
      <c r="P77" s="1886"/>
      <c r="Q77" s="1886"/>
      <c r="R77" s="1886"/>
      <c r="S77" s="1886"/>
      <c r="T77" s="1886"/>
    </row>
    <row r="78" spans="1:20" ht="18" customHeight="1" x14ac:dyDescent="0.2">
      <c r="A78" s="1886"/>
      <c r="B78" s="2296" t="str">
        <f>+'CO2 - Cálculos'!AC32</f>
        <v>Têxteis</v>
      </c>
      <c r="C78" s="2308">
        <f>+'CO2 - Cálculos'!AJ32</f>
        <v>0</v>
      </c>
      <c r="D78" s="2375"/>
      <c r="E78" s="1886"/>
      <c r="F78" s="1886"/>
      <c r="G78" s="1886"/>
      <c r="H78" s="1886"/>
      <c r="I78" s="1886"/>
      <c r="J78" s="2410"/>
      <c r="K78" s="2408" t="str">
        <f>+'CO2 - Cálculos'!AC77</f>
        <v>Trat. biol + cobertura at.</v>
      </c>
      <c r="L78" s="2412">
        <f>+'CO2 - Cálculos'!AJ77</f>
        <v>0</v>
      </c>
      <c r="M78" s="2376"/>
      <c r="N78" s="1886"/>
      <c r="O78" s="1886"/>
      <c r="P78" s="1886"/>
      <c r="Q78" s="1886"/>
      <c r="R78" s="1886"/>
      <c r="S78" s="1886"/>
      <c r="T78" s="1886"/>
    </row>
    <row r="79" spans="1:20" ht="18" customHeight="1" x14ac:dyDescent="0.2">
      <c r="A79" s="1886"/>
      <c r="B79" s="2361" t="s">
        <v>1258</v>
      </c>
      <c r="C79" s="2375"/>
      <c r="D79" s="2307"/>
      <c r="E79" s="1886"/>
      <c r="F79" s="1886"/>
      <c r="G79" s="1886"/>
      <c r="H79" s="1886"/>
      <c r="I79" s="1886"/>
      <c r="J79" s="2410"/>
      <c r="K79" s="2408" t="str">
        <f>+'CO2 - Cálculos'!AC78</f>
        <v>CDR seco + rejeito aterro</v>
      </c>
      <c r="L79" s="2412">
        <f>+'CO2 - Cálculos'!AJ78</f>
        <v>0</v>
      </c>
      <c r="M79" s="2376"/>
      <c r="N79" s="1886"/>
      <c r="O79" s="1886"/>
      <c r="P79" s="1886"/>
      <c r="Q79" s="1886"/>
      <c r="R79" s="1886"/>
      <c r="S79" s="1886"/>
      <c r="T79" s="1886"/>
    </row>
    <row r="80" spans="1:20" ht="18" customHeight="1" x14ac:dyDescent="0.2">
      <c r="A80" s="1886"/>
      <c r="B80" s="2361" t="s">
        <v>1259</v>
      </c>
      <c r="C80" s="2375"/>
      <c r="D80" s="2308">
        <f>SUM(C62:C69,C71:C78)</f>
        <v>-21262.545896</v>
      </c>
      <c r="E80" s="1886"/>
      <c r="F80" s="1886"/>
      <c r="G80" s="1886"/>
      <c r="H80" s="1886"/>
      <c r="I80" s="1886"/>
      <c r="J80" s="2406"/>
      <c r="K80" s="2408" t="str">
        <f>+'CO2 - Cálculos'!AC79</f>
        <v>CDR seco + trat. biol.</v>
      </c>
      <c r="L80" s="2412">
        <f>+'CO2 - Cálculos'!AJ79</f>
        <v>0</v>
      </c>
      <c r="M80" s="2376"/>
      <c r="N80" s="1886"/>
      <c r="O80" s="1886"/>
      <c r="P80" s="1886"/>
      <c r="Q80" s="1886"/>
      <c r="R80" s="1886"/>
      <c r="S80" s="1886"/>
      <c r="T80" s="1886"/>
    </row>
    <row r="81" spans="1:20" ht="18" customHeight="1" x14ac:dyDescent="0.2">
      <c r="A81" s="1886"/>
      <c r="B81" s="1886"/>
      <c r="C81" s="1886"/>
      <c r="D81" s="1886"/>
      <c r="E81" s="1886"/>
      <c r="F81" s="1886"/>
      <c r="G81" s="1886"/>
      <c r="H81" s="1886"/>
      <c r="I81" s="1886"/>
      <c r="J81" s="2406"/>
      <c r="K81" s="2408" t="str">
        <f>+'CO2 - Cálculos'!AC80</f>
        <v>CDR seco + CDR org.</v>
      </c>
      <c r="L81" s="2412">
        <f>+'CO2 - Cálculos'!AJ80</f>
        <v>0</v>
      </c>
      <c r="M81" s="2376"/>
      <c r="N81" s="1886"/>
      <c r="O81" s="1886"/>
      <c r="P81" s="1886"/>
      <c r="Q81" s="1886"/>
      <c r="R81" s="1886"/>
      <c r="S81" s="1886"/>
      <c r="T81" s="1886"/>
    </row>
    <row r="82" spans="1:20" ht="18" customHeight="1" x14ac:dyDescent="0.2">
      <c r="A82" s="1886"/>
      <c r="B82" s="1886"/>
      <c r="C82" s="1886"/>
      <c r="D82" s="1886"/>
      <c r="E82" s="2263"/>
      <c r="F82" s="1886"/>
      <c r="G82" s="1886"/>
      <c r="H82" s="1886"/>
      <c r="I82" s="1886"/>
      <c r="J82" s="2406"/>
      <c r="K82" s="2408" t="str">
        <f>+'CO2 - Cálculos'!AC81</f>
        <v>Incineração</v>
      </c>
      <c r="L82" s="2412">
        <f>+'CO2 - Cálculos'!AJ81</f>
        <v>-2810.5079200893747</v>
      </c>
      <c r="M82" s="2376"/>
      <c r="N82" s="1886"/>
      <c r="O82" s="1886"/>
      <c r="P82" s="1886"/>
      <c r="Q82" s="1886"/>
      <c r="R82" s="1886"/>
      <c r="S82" s="1886"/>
      <c r="T82" s="1886"/>
    </row>
    <row r="83" spans="1:20" ht="18" customHeight="1" x14ac:dyDescent="0.2">
      <c r="A83" s="1886"/>
      <c r="B83" s="1886"/>
      <c r="C83" s="1886"/>
      <c r="D83" s="1886"/>
      <c r="E83" s="2263"/>
      <c r="F83" s="1886"/>
      <c r="G83" s="1886"/>
      <c r="H83" s="1886"/>
      <c r="I83" s="1886"/>
      <c r="J83" s="2406"/>
      <c r="K83" s="2411" t="s">
        <v>1258</v>
      </c>
      <c r="L83" s="2376"/>
      <c r="M83" s="2376"/>
      <c r="N83" s="1886"/>
      <c r="O83" s="1886"/>
      <c r="P83" s="1886"/>
      <c r="Q83" s="1886"/>
      <c r="R83" s="1886"/>
      <c r="S83" s="1886"/>
      <c r="T83" s="1886"/>
    </row>
    <row r="84" spans="1:20" ht="18" customHeight="1" x14ac:dyDescent="0.2">
      <c r="A84" s="1886"/>
      <c r="B84" s="1886"/>
      <c r="C84" s="1886"/>
      <c r="D84" s="1886"/>
      <c r="E84" s="2263"/>
      <c r="F84" s="1886"/>
      <c r="G84" s="1886"/>
      <c r="H84" s="1886"/>
      <c r="I84" s="1886"/>
      <c r="J84" s="2406"/>
      <c r="K84" s="2411" t="s">
        <v>1259</v>
      </c>
      <c r="L84" s="2376"/>
      <c r="M84" s="2413">
        <f>SUM(L62:L71,L73:L82)</f>
        <v>63179.010027641685</v>
      </c>
      <c r="N84" s="1886"/>
      <c r="O84" s="1886"/>
      <c r="P84" s="1886"/>
      <c r="Q84" s="1886"/>
      <c r="R84" s="1886"/>
      <c r="S84" s="1886"/>
      <c r="T84" s="1886"/>
    </row>
    <row r="85" spans="1:20" ht="18" customHeight="1" x14ac:dyDescent="0.2">
      <c r="A85" s="1886"/>
      <c r="B85" s="1886"/>
      <c r="C85" s="1886"/>
      <c r="D85" s="1886"/>
      <c r="E85" s="1886"/>
      <c r="F85" s="1886"/>
      <c r="G85" s="1886"/>
      <c r="H85" s="1886"/>
      <c r="I85" s="1886"/>
      <c r="J85" s="1886"/>
      <c r="K85" s="1886"/>
      <c r="L85" s="1886"/>
      <c r="M85" s="1886"/>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35899-8C4B-4803-A392-6FC001A708C8}">
  <dimension ref="A1:AU120"/>
  <sheetViews>
    <sheetView zoomScale="78" zoomScaleNormal="78" workbookViewId="0">
      <selection activeCell="L13" sqref="L13"/>
    </sheetView>
  </sheetViews>
  <sheetFormatPr defaultColWidth="11.42578125" defaultRowHeight="12.75" x14ac:dyDescent="0.2"/>
  <cols>
    <col min="1" max="1" width="8.42578125" style="1842" customWidth="1"/>
    <col min="2" max="2" width="37.42578125" style="1842" customWidth="1"/>
    <col min="3" max="3" width="17.140625" style="1842" customWidth="1"/>
    <col min="4" max="4" width="15.42578125" style="1842" bestFit="1" customWidth="1"/>
    <col min="5" max="5" width="16.42578125" style="1842" customWidth="1"/>
    <col min="6" max="7" width="11.42578125" style="1842"/>
    <col min="8" max="8" width="14.85546875" style="1842" bestFit="1" customWidth="1"/>
    <col min="9" max="9" width="18.5703125" style="1842" bestFit="1" customWidth="1"/>
    <col min="10" max="10" width="16.42578125" style="1842" customWidth="1"/>
    <col min="11" max="11" width="15.42578125" style="1842" customWidth="1"/>
    <col min="12" max="12" width="19.42578125" style="1842" bestFit="1" customWidth="1"/>
    <col min="13" max="13" width="11" style="1842" customWidth="1"/>
    <col min="14" max="14" width="11.85546875" style="1842" customWidth="1"/>
    <col min="15" max="16384" width="11.42578125" style="1842"/>
  </cols>
  <sheetData>
    <row r="1" spans="1:45" s="2225" customFormat="1" ht="26.1" customHeight="1" x14ac:dyDescent="0.2">
      <c r="A1" s="2287" t="s">
        <v>1269</v>
      </c>
      <c r="B1" s="2396"/>
      <c r="C1" s="2396"/>
      <c r="D1" s="2396"/>
      <c r="E1" s="2396"/>
      <c r="F1" s="2026"/>
      <c r="G1" s="2026"/>
      <c r="H1" s="2026"/>
      <c r="I1" s="2026"/>
      <c r="J1" s="2026"/>
      <c r="K1" s="2026"/>
      <c r="L1" s="2026"/>
      <c r="M1" s="2026"/>
      <c r="N1" s="2026"/>
      <c r="O1" s="2026"/>
      <c r="P1" s="2026"/>
      <c r="Q1" s="2026"/>
      <c r="R1" s="2026"/>
      <c r="S1" s="2026"/>
      <c r="T1" s="2026"/>
      <c r="U1" s="1841"/>
      <c r="V1" s="1841"/>
      <c r="W1" s="1841"/>
      <c r="X1" s="1841"/>
      <c r="Y1" s="1841"/>
      <c r="Z1" s="1841"/>
      <c r="AA1" s="1841"/>
      <c r="AB1" s="1841"/>
      <c r="AC1" s="1841"/>
      <c r="AD1" s="1841"/>
      <c r="AE1" s="1841"/>
      <c r="AF1" s="1841"/>
      <c r="AG1" s="1841"/>
      <c r="AH1" s="1841"/>
      <c r="AI1" s="1841"/>
      <c r="AJ1" s="1841"/>
      <c r="AK1" s="1841"/>
      <c r="AL1" s="1841"/>
      <c r="AM1" s="1841"/>
      <c r="AN1" s="1841"/>
      <c r="AO1" s="1841"/>
      <c r="AP1" s="1841"/>
      <c r="AQ1" s="1841"/>
      <c r="AR1" s="1841"/>
      <c r="AS1" s="1841"/>
    </row>
    <row r="2" spans="1:45" ht="14.25" customHeight="1" x14ac:dyDescent="0.25">
      <c r="A2" s="2397"/>
      <c r="B2" s="2398"/>
      <c r="C2" s="1886"/>
      <c r="D2" s="1886"/>
      <c r="E2" s="1886"/>
      <c r="F2" s="1886"/>
      <c r="G2" s="1886"/>
      <c r="H2" s="1886"/>
      <c r="I2" s="1886"/>
      <c r="J2" s="1886"/>
      <c r="K2" s="1886"/>
      <c r="L2" s="1886"/>
      <c r="M2" s="1886"/>
      <c r="N2" s="1886"/>
      <c r="O2" s="1886"/>
      <c r="P2" s="1886"/>
      <c r="Q2" s="1886"/>
      <c r="R2" s="1886"/>
      <c r="S2" s="1886"/>
      <c r="T2" s="1886"/>
    </row>
    <row r="3" spans="1:45" ht="18" customHeight="1" x14ac:dyDescent="0.25">
      <c r="A3" s="1886"/>
      <c r="B3" s="2228" t="s">
        <v>1238</v>
      </c>
      <c r="C3" s="2229">
        <f>+'CO2 - Cálculos'!AI58</f>
        <v>146000</v>
      </c>
      <c r="D3" s="2230"/>
      <c r="E3" s="2230"/>
      <c r="F3" s="1886"/>
      <c r="G3" s="1886"/>
      <c r="H3" s="1886"/>
      <c r="I3" s="1886"/>
      <c r="J3" s="1886"/>
      <c r="K3" s="1886"/>
      <c r="L3" s="1886"/>
      <c r="M3" s="1886"/>
      <c r="N3" s="1886"/>
      <c r="O3" s="1886"/>
      <c r="P3" s="1886"/>
      <c r="Q3" s="1886"/>
      <c r="R3" s="1886"/>
      <c r="S3" s="1886"/>
      <c r="T3" s="1886"/>
    </row>
    <row r="4" spans="1:45" ht="18" customHeight="1" x14ac:dyDescent="0.25">
      <c r="A4" s="1886"/>
      <c r="B4" s="2283"/>
      <c r="C4" s="2399"/>
      <c r="D4" s="2233"/>
      <c r="E4" s="2233"/>
      <c r="F4" s="1886"/>
      <c r="G4" s="1886"/>
      <c r="H4" s="1886"/>
      <c r="I4" s="1886"/>
      <c r="J4" s="1886"/>
      <c r="K4" s="1886"/>
      <c r="L4" s="1886"/>
      <c r="M4" s="2305"/>
      <c r="N4" s="2305"/>
      <c r="O4" s="2305"/>
      <c r="P4" s="2305"/>
      <c r="Q4" s="2305"/>
      <c r="R4" s="2305"/>
      <c r="S4" s="1886"/>
      <c r="T4" s="1886"/>
    </row>
    <row r="5" spans="1:45" ht="18" customHeight="1" x14ac:dyDescent="0.25">
      <c r="A5" s="1886"/>
      <c r="B5" s="2228" t="s">
        <v>1239</v>
      </c>
      <c r="C5" s="2229">
        <f>+'CO2 - Cálculos'!AI13</f>
        <v>14727.458000000001</v>
      </c>
      <c r="D5" s="2230"/>
      <c r="E5" s="2230"/>
      <c r="F5" s="1886"/>
      <c r="G5" s="1886"/>
      <c r="H5" s="1886"/>
      <c r="I5" s="1886"/>
      <c r="J5" s="1886"/>
      <c r="K5" s="1886"/>
      <c r="L5" s="1886"/>
      <c r="M5" s="2305"/>
      <c r="N5" s="2305"/>
      <c r="O5" s="2962" t="s">
        <v>1264</v>
      </c>
      <c r="P5" s="2963"/>
      <c r="Q5" s="2305"/>
      <c r="R5" s="2305"/>
      <c r="S5" s="1886"/>
      <c r="T5" s="1886"/>
    </row>
    <row r="6" spans="1:45" ht="18" customHeight="1" x14ac:dyDescent="0.25">
      <c r="A6" s="1886"/>
      <c r="B6" s="2400"/>
      <c r="C6" s="2236"/>
      <c r="D6" s="2230"/>
      <c r="E6" s="2230"/>
      <c r="F6" s="1886"/>
      <c r="G6" s="1886"/>
      <c r="H6" s="1886"/>
      <c r="I6" s="1886"/>
      <c r="J6" s="1886"/>
      <c r="K6" s="1886"/>
      <c r="L6" s="1886"/>
      <c r="M6" s="2305"/>
      <c r="N6" s="2305"/>
      <c r="O6" s="2964">
        <f>+C3</f>
        <v>146000</v>
      </c>
      <c r="P6" s="2965"/>
      <c r="Q6" s="2305"/>
      <c r="R6" s="2305"/>
      <c r="S6" s="1886"/>
      <c r="T6" s="1886"/>
    </row>
    <row r="7" spans="1:45" ht="18" customHeight="1" x14ac:dyDescent="0.25">
      <c r="A7" s="1886"/>
      <c r="B7" s="2237" t="s">
        <v>1108</v>
      </c>
      <c r="C7" s="2238">
        <f>+'CO2 - Cálculos'!AJ5</f>
        <v>0</v>
      </c>
      <c r="D7" s="2230"/>
      <c r="E7" s="2230"/>
      <c r="F7" s="1886"/>
      <c r="G7" s="1886"/>
      <c r="H7" s="1886"/>
      <c r="I7" s="1886"/>
      <c r="J7" s="1886"/>
      <c r="K7" s="1886"/>
      <c r="L7" s="1886"/>
      <c r="M7" s="2401"/>
      <c r="N7" s="2305"/>
      <c r="O7" s="2305"/>
      <c r="P7" s="2305"/>
      <c r="Q7" s="2305"/>
      <c r="R7" s="2305"/>
      <c r="S7" s="1886"/>
      <c r="T7" s="1886"/>
    </row>
    <row r="8" spans="1:45" ht="18" customHeight="1" x14ac:dyDescent="0.25">
      <c r="A8" s="1886"/>
      <c r="B8" s="2237" t="s">
        <v>1109</v>
      </c>
      <c r="C8" s="2238">
        <f>+'CO2 - Cálculos'!AJ6</f>
        <v>0</v>
      </c>
      <c r="D8" s="2230"/>
      <c r="E8" s="2230"/>
      <c r="F8" s="1886"/>
      <c r="G8" s="1886"/>
      <c r="H8" s="1886"/>
      <c r="I8" s="1886"/>
      <c r="J8" s="1886"/>
      <c r="K8" s="1886"/>
      <c r="L8" s="1886"/>
      <c r="M8" s="2305"/>
      <c r="N8" s="2305"/>
      <c r="O8" s="2305"/>
      <c r="P8" s="2305"/>
      <c r="Q8" s="2305"/>
      <c r="R8" s="2305"/>
      <c r="S8" s="1886"/>
      <c r="T8" s="1886"/>
    </row>
    <row r="9" spans="1:45" ht="18" customHeight="1" x14ac:dyDescent="0.25">
      <c r="A9" s="1886"/>
      <c r="B9" s="2237" t="s">
        <v>1110</v>
      </c>
      <c r="C9" s="2238">
        <f>+'CO2 - Cálculos'!AJ7</f>
        <v>6368.9580000000005</v>
      </c>
      <c r="D9" s="2230"/>
      <c r="E9" s="2230"/>
      <c r="F9" s="1886"/>
      <c r="G9" s="1886"/>
      <c r="H9" s="1886"/>
      <c r="I9" s="1886"/>
      <c r="J9" s="1886"/>
      <c r="K9" s="1886"/>
      <c r="L9" s="2309"/>
      <c r="M9" s="1862" t="s">
        <v>1048</v>
      </c>
      <c r="N9" s="2310">
        <f>+C5</f>
        <v>14727.458000000001</v>
      </c>
      <c r="O9" s="2311">
        <f>+N9/O6</f>
        <v>0.100873</v>
      </c>
      <c r="P9" s="2312">
        <f>+Q9/O6</f>
        <v>0.8991269999999999</v>
      </c>
      <c r="Q9" s="2313">
        <f>+C16</f>
        <v>131272.54199999999</v>
      </c>
      <c r="R9" s="2314" t="s">
        <v>1241</v>
      </c>
      <c r="S9" s="1953"/>
      <c r="T9" s="1886"/>
    </row>
    <row r="10" spans="1:45" ht="18" customHeight="1" x14ac:dyDescent="0.25">
      <c r="A10" s="1886"/>
      <c r="B10" s="2237" t="s">
        <v>1111</v>
      </c>
      <c r="C10" s="2238">
        <f>+'CO2 - Cálculos'!AJ8</f>
        <v>4336.2</v>
      </c>
      <c r="D10" s="2230"/>
      <c r="E10" s="2230"/>
      <c r="F10" s="1886"/>
      <c r="G10" s="1886"/>
      <c r="H10" s="1886"/>
      <c r="I10" s="1886"/>
      <c r="J10" s="1886"/>
      <c r="K10" s="1886"/>
      <c r="L10" s="2309"/>
      <c r="M10" s="2315"/>
      <c r="N10" s="2316"/>
      <c r="O10" s="2309"/>
      <c r="P10" s="2309"/>
      <c r="Q10" s="2316"/>
      <c r="R10" s="2315"/>
      <c r="S10" s="1953"/>
      <c r="T10" s="1886"/>
    </row>
    <row r="11" spans="1:45" ht="18" customHeight="1" x14ac:dyDescent="0.25">
      <c r="A11" s="1886"/>
      <c r="B11" s="2237" t="s">
        <v>50</v>
      </c>
      <c r="C11" s="2238">
        <f>+'CO2 - Cálculos'!AJ9</f>
        <v>0</v>
      </c>
      <c r="D11" s="2230"/>
      <c r="E11" s="2230"/>
      <c r="F11" s="1886"/>
      <c r="G11" s="1886"/>
      <c r="H11" s="1886"/>
      <c r="I11" s="1886"/>
      <c r="J11" s="1886"/>
      <c r="K11" s="1886"/>
      <c r="L11" s="2309"/>
      <c r="M11" s="1862" t="str">
        <f t="shared" ref="M11:N18" si="0">+B7</f>
        <v>Resíduos de alimentos</v>
      </c>
      <c r="N11" s="2402">
        <f t="shared" si="0"/>
        <v>0</v>
      </c>
      <c r="O11" s="2318">
        <f t="shared" ref="O11:O18" si="1">+N11/$N$9</f>
        <v>0</v>
      </c>
      <c r="P11" s="2319">
        <f t="shared" ref="P11:P19" si="2">+Q11/$Q$9</f>
        <v>0</v>
      </c>
      <c r="Q11" s="2320">
        <f t="shared" ref="Q11:Q19" si="3">+C18</f>
        <v>0</v>
      </c>
      <c r="R11" s="2314" t="str">
        <f t="shared" ref="R11:R19" si="4">+B18</f>
        <v>Resíduos dispersos</v>
      </c>
      <c r="S11" s="1953"/>
      <c r="T11" s="1886"/>
    </row>
    <row r="12" spans="1:45" ht="18" customHeight="1" x14ac:dyDescent="0.25">
      <c r="A12" s="1886"/>
      <c r="B12" s="2237" t="s">
        <v>1112</v>
      </c>
      <c r="C12" s="2238">
        <f>+'CO2 - Cálculos'!AJ10</f>
        <v>3190.1</v>
      </c>
      <c r="D12" s="2230"/>
      <c r="E12" s="2230"/>
      <c r="F12" s="1886"/>
      <c r="G12" s="1886"/>
      <c r="H12" s="1886"/>
      <c r="I12" s="1886"/>
      <c r="J12" s="1886"/>
      <c r="K12" s="1886"/>
      <c r="L12" s="2309"/>
      <c r="M12" s="1862" t="str">
        <f t="shared" si="0"/>
        <v>Resíduos de jardins e parques</v>
      </c>
      <c r="N12" s="2402">
        <f t="shared" si="0"/>
        <v>0</v>
      </c>
      <c r="O12" s="2318">
        <f t="shared" si="1"/>
        <v>0</v>
      </c>
      <c r="P12" s="2319">
        <f t="shared" si="2"/>
        <v>0</v>
      </c>
      <c r="Q12" s="2320">
        <f t="shared" si="3"/>
        <v>0</v>
      </c>
      <c r="R12" s="2314" t="str">
        <f t="shared" si="4"/>
        <v>Queima a céu aberto</v>
      </c>
      <c r="S12" s="1953"/>
      <c r="T12" s="1886"/>
    </row>
    <row r="13" spans="1:45" ht="18" customHeight="1" x14ac:dyDescent="0.25">
      <c r="A13" s="1886"/>
      <c r="B13" s="2237" t="s">
        <v>1113</v>
      </c>
      <c r="C13" s="2238">
        <f>+'CO2 - Cálculos'!AJ11</f>
        <v>832.19999999999993</v>
      </c>
      <c r="D13" s="2230"/>
      <c r="E13" s="2230"/>
      <c r="F13" s="1886"/>
      <c r="G13" s="1886"/>
      <c r="H13" s="1886"/>
      <c r="I13" s="1886"/>
      <c r="J13" s="1886"/>
      <c r="K13" s="1886"/>
      <c r="L13" s="2309"/>
      <c r="M13" s="1862" t="str">
        <f t="shared" si="0"/>
        <v>Papel, papelão</v>
      </c>
      <c r="N13" s="2402">
        <f t="shared" si="0"/>
        <v>6368.9580000000005</v>
      </c>
      <c r="O13" s="2318">
        <f t="shared" si="1"/>
        <v>0.4324546707245745</v>
      </c>
      <c r="P13" s="2319">
        <f t="shared" si="2"/>
        <v>0</v>
      </c>
      <c r="Q13" s="2320">
        <f t="shared" si="3"/>
        <v>0</v>
      </c>
      <c r="R13" s="2314" t="str">
        <f t="shared" si="4"/>
        <v>Lixão não controlado</v>
      </c>
      <c r="S13" s="1953"/>
      <c r="T13" s="1886"/>
    </row>
    <row r="14" spans="1:45" ht="18" customHeight="1" x14ac:dyDescent="0.25">
      <c r="A14" s="1886"/>
      <c r="B14" s="2237" t="s">
        <v>1114</v>
      </c>
      <c r="C14" s="2238">
        <f>+'CO2 - Cálculos'!AJ12</f>
        <v>0</v>
      </c>
      <c r="D14" s="2230"/>
      <c r="E14" s="2230"/>
      <c r="F14" s="1886"/>
      <c r="G14" s="1886"/>
      <c r="H14" s="1886"/>
      <c r="I14" s="1886"/>
      <c r="J14" s="1886"/>
      <c r="K14" s="1886"/>
      <c r="L14" s="2309"/>
      <c r="M14" s="1862" t="str">
        <f t="shared" si="0"/>
        <v>Plásticos</v>
      </c>
      <c r="N14" s="2402">
        <f t="shared" si="0"/>
        <v>4336.2</v>
      </c>
      <c r="O14" s="2318">
        <f t="shared" si="1"/>
        <v>0.29442962933589761</v>
      </c>
      <c r="P14" s="2319">
        <f t="shared" si="2"/>
        <v>0.15</v>
      </c>
      <c r="Q14" s="2320">
        <f t="shared" si="3"/>
        <v>19690.881299999997</v>
      </c>
      <c r="R14" s="2314" t="str">
        <f t="shared" si="4"/>
        <v>Aterro controlado</v>
      </c>
      <c r="S14" s="1953"/>
      <c r="T14" s="1886"/>
    </row>
    <row r="15" spans="1:45" ht="18" customHeight="1" x14ac:dyDescent="0.25">
      <c r="A15" s="1886"/>
      <c r="B15" s="2283"/>
      <c r="C15" s="2399"/>
      <c r="D15" s="2230"/>
      <c r="E15" s="2230"/>
      <c r="F15" s="1886"/>
      <c r="G15" s="1886"/>
      <c r="H15" s="1886"/>
      <c r="I15" s="1886"/>
      <c r="J15" s="1886"/>
      <c r="K15" s="1886"/>
      <c r="L15" s="2309"/>
      <c r="M15" s="1862" t="str">
        <f t="shared" si="0"/>
        <v>Vidros</v>
      </c>
      <c r="N15" s="2402">
        <f t="shared" si="0"/>
        <v>0</v>
      </c>
      <c r="O15" s="2318">
        <f t="shared" si="1"/>
        <v>0</v>
      </c>
      <c r="P15" s="2319">
        <f t="shared" si="2"/>
        <v>0</v>
      </c>
      <c r="Q15" s="2320">
        <f t="shared" si="3"/>
        <v>0</v>
      </c>
      <c r="R15" s="2314" t="str">
        <f t="shared" si="4"/>
        <v>Aterro sanitário</v>
      </c>
      <c r="S15" s="1953"/>
      <c r="T15" s="1886"/>
    </row>
    <row r="16" spans="1:45" ht="18" customHeight="1" x14ac:dyDescent="0.25">
      <c r="A16" s="1886"/>
      <c r="B16" s="2256" t="s">
        <v>1265</v>
      </c>
      <c r="C16" s="2229">
        <f>+'CO2 - Cálculos'!AI57</f>
        <v>131272.54199999999</v>
      </c>
      <c r="D16" s="2230"/>
      <c r="E16" s="2230"/>
      <c r="F16" s="1886"/>
      <c r="G16" s="1886"/>
      <c r="H16" s="1886"/>
      <c r="I16" s="1886"/>
      <c r="J16" s="1886"/>
      <c r="K16" s="1886"/>
      <c r="L16" s="2309"/>
      <c r="M16" s="1862" t="str">
        <f t="shared" si="0"/>
        <v>Metais ferrosos</v>
      </c>
      <c r="N16" s="2402">
        <f t="shared" si="0"/>
        <v>3190.1</v>
      </c>
      <c r="O16" s="2318">
        <f t="shared" si="1"/>
        <v>0.21660900340031525</v>
      </c>
      <c r="P16" s="2319">
        <f t="shared" si="2"/>
        <v>0</v>
      </c>
      <c r="Q16" s="2320">
        <f t="shared" si="3"/>
        <v>0</v>
      </c>
      <c r="R16" s="2314" t="str">
        <f t="shared" si="4"/>
        <v>Trat. biol + cobertura at.</v>
      </c>
      <c r="S16" s="1953"/>
      <c r="T16" s="1886"/>
    </row>
    <row r="17" spans="1:47" ht="18" customHeight="1" x14ac:dyDescent="0.25">
      <c r="A17" s="1886"/>
      <c r="B17" s="2400"/>
      <c r="C17" s="2236"/>
      <c r="D17" s="2230"/>
      <c r="E17" s="2230"/>
      <c r="F17" s="1886"/>
      <c r="G17" s="1886"/>
      <c r="H17" s="1886"/>
      <c r="I17" s="1886"/>
      <c r="J17" s="1886"/>
      <c r="K17" s="1886"/>
      <c r="L17" s="2309"/>
      <c r="M17" s="1862" t="str">
        <f t="shared" si="0"/>
        <v>Alumínio</v>
      </c>
      <c r="N17" s="2402">
        <f t="shared" si="0"/>
        <v>832.19999999999993</v>
      </c>
      <c r="O17" s="2318">
        <f t="shared" si="1"/>
        <v>5.650669653921267E-2</v>
      </c>
      <c r="P17" s="2319">
        <f t="shared" si="2"/>
        <v>0</v>
      </c>
      <c r="Q17" s="2320">
        <f t="shared" si="3"/>
        <v>0</v>
      </c>
      <c r="R17" s="2314" t="str">
        <f t="shared" si="4"/>
        <v>CDR seco + rejeito aterro</v>
      </c>
      <c r="S17" s="1953"/>
      <c r="T17" s="1886"/>
    </row>
    <row r="18" spans="1:47" ht="18" customHeight="1" x14ac:dyDescent="0.25">
      <c r="A18" s="1886"/>
      <c r="B18" s="2237" t="s">
        <v>1243</v>
      </c>
      <c r="C18" s="2238">
        <f>+'CO2 - Cálculos'!AJ47</f>
        <v>0</v>
      </c>
      <c r="D18" s="2230"/>
      <c r="E18" s="2230"/>
      <c r="F18" s="1886"/>
      <c r="G18" s="1886"/>
      <c r="H18" s="1886"/>
      <c r="I18" s="1886"/>
      <c r="J18" s="1886"/>
      <c r="K18" s="1886"/>
      <c r="L18" s="2309"/>
      <c r="M18" s="1862" t="str">
        <f t="shared" si="0"/>
        <v>Têxteis</v>
      </c>
      <c r="N18" s="2402">
        <f t="shared" si="0"/>
        <v>0</v>
      </c>
      <c r="O18" s="2318">
        <f t="shared" si="1"/>
        <v>0</v>
      </c>
      <c r="P18" s="2319">
        <f t="shared" si="2"/>
        <v>0</v>
      </c>
      <c r="Q18" s="2320">
        <f t="shared" si="3"/>
        <v>0</v>
      </c>
      <c r="R18" s="2314" t="str">
        <f t="shared" si="4"/>
        <v>CDR seco + trat. biol.</v>
      </c>
      <c r="S18" s="1953"/>
      <c r="T18" s="1886"/>
    </row>
    <row r="19" spans="1:47" ht="18" customHeight="1" x14ac:dyDescent="0.25">
      <c r="A19" s="1886"/>
      <c r="B19" s="2237" t="s">
        <v>1244</v>
      </c>
      <c r="C19" s="2238">
        <f>+'CO2 - Cálculos'!AJ48</f>
        <v>0</v>
      </c>
      <c r="D19" s="2230"/>
      <c r="E19" s="2230"/>
      <c r="F19" s="1886"/>
      <c r="G19" s="1886"/>
      <c r="H19" s="1886"/>
      <c r="I19" s="1886"/>
      <c r="J19" s="1886"/>
      <c r="K19" s="1886"/>
      <c r="L19" s="2309"/>
      <c r="M19" s="2309"/>
      <c r="N19" s="2369"/>
      <c r="O19" s="2321"/>
      <c r="P19" s="2319">
        <f t="shared" si="2"/>
        <v>0</v>
      </c>
      <c r="Q19" s="2320">
        <f t="shared" si="3"/>
        <v>0</v>
      </c>
      <c r="R19" s="2314" t="str">
        <f t="shared" si="4"/>
        <v>CDR seco + CDR org.</v>
      </c>
      <c r="S19" s="1953"/>
      <c r="T19" s="1886"/>
    </row>
    <row r="20" spans="1:47" ht="18" customHeight="1" x14ac:dyDescent="0.25">
      <c r="A20" s="1886"/>
      <c r="B20" s="2237" t="s">
        <v>1245</v>
      </c>
      <c r="C20" s="2238">
        <f>+'CO2 - Cálculos'!AJ49</f>
        <v>0</v>
      </c>
      <c r="D20" s="2230"/>
      <c r="E20" s="2230"/>
      <c r="F20" s="1886"/>
      <c r="G20" s="1886"/>
      <c r="H20" s="1886"/>
      <c r="I20" s="1886"/>
      <c r="J20" s="1886"/>
      <c r="K20" s="1886"/>
      <c r="L20" s="2309"/>
      <c r="M20" s="2309"/>
      <c r="N20" s="2309"/>
      <c r="O20" s="2309"/>
      <c r="P20" s="2319">
        <f>+Q20/$Q$9</f>
        <v>0.85</v>
      </c>
      <c r="Q20" s="2320">
        <f>+C27</f>
        <v>111581.66069999998</v>
      </c>
      <c r="R20" s="2314" t="str">
        <f>+B27</f>
        <v>Incineração</v>
      </c>
      <c r="S20" s="1953"/>
      <c r="T20" s="1886"/>
    </row>
    <row r="21" spans="1:47" ht="18" customHeight="1" x14ac:dyDescent="0.25">
      <c r="A21" s="1886"/>
      <c r="B21" s="2237" t="s">
        <v>1246</v>
      </c>
      <c r="C21" s="2238">
        <f>+'CO2 - Cálculos'!AJ50</f>
        <v>19690.881299999997</v>
      </c>
      <c r="D21" s="2230"/>
      <c r="E21" s="2230"/>
      <c r="F21" s="1886"/>
      <c r="G21" s="1886"/>
      <c r="H21" s="1886"/>
      <c r="I21" s="1886"/>
      <c r="J21" s="1886"/>
      <c r="K21" s="1886"/>
      <c r="L21" s="1886"/>
      <c r="M21" s="1886"/>
      <c r="N21" s="1886"/>
      <c r="O21" s="1886"/>
      <c r="P21" s="1886"/>
      <c r="Q21" s="2012"/>
      <c r="R21" s="1886"/>
      <c r="S21" s="1886"/>
      <c r="T21" s="1886"/>
    </row>
    <row r="22" spans="1:47" ht="18" customHeight="1" x14ac:dyDescent="0.25">
      <c r="A22" s="1886"/>
      <c r="B22" s="2259" t="s">
        <v>64</v>
      </c>
      <c r="C22" s="2238">
        <f>+'CO2 - Cálculos'!AJ51</f>
        <v>0</v>
      </c>
      <c r="D22" s="2230"/>
      <c r="E22" s="2230"/>
      <c r="F22" s="1886"/>
      <c r="G22" s="1886"/>
      <c r="H22" s="1886"/>
      <c r="I22" s="1886"/>
      <c r="J22" s="1886"/>
      <c r="K22" s="1886"/>
      <c r="L22" s="1886"/>
      <c r="M22" s="1886"/>
      <c r="N22" s="1886"/>
      <c r="O22" s="1886"/>
      <c r="P22" s="1886"/>
      <c r="Q22" s="2012"/>
      <c r="R22" s="1886"/>
      <c r="S22" s="1886"/>
      <c r="T22" s="1886"/>
    </row>
    <row r="23" spans="1:47" ht="18" customHeight="1" x14ac:dyDescent="0.25">
      <c r="A23" s="1886"/>
      <c r="B23" s="2260" t="s">
        <v>1247</v>
      </c>
      <c r="C23" s="2261">
        <f>+'CO2 - Cálculos'!AJ52</f>
        <v>0</v>
      </c>
      <c r="D23" s="2230"/>
      <c r="E23" s="2230"/>
      <c r="F23" s="1886"/>
      <c r="G23" s="1886"/>
      <c r="H23" s="1886"/>
      <c r="I23" s="1886"/>
      <c r="J23" s="1886"/>
      <c r="K23" s="1886"/>
      <c r="L23" s="1886"/>
      <c r="M23" s="1886"/>
      <c r="N23" s="1886"/>
      <c r="O23" s="1886"/>
      <c r="P23" s="1886"/>
      <c r="Q23" s="1886"/>
      <c r="R23" s="1886"/>
      <c r="S23" s="1886"/>
      <c r="T23" s="1886"/>
    </row>
    <row r="24" spans="1:47" ht="18" customHeight="1" x14ac:dyDescent="0.25">
      <c r="A24" s="1886"/>
      <c r="B24" s="2260" t="s">
        <v>1248</v>
      </c>
      <c r="C24" s="2238">
        <f>+'CO2 - Cálculos'!AJ53</f>
        <v>0</v>
      </c>
      <c r="D24" s="2230"/>
      <c r="E24" s="2230"/>
      <c r="F24" s="1886"/>
      <c r="G24" s="1886"/>
      <c r="H24" s="1886"/>
      <c r="I24" s="1886"/>
      <c r="J24" s="1886"/>
      <c r="K24" s="1886"/>
      <c r="L24" s="1886"/>
      <c r="M24" s="1886"/>
      <c r="N24" s="1886"/>
      <c r="O24" s="1886"/>
      <c r="P24" s="1886"/>
      <c r="Q24" s="1886"/>
      <c r="R24" s="1886"/>
      <c r="S24" s="1886"/>
      <c r="T24" s="1886"/>
    </row>
    <row r="25" spans="1:47" ht="18" customHeight="1" x14ac:dyDescent="0.25">
      <c r="A25" s="1886"/>
      <c r="B25" s="2260" t="s">
        <v>1249</v>
      </c>
      <c r="C25" s="2238">
        <f>+'CO2 - Cálculos'!AJ54</f>
        <v>0</v>
      </c>
      <c r="D25" s="2230"/>
      <c r="E25" s="2230"/>
      <c r="F25" s="1886"/>
      <c r="G25" s="1886"/>
      <c r="H25" s="1886"/>
      <c r="I25" s="1886"/>
      <c r="J25" s="1886"/>
      <c r="K25" s="1886"/>
      <c r="L25" s="1886"/>
      <c r="M25" s="1886"/>
      <c r="N25" s="1886"/>
      <c r="O25" s="1886"/>
      <c r="P25" s="1886"/>
      <c r="Q25" s="1886"/>
      <c r="R25" s="1886"/>
      <c r="S25" s="1886"/>
      <c r="T25" s="1886"/>
    </row>
    <row r="26" spans="1:47" ht="18" customHeight="1" x14ac:dyDescent="0.25">
      <c r="A26" s="1886"/>
      <c r="B26" s="2260" t="s">
        <v>1250</v>
      </c>
      <c r="C26" s="2238">
        <f>+'CO2 - Cálculos'!AJ55</f>
        <v>0</v>
      </c>
      <c r="D26" s="2230"/>
      <c r="E26" s="2230"/>
      <c r="F26" s="1886"/>
      <c r="G26" s="1886"/>
      <c r="H26" s="1886"/>
      <c r="I26" s="1886"/>
      <c r="J26" s="1886"/>
      <c r="K26" s="1886"/>
      <c r="L26" s="1886"/>
      <c r="M26" s="1886"/>
      <c r="N26" s="1886"/>
      <c r="O26" s="1886"/>
      <c r="P26" s="1886"/>
      <c r="Q26" s="1886"/>
      <c r="R26" s="1886"/>
      <c r="S26" s="1886"/>
      <c r="T26" s="1886"/>
    </row>
    <row r="27" spans="1:47" ht="18" customHeight="1" x14ac:dyDescent="0.25">
      <c r="A27" s="1886"/>
      <c r="B27" s="2237" t="s">
        <v>63</v>
      </c>
      <c r="C27" s="2238">
        <f>+'CO2 - Cálculos'!AJ56</f>
        <v>111581.66069999998</v>
      </c>
      <c r="D27" s="2230"/>
      <c r="E27" s="2230"/>
      <c r="F27" s="1886"/>
      <c r="G27" s="1886"/>
      <c r="H27" s="1886"/>
      <c r="I27" s="1886"/>
      <c r="J27" s="1886"/>
      <c r="K27" s="1886"/>
      <c r="L27" s="1886"/>
      <c r="M27" s="1886"/>
      <c r="N27" s="1886"/>
      <c r="O27" s="1886"/>
      <c r="P27" s="1886"/>
      <c r="Q27" s="1886"/>
      <c r="R27" s="1886"/>
      <c r="S27" s="1886"/>
      <c r="T27" s="1886"/>
    </row>
    <row r="28" spans="1:47" x14ac:dyDescent="0.2">
      <c r="A28" s="1886"/>
      <c r="B28" s="1886"/>
      <c r="C28" s="2230"/>
      <c r="D28" s="2230"/>
      <c r="E28" s="2230"/>
      <c r="F28" s="1886"/>
      <c r="G28" s="1886"/>
      <c r="H28" s="1886"/>
      <c r="I28" s="1886"/>
      <c r="J28" s="1886"/>
      <c r="K28" s="1886"/>
      <c r="L28" s="1886"/>
      <c r="M28" s="1886"/>
      <c r="N28" s="1886"/>
      <c r="O28" s="1886"/>
      <c r="P28" s="1886"/>
      <c r="Q28" s="1886"/>
      <c r="R28" s="1886"/>
      <c r="S28" s="1886"/>
      <c r="T28" s="1886"/>
    </row>
    <row r="29" spans="1:47" s="2225" customFormat="1" ht="26.1" customHeight="1" x14ac:dyDescent="0.2">
      <c r="A29" s="2059" t="s">
        <v>1266</v>
      </c>
      <c r="B29" s="2403"/>
      <c r="C29" s="2404"/>
      <c r="D29" s="2404"/>
      <c r="E29" s="2404"/>
      <c r="F29" s="2026"/>
      <c r="G29" s="2026"/>
      <c r="H29" s="2026"/>
      <c r="I29" s="2026"/>
      <c r="J29" s="2026"/>
      <c r="K29" s="2026"/>
      <c r="L29" s="2026"/>
      <c r="M29" s="2026"/>
      <c r="N29" s="2026"/>
      <c r="O29" s="2026"/>
      <c r="P29" s="2026"/>
      <c r="Q29" s="2026"/>
      <c r="R29" s="2026"/>
      <c r="S29" s="2026"/>
      <c r="T29" s="2026"/>
      <c r="U29" s="1841"/>
      <c r="V29" s="1841"/>
      <c r="W29" s="1841"/>
      <c r="X29" s="1841"/>
      <c r="Y29" s="1841"/>
      <c r="Z29" s="1841"/>
      <c r="AA29" s="1841"/>
      <c r="AB29" s="1841"/>
      <c r="AC29" s="1841"/>
      <c r="AD29" s="1841"/>
      <c r="AE29" s="1841"/>
      <c r="AF29" s="1841"/>
      <c r="AG29" s="1841"/>
      <c r="AH29" s="1841"/>
      <c r="AI29" s="1841"/>
      <c r="AJ29" s="1841"/>
      <c r="AK29" s="1841"/>
      <c r="AL29" s="1841"/>
      <c r="AM29" s="1841"/>
      <c r="AN29" s="1841"/>
      <c r="AO29" s="1841"/>
      <c r="AP29" s="1841"/>
      <c r="AQ29" s="1841"/>
      <c r="AR29" s="1841"/>
      <c r="AS29" s="1841"/>
      <c r="AT29" s="1841"/>
      <c r="AU29" s="1841"/>
    </row>
    <row r="30" spans="1:47"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47" ht="18" customHeight="1" x14ac:dyDescent="0.25">
      <c r="A31" s="1886"/>
      <c r="B31" s="2147"/>
      <c r="C31" s="2328" t="s">
        <v>1252</v>
      </c>
      <c r="D31" s="2075" t="s">
        <v>1253</v>
      </c>
      <c r="E31" s="2075" t="s">
        <v>1254</v>
      </c>
      <c r="F31" s="1886"/>
      <c r="G31" s="1886"/>
      <c r="H31" s="2267"/>
      <c r="I31" s="1886"/>
      <c r="J31" s="1886"/>
      <c r="K31" s="1886"/>
      <c r="L31" s="1886"/>
      <c r="M31" s="1886"/>
      <c r="N31" s="1886"/>
      <c r="O31" s="1886"/>
      <c r="P31" s="1886"/>
      <c r="Q31" s="1886"/>
      <c r="R31" s="1886"/>
      <c r="S31" s="1886"/>
      <c r="T31" s="1886"/>
    </row>
    <row r="32" spans="1:47" ht="18" customHeight="1" x14ac:dyDescent="0.2">
      <c r="A32" s="1886"/>
      <c r="B32" s="2302" t="s">
        <v>1239</v>
      </c>
      <c r="C32" s="2307"/>
      <c r="D32" s="2375"/>
      <c r="E32" s="2375"/>
      <c r="F32" s="1886"/>
      <c r="G32" s="1886"/>
      <c r="H32" s="1886"/>
      <c r="I32" s="1886"/>
      <c r="J32" s="1886"/>
      <c r="K32" s="1886"/>
      <c r="L32" s="1886"/>
      <c r="M32" s="1886"/>
      <c r="N32" s="1886"/>
      <c r="O32" s="1886"/>
      <c r="P32" s="1886"/>
      <c r="Q32" s="1886"/>
      <c r="R32" s="1886"/>
      <c r="S32" s="1886"/>
      <c r="T32" s="1886"/>
    </row>
    <row r="33" spans="1:20" ht="18" customHeight="1" x14ac:dyDescent="0.2">
      <c r="A33" s="1886"/>
      <c r="B33" s="2376"/>
      <c r="C33" s="2375"/>
      <c r="D33" s="2375"/>
      <c r="E33" s="2375"/>
      <c r="F33" s="1886"/>
      <c r="G33" s="1886"/>
      <c r="H33" s="1886"/>
      <c r="I33" s="1886"/>
      <c r="J33" s="1886"/>
      <c r="K33" s="1886"/>
      <c r="L33" s="1886"/>
      <c r="M33" s="1886"/>
      <c r="N33" s="1886"/>
      <c r="O33" s="1886"/>
      <c r="P33" s="1886"/>
      <c r="Q33" s="1886"/>
      <c r="R33" s="1886"/>
      <c r="S33" s="1886"/>
      <c r="T33" s="1886"/>
    </row>
    <row r="34" spans="1:20" ht="18" customHeight="1" x14ac:dyDescent="0.2">
      <c r="A34" s="1886"/>
      <c r="B34" s="2222" t="str">
        <f>B7</f>
        <v>Resíduos de alimentos</v>
      </c>
      <c r="C34" s="2308">
        <f t="shared" ref="C34:C41" si="5">+C62</f>
        <v>0</v>
      </c>
      <c r="D34" s="2308">
        <f t="shared" ref="D34:D41" si="6">+C71</f>
        <v>0</v>
      </c>
      <c r="E34" s="2308">
        <f t="shared" ref="E34:E41" si="7">+D34+C34</f>
        <v>0</v>
      </c>
      <c r="F34" s="1886"/>
      <c r="G34" s="1886"/>
      <c r="H34" s="1886"/>
      <c r="I34" s="1886"/>
      <c r="J34" s="1886"/>
      <c r="K34" s="1886"/>
      <c r="L34" s="1886"/>
      <c r="M34" s="1886"/>
      <c r="N34" s="1886"/>
      <c r="O34" s="1886"/>
      <c r="P34" s="1886"/>
      <c r="Q34" s="1886"/>
      <c r="R34" s="1886"/>
      <c r="S34" s="1886"/>
      <c r="T34" s="1886"/>
    </row>
    <row r="35" spans="1:20" ht="18" customHeight="1" x14ac:dyDescent="0.2">
      <c r="A35" s="1886"/>
      <c r="B35" s="2222" t="str">
        <f t="shared" ref="B35:B41" si="8">B8</f>
        <v>Resíduos de jardins e parques</v>
      </c>
      <c r="C35" s="2308">
        <f t="shared" si="5"/>
        <v>0</v>
      </c>
      <c r="D35" s="2308">
        <f t="shared" si="6"/>
        <v>0</v>
      </c>
      <c r="E35" s="2308">
        <f t="shared" si="7"/>
        <v>0</v>
      </c>
      <c r="F35" s="1886"/>
      <c r="G35" s="1886"/>
      <c r="H35" s="1886"/>
      <c r="I35" s="1886"/>
      <c r="J35" s="1886"/>
      <c r="K35" s="1886"/>
      <c r="L35" s="1886"/>
      <c r="M35" s="1886"/>
      <c r="N35" s="1886"/>
      <c r="O35" s="1886"/>
      <c r="P35" s="1886"/>
      <c r="Q35" s="1886"/>
      <c r="R35" s="1886"/>
      <c r="S35" s="1886"/>
      <c r="T35" s="1886"/>
    </row>
    <row r="36" spans="1:20" ht="18" customHeight="1" x14ac:dyDescent="0.2">
      <c r="A36" s="1886"/>
      <c r="B36" s="2222" t="str">
        <f t="shared" si="8"/>
        <v>Papel, papelão</v>
      </c>
      <c r="C36" s="2308">
        <f t="shared" si="5"/>
        <v>7999.4112480000003</v>
      </c>
      <c r="D36" s="2308">
        <f t="shared" si="6"/>
        <v>-9859.1469840000009</v>
      </c>
      <c r="E36" s="2308">
        <f t="shared" si="7"/>
        <v>-1859.7357360000005</v>
      </c>
      <c r="F36" s="1886"/>
      <c r="G36" s="1886"/>
      <c r="H36" s="1886"/>
      <c r="I36" s="1886"/>
      <c r="J36" s="1886"/>
      <c r="K36" s="1886"/>
      <c r="L36" s="1886"/>
      <c r="M36" s="1886"/>
      <c r="N36" s="1886"/>
      <c r="O36" s="1886"/>
      <c r="P36" s="1886"/>
      <c r="Q36" s="1886"/>
      <c r="R36" s="1886"/>
      <c r="S36" s="1886"/>
      <c r="T36" s="1886"/>
    </row>
    <row r="37" spans="1:20" ht="18" customHeight="1" x14ac:dyDescent="0.2">
      <c r="A37" s="1886"/>
      <c r="B37" s="2222" t="str">
        <f t="shared" si="8"/>
        <v>Plásticos</v>
      </c>
      <c r="C37" s="2308">
        <f t="shared" si="5"/>
        <v>1777.8420000000001</v>
      </c>
      <c r="D37" s="2308">
        <f t="shared" si="6"/>
        <v>-8281.2747600000002</v>
      </c>
      <c r="E37" s="2308">
        <f t="shared" si="7"/>
        <v>-6503.4327599999997</v>
      </c>
      <c r="F37" s="1886"/>
      <c r="G37" s="1886"/>
      <c r="H37" s="1886"/>
      <c r="I37" s="1886"/>
      <c r="J37" s="1886"/>
      <c r="K37" s="1886"/>
      <c r="L37" s="1886"/>
      <c r="M37" s="1886"/>
      <c r="N37" s="1886"/>
      <c r="O37" s="1886"/>
      <c r="P37" s="1886"/>
      <c r="Q37" s="1886"/>
      <c r="R37" s="1886"/>
      <c r="S37" s="1886"/>
      <c r="T37" s="1886"/>
    </row>
    <row r="38" spans="1:20" ht="18" customHeight="1" x14ac:dyDescent="0.2">
      <c r="A38" s="1886"/>
      <c r="B38" s="2222" t="str">
        <f t="shared" si="8"/>
        <v>Vidros</v>
      </c>
      <c r="C38" s="2308">
        <f t="shared" si="5"/>
        <v>0</v>
      </c>
      <c r="D38" s="2308">
        <f t="shared" si="6"/>
        <v>0</v>
      </c>
      <c r="E38" s="2308">
        <f t="shared" si="7"/>
        <v>0</v>
      </c>
      <c r="F38" s="1886"/>
      <c r="G38" s="1886"/>
      <c r="H38" s="1886"/>
      <c r="I38" s="1886"/>
      <c r="J38" s="1886"/>
      <c r="K38" s="1886"/>
      <c r="L38" s="1886"/>
      <c r="M38" s="1886"/>
      <c r="N38" s="1886"/>
      <c r="O38" s="1886"/>
      <c r="P38" s="1886"/>
      <c r="Q38" s="1886"/>
      <c r="R38" s="1886"/>
      <c r="S38" s="1886"/>
      <c r="T38" s="1886"/>
    </row>
    <row r="39" spans="1:20" ht="18" customHeight="1" x14ac:dyDescent="0.2">
      <c r="A39" s="1886"/>
      <c r="B39" s="2222" t="str">
        <f t="shared" si="8"/>
        <v>Metais ferrosos</v>
      </c>
      <c r="C39" s="2308">
        <f t="shared" si="5"/>
        <v>204.16639999999998</v>
      </c>
      <c r="D39" s="2308">
        <f t="shared" si="6"/>
        <v>-5461.4512000000004</v>
      </c>
      <c r="E39" s="2308">
        <f t="shared" si="7"/>
        <v>-5257.2848000000004</v>
      </c>
      <c r="F39" s="1886"/>
      <c r="G39" s="1886"/>
      <c r="H39" s="1886"/>
      <c r="I39" s="1886"/>
      <c r="J39" s="1886"/>
      <c r="K39" s="1886"/>
      <c r="L39" s="1886"/>
      <c r="M39" s="1886"/>
      <c r="N39" s="1886"/>
      <c r="O39" s="1886"/>
      <c r="P39" s="1886"/>
      <c r="Q39" s="1886"/>
      <c r="R39" s="1886"/>
      <c r="S39" s="1886"/>
      <c r="T39" s="1886"/>
    </row>
    <row r="40" spans="1:20" ht="18" customHeight="1" x14ac:dyDescent="0.2">
      <c r="A40" s="1886"/>
      <c r="B40" s="2222" t="str">
        <f t="shared" si="8"/>
        <v>Alumínio</v>
      </c>
      <c r="C40" s="2308">
        <f t="shared" si="5"/>
        <v>580.04339999999991</v>
      </c>
      <c r="D40" s="2308">
        <f t="shared" si="6"/>
        <v>-8222.1359999999986</v>
      </c>
      <c r="E40" s="2308">
        <f t="shared" si="7"/>
        <v>-7642.092599999999</v>
      </c>
      <c r="F40" s="1886"/>
      <c r="G40" s="1886"/>
      <c r="H40" s="1886"/>
      <c r="I40" s="1886"/>
      <c r="J40" s="1886"/>
      <c r="K40" s="1886"/>
      <c r="L40" s="1886"/>
      <c r="M40" s="1886"/>
      <c r="N40" s="1886"/>
      <c r="O40" s="1886"/>
      <c r="P40" s="1886"/>
      <c r="Q40" s="1886"/>
      <c r="R40" s="1886"/>
      <c r="S40" s="1886"/>
      <c r="T40" s="1886"/>
    </row>
    <row r="41" spans="1:20" ht="18" customHeight="1" x14ac:dyDescent="0.2">
      <c r="A41" s="1886"/>
      <c r="B41" s="2222" t="str">
        <f t="shared" si="8"/>
        <v>Têxteis</v>
      </c>
      <c r="C41" s="2308">
        <f t="shared" si="5"/>
        <v>0</v>
      </c>
      <c r="D41" s="2308">
        <f t="shared" si="6"/>
        <v>0</v>
      </c>
      <c r="E41" s="2308">
        <f t="shared" si="7"/>
        <v>0</v>
      </c>
      <c r="F41" s="1886"/>
      <c r="G41" s="1886"/>
      <c r="H41" s="1886"/>
      <c r="I41" s="1886"/>
      <c r="J41" s="1886"/>
      <c r="K41" s="1886"/>
      <c r="L41" s="1886"/>
      <c r="M41" s="1886"/>
      <c r="N41" s="1886"/>
      <c r="O41" s="1886"/>
      <c r="P41" s="1886"/>
      <c r="Q41" s="1886"/>
      <c r="R41" s="1886"/>
      <c r="S41" s="1886"/>
      <c r="T41" s="1886"/>
    </row>
    <row r="42" spans="1:20" ht="18" customHeight="1" x14ac:dyDescent="0.2">
      <c r="A42" s="1886"/>
      <c r="B42" s="1904"/>
      <c r="C42" s="2304"/>
      <c r="D42" s="2304"/>
      <c r="E42" s="2304"/>
      <c r="F42" s="1886"/>
      <c r="G42" s="1886"/>
      <c r="H42" s="1886"/>
      <c r="I42" s="1886"/>
      <c r="J42" s="1886"/>
      <c r="K42" s="1886"/>
      <c r="L42" s="1886"/>
      <c r="M42" s="1886"/>
      <c r="N42" s="1886"/>
      <c r="O42" s="1886"/>
      <c r="P42" s="1886"/>
      <c r="Q42" s="1886"/>
      <c r="R42" s="1886"/>
      <c r="S42" s="1886"/>
      <c r="T42" s="1886"/>
    </row>
    <row r="43" spans="1:20" ht="18" customHeight="1" x14ac:dyDescent="0.2">
      <c r="A43" s="1886"/>
      <c r="B43" s="1975" t="s">
        <v>1267</v>
      </c>
      <c r="C43" s="2307"/>
      <c r="D43" s="2307"/>
      <c r="E43" s="2307"/>
      <c r="F43" s="1886"/>
      <c r="G43" s="1886"/>
      <c r="H43" s="1886"/>
      <c r="I43" s="1886"/>
      <c r="J43" s="1886"/>
      <c r="K43" s="1886"/>
      <c r="L43" s="1886"/>
      <c r="M43" s="1886"/>
      <c r="N43" s="1886"/>
      <c r="O43" s="1886"/>
      <c r="P43" s="1886"/>
      <c r="Q43" s="1886"/>
      <c r="R43" s="1886"/>
      <c r="S43" s="1886"/>
      <c r="T43" s="1886"/>
    </row>
    <row r="44" spans="1:20" ht="18" customHeight="1" x14ac:dyDescent="0.2">
      <c r="A44" s="1886"/>
      <c r="B44" s="2376"/>
      <c r="C44" s="2307"/>
      <c r="D44" s="2307"/>
      <c r="E44" s="2307"/>
      <c r="F44" s="1886"/>
      <c r="G44" s="1886"/>
      <c r="H44" s="1886"/>
      <c r="I44" s="1886"/>
      <c r="J44" s="1886"/>
      <c r="K44" s="1886"/>
      <c r="L44" s="1886"/>
      <c r="M44" s="1886"/>
      <c r="N44" s="1886"/>
      <c r="O44" s="1886"/>
      <c r="P44" s="1886"/>
      <c r="Q44" s="1886"/>
      <c r="R44" s="1886"/>
      <c r="S44" s="1886"/>
      <c r="T44" s="1886"/>
    </row>
    <row r="45" spans="1:20" ht="18" customHeight="1" x14ac:dyDescent="0.2">
      <c r="A45" s="1886"/>
      <c r="B45" s="2222" t="str">
        <f>B18</f>
        <v>Resíduos dispersos</v>
      </c>
      <c r="C45" s="2308">
        <f t="shared" ref="C45:C53" si="9">+L62</f>
        <v>0</v>
      </c>
      <c r="D45" s="2308">
        <f t="shared" ref="D45:D54" si="10">+L73</f>
        <v>0</v>
      </c>
      <c r="E45" s="2308">
        <f t="shared" ref="E45:E53" si="11">+D45+C45</f>
        <v>0</v>
      </c>
      <c r="F45" s="1886"/>
      <c r="G45" s="1886"/>
      <c r="H45" s="1886"/>
      <c r="I45" s="1886"/>
      <c r="J45" s="1886"/>
      <c r="K45" s="1886"/>
      <c r="L45" s="1886"/>
      <c r="M45" s="1886"/>
      <c r="N45" s="1886"/>
      <c r="O45" s="1886"/>
      <c r="P45" s="1886"/>
      <c r="Q45" s="1886"/>
      <c r="R45" s="1886"/>
      <c r="S45" s="1886"/>
      <c r="T45" s="1886"/>
    </row>
    <row r="46" spans="1:20" ht="18" customHeight="1" x14ac:dyDescent="0.2">
      <c r="A46" s="1886"/>
      <c r="B46" s="2222" t="str">
        <f t="shared" ref="B46:B54" si="12">B19</f>
        <v>Queima a céu aberto</v>
      </c>
      <c r="C46" s="2308">
        <f t="shared" si="9"/>
        <v>0</v>
      </c>
      <c r="D46" s="2308">
        <f t="shared" si="10"/>
        <v>0</v>
      </c>
      <c r="E46" s="2308">
        <f t="shared" si="11"/>
        <v>0</v>
      </c>
      <c r="F46" s="1886"/>
      <c r="G46" s="1886"/>
      <c r="H46" s="1886"/>
      <c r="I46" s="1886"/>
      <c r="J46" s="1886"/>
      <c r="K46" s="1886"/>
      <c r="L46" s="1886"/>
      <c r="M46" s="1886"/>
      <c r="N46" s="1886"/>
      <c r="O46" s="1886"/>
      <c r="P46" s="1886"/>
      <c r="Q46" s="1886"/>
      <c r="R46" s="1886"/>
      <c r="S46" s="1886"/>
      <c r="T46" s="1886"/>
    </row>
    <row r="47" spans="1:20" ht="18" customHeight="1" x14ac:dyDescent="0.2">
      <c r="A47" s="1886"/>
      <c r="B47" s="2222" t="str">
        <f t="shared" si="12"/>
        <v>Lixão não controlado</v>
      </c>
      <c r="C47" s="2308">
        <f t="shared" si="9"/>
        <v>0</v>
      </c>
      <c r="D47" s="2308">
        <f t="shared" si="10"/>
        <v>0</v>
      </c>
      <c r="E47" s="2308">
        <f t="shared" si="11"/>
        <v>0</v>
      </c>
      <c r="F47" s="1886"/>
      <c r="G47" s="1886"/>
      <c r="H47" s="1886"/>
      <c r="I47" s="1886"/>
      <c r="J47" s="1886"/>
      <c r="K47" s="1886"/>
      <c r="L47" s="1886"/>
      <c r="M47" s="1886"/>
      <c r="N47" s="1886"/>
      <c r="O47" s="1886"/>
      <c r="P47" s="1886"/>
      <c r="Q47" s="1886"/>
      <c r="R47" s="1886"/>
      <c r="S47" s="1886"/>
      <c r="T47" s="1886"/>
    </row>
    <row r="48" spans="1:20" ht="18" customHeight="1" x14ac:dyDescent="0.2">
      <c r="A48" s="1886"/>
      <c r="B48" s="2222" t="str">
        <f t="shared" si="12"/>
        <v>Aterro controlado</v>
      </c>
      <c r="C48" s="2308">
        <f t="shared" si="9"/>
        <v>26461.27246280506</v>
      </c>
      <c r="D48" s="2308">
        <f t="shared" si="10"/>
        <v>0</v>
      </c>
      <c r="E48" s="2308">
        <f t="shared" si="11"/>
        <v>26461.27246280506</v>
      </c>
      <c r="F48" s="1886"/>
      <c r="G48" s="1886"/>
      <c r="H48" s="1886"/>
      <c r="I48" s="1886"/>
      <c r="J48" s="1886"/>
      <c r="K48" s="1886"/>
      <c r="L48" s="1886"/>
      <c r="M48" s="1886"/>
      <c r="N48" s="1886"/>
      <c r="O48" s="1886"/>
      <c r="P48" s="1886"/>
      <c r="Q48" s="1886"/>
      <c r="R48" s="1886"/>
      <c r="S48" s="1886"/>
      <c r="T48" s="1886"/>
    </row>
    <row r="49" spans="1:20" ht="18" customHeight="1" x14ac:dyDescent="0.2">
      <c r="A49" s="1886"/>
      <c r="B49" s="2222" t="str">
        <f t="shared" si="12"/>
        <v>Aterro sanitário</v>
      </c>
      <c r="C49" s="2308">
        <f t="shared" si="9"/>
        <v>0</v>
      </c>
      <c r="D49" s="2308">
        <f t="shared" si="10"/>
        <v>0</v>
      </c>
      <c r="E49" s="2308">
        <f t="shared" si="11"/>
        <v>0</v>
      </c>
      <c r="F49" s="1886"/>
      <c r="G49" s="1886"/>
      <c r="H49" s="1886"/>
      <c r="I49" s="1886"/>
      <c r="J49" s="1886"/>
      <c r="K49" s="1886"/>
      <c r="L49" s="1886"/>
      <c r="M49" s="1886"/>
      <c r="N49" s="1886"/>
      <c r="O49" s="1886"/>
      <c r="P49" s="1886"/>
      <c r="Q49" s="1886"/>
      <c r="R49" s="1886"/>
      <c r="S49" s="1886"/>
      <c r="T49" s="1886"/>
    </row>
    <row r="50" spans="1:20" ht="18" customHeight="1" x14ac:dyDescent="0.2">
      <c r="A50" s="1886"/>
      <c r="B50" s="2222" t="str">
        <f t="shared" si="12"/>
        <v>Trat. biol + cobertura at.</v>
      </c>
      <c r="C50" s="2308">
        <f t="shared" si="9"/>
        <v>0</v>
      </c>
      <c r="D50" s="2308">
        <f t="shared" si="10"/>
        <v>0</v>
      </c>
      <c r="E50" s="2308">
        <f t="shared" si="11"/>
        <v>0</v>
      </c>
      <c r="F50" s="1886"/>
      <c r="G50" s="1886"/>
      <c r="H50" s="1886"/>
      <c r="I50" s="1886"/>
      <c r="J50" s="1886"/>
      <c r="K50" s="1886"/>
      <c r="L50" s="1886"/>
      <c r="M50" s="1886"/>
      <c r="N50" s="1886"/>
      <c r="O50" s="1886"/>
      <c r="P50" s="1886"/>
      <c r="Q50" s="1886"/>
      <c r="R50" s="1886"/>
      <c r="S50" s="1886"/>
      <c r="T50" s="1886"/>
    </row>
    <row r="51" spans="1:20" ht="18" customHeight="1" x14ac:dyDescent="0.2">
      <c r="A51" s="1886"/>
      <c r="B51" s="2222" t="str">
        <f t="shared" si="12"/>
        <v>CDR seco + rejeito aterro</v>
      </c>
      <c r="C51" s="2308">
        <f t="shared" si="9"/>
        <v>0</v>
      </c>
      <c r="D51" s="2308">
        <f t="shared" si="10"/>
        <v>0</v>
      </c>
      <c r="E51" s="2308">
        <f t="shared" si="11"/>
        <v>0</v>
      </c>
      <c r="F51" s="1886"/>
      <c r="G51" s="2277"/>
      <c r="H51" s="2278"/>
      <c r="I51" s="2278"/>
      <c r="J51" s="2278"/>
      <c r="K51" s="1886"/>
      <c r="L51" s="1886"/>
      <c r="M51" s="1886"/>
      <c r="N51" s="1886"/>
      <c r="O51" s="1886"/>
      <c r="P51" s="1886"/>
      <c r="Q51" s="1886"/>
      <c r="R51" s="1886"/>
      <c r="S51" s="1886"/>
      <c r="T51" s="1886"/>
    </row>
    <row r="52" spans="1:20" ht="18" customHeight="1" x14ac:dyDescent="0.2">
      <c r="A52" s="1886"/>
      <c r="B52" s="2222" t="str">
        <f t="shared" si="12"/>
        <v>CDR seco + trat. biol.</v>
      </c>
      <c r="C52" s="2308">
        <f t="shared" si="9"/>
        <v>0</v>
      </c>
      <c r="D52" s="2308">
        <f t="shared" si="10"/>
        <v>0</v>
      </c>
      <c r="E52" s="2308">
        <f t="shared" si="11"/>
        <v>0</v>
      </c>
      <c r="F52" s="1886"/>
      <c r="G52" s="2382"/>
      <c r="H52" s="2266" t="s">
        <v>1255</v>
      </c>
      <c r="I52" s="2266" t="s">
        <v>1270</v>
      </c>
      <c r="J52" s="2266" t="s">
        <v>1256</v>
      </c>
      <c r="K52" s="1886"/>
      <c r="L52" s="1886"/>
      <c r="M52" s="1886"/>
      <c r="N52" s="1886"/>
      <c r="O52" s="1886"/>
      <c r="P52" s="1886"/>
      <c r="Q52" s="1886"/>
      <c r="R52" s="1886"/>
      <c r="S52" s="1886"/>
      <c r="T52" s="1886"/>
    </row>
    <row r="53" spans="1:20" ht="18" customHeight="1" x14ac:dyDescent="0.2">
      <c r="A53" s="1886"/>
      <c r="B53" s="2222" t="str">
        <f t="shared" si="12"/>
        <v>CDR seco + CDR org.</v>
      </c>
      <c r="C53" s="2308">
        <f t="shared" si="9"/>
        <v>0</v>
      </c>
      <c r="D53" s="2308">
        <f t="shared" si="10"/>
        <v>0</v>
      </c>
      <c r="E53" s="2308">
        <f t="shared" si="11"/>
        <v>0</v>
      </c>
      <c r="F53" s="1886"/>
      <c r="G53" s="1963" t="s">
        <v>1257</v>
      </c>
      <c r="H53" s="2295">
        <f>SUM(C34:C41)</f>
        <v>10561.463048000001</v>
      </c>
      <c r="I53" s="2295">
        <f>SUM(C45:C54)</f>
        <v>65989.517947731059</v>
      </c>
      <c r="J53" s="2295">
        <f>+I53+H53</f>
        <v>76550.980995731064</v>
      </c>
      <c r="K53" s="1886"/>
      <c r="L53" s="1886"/>
      <c r="M53" s="1886"/>
      <c r="N53" s="1886"/>
      <c r="O53" s="1886"/>
      <c r="P53" s="1886"/>
      <c r="Q53" s="1886"/>
      <c r="R53" s="1886"/>
      <c r="S53" s="1886"/>
      <c r="T53" s="1886"/>
    </row>
    <row r="54" spans="1:20" ht="18" customHeight="1" x14ac:dyDescent="0.2">
      <c r="A54" s="1886"/>
      <c r="B54" s="2222" t="str">
        <f t="shared" si="12"/>
        <v>Incineração</v>
      </c>
      <c r="C54" s="2308">
        <f>+L71</f>
        <v>39528.245484926003</v>
      </c>
      <c r="D54" s="2308">
        <f t="shared" si="10"/>
        <v>-2810.5079200893747</v>
      </c>
      <c r="E54" s="2308">
        <f>+D54+C54</f>
        <v>36717.737564836629</v>
      </c>
      <c r="F54" s="1886"/>
      <c r="G54" s="1963" t="s">
        <v>1258</v>
      </c>
      <c r="H54" s="2295">
        <f>SUM(D34:D41)</f>
        <v>-31824.008943999997</v>
      </c>
      <c r="I54" s="2295">
        <f>SUM(D45:D54)</f>
        <v>-2810.5079200893747</v>
      </c>
      <c r="J54" s="2295">
        <f>+I54+H54</f>
        <v>-34634.516864089375</v>
      </c>
      <c r="K54" s="1886"/>
      <c r="L54" s="1886"/>
      <c r="M54" s="1886"/>
      <c r="N54" s="1886"/>
      <c r="O54" s="1886"/>
      <c r="P54" s="1886"/>
      <c r="Q54" s="1886"/>
      <c r="R54" s="1886"/>
      <c r="S54" s="1886"/>
      <c r="T54" s="1886"/>
    </row>
    <row r="55" spans="1:20" ht="18" customHeight="1" x14ac:dyDescent="0.2">
      <c r="A55" s="1886"/>
      <c r="B55" s="1904"/>
      <c r="C55" s="2304"/>
      <c r="D55" s="2304"/>
      <c r="E55" s="2304"/>
      <c r="F55" s="1886"/>
      <c r="G55" s="1963" t="s">
        <v>1259</v>
      </c>
      <c r="H55" s="2295">
        <f>+H53+H54</f>
        <v>-21262.545895999996</v>
      </c>
      <c r="I55" s="2295">
        <f>+I53+I54</f>
        <v>63179.010027641685</v>
      </c>
      <c r="J55" s="2295">
        <f>+I55+H55</f>
        <v>41916.464131641689</v>
      </c>
      <c r="K55" s="1886"/>
      <c r="L55" s="1886"/>
      <c r="M55" s="1886"/>
      <c r="N55" s="1886"/>
      <c r="O55" s="1886"/>
      <c r="P55" s="1886"/>
      <c r="Q55" s="1886"/>
      <c r="R55" s="1886"/>
      <c r="S55" s="1886"/>
      <c r="T55" s="1886"/>
    </row>
    <row r="56" spans="1:20" ht="18" customHeight="1" x14ac:dyDescent="0.2">
      <c r="A56" s="1886"/>
      <c r="B56" s="1975" t="s">
        <v>52</v>
      </c>
      <c r="C56" s="2328">
        <f>SUM(C34:C54)</f>
        <v>76550.980995731064</v>
      </c>
      <c r="D56" s="2328">
        <f>SUM(D34:D54)</f>
        <v>-34634.516864089375</v>
      </c>
      <c r="E56" s="2328">
        <f>+D56+C56</f>
        <v>41916.464131641689</v>
      </c>
      <c r="F56" s="1886"/>
      <c r="G56" s="2277"/>
      <c r="H56" s="2286"/>
      <c r="I56" s="2286"/>
      <c r="J56" s="2286"/>
      <c r="K56" s="1886"/>
      <c r="L56" s="1886"/>
      <c r="M56" s="1886"/>
      <c r="N56" s="1886"/>
      <c r="O56" s="1886"/>
      <c r="P56" s="1886"/>
      <c r="Q56" s="1886"/>
      <c r="R56" s="1886"/>
      <c r="S56" s="1886"/>
      <c r="T56" s="1886"/>
    </row>
    <row r="57" spans="1:20"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20"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20" s="2225" customFormat="1" ht="26.1" customHeight="1" x14ac:dyDescent="0.2">
      <c r="A59" s="2287" t="s">
        <v>1260</v>
      </c>
      <c r="B59" s="1981"/>
      <c r="C59" s="2326"/>
      <c r="D59" s="2326"/>
      <c r="E59" s="2326"/>
      <c r="F59" s="2224"/>
      <c r="G59" s="1981"/>
      <c r="H59" s="1981"/>
      <c r="I59" s="1981"/>
      <c r="J59" s="1981"/>
      <c r="K59" s="1908" t="s">
        <v>1261</v>
      </c>
      <c r="L59" s="1981"/>
      <c r="M59" s="1981"/>
      <c r="N59" s="1981"/>
      <c r="O59" s="1981"/>
      <c r="P59" s="1981"/>
      <c r="Q59" s="1981"/>
      <c r="R59" s="1981"/>
      <c r="S59" s="1981"/>
      <c r="T59" s="1981"/>
    </row>
    <row r="60" spans="1:20"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20" ht="18" customHeight="1" x14ac:dyDescent="0.2">
      <c r="A61" s="1886"/>
      <c r="B61" s="2405"/>
      <c r="C61" s="2302" t="s">
        <v>1239</v>
      </c>
      <c r="D61" s="2075" t="s">
        <v>1259</v>
      </c>
      <c r="E61" s="1886"/>
      <c r="F61" s="1886"/>
      <c r="G61" s="1886"/>
      <c r="H61" s="1886"/>
      <c r="I61" s="1886"/>
      <c r="J61" s="2406"/>
      <c r="K61" s="2407"/>
      <c r="L61" s="2075" t="s">
        <v>1267</v>
      </c>
      <c r="M61" s="2075" t="s">
        <v>1259</v>
      </c>
      <c r="N61" s="1886"/>
      <c r="O61" s="1886"/>
      <c r="P61" s="1886"/>
      <c r="Q61" s="1886"/>
      <c r="R61" s="1886"/>
      <c r="S61" s="1886"/>
      <c r="T61" s="1886"/>
    </row>
    <row r="62" spans="1:20" ht="18" customHeight="1" x14ac:dyDescent="0.2">
      <c r="A62" s="1886"/>
      <c r="B62" s="2299" t="str">
        <f>+'CO2 - Cálculos'!AC16</f>
        <v>Resíduos de alimentos</v>
      </c>
      <c r="C62" s="2308">
        <f>+'CO2 - Cálculos'!AK16</f>
        <v>0</v>
      </c>
      <c r="D62" s="2375"/>
      <c r="E62" s="1886"/>
      <c r="F62" s="1886"/>
      <c r="G62" s="1886"/>
      <c r="H62" s="1886"/>
      <c r="I62" s="1886"/>
      <c r="J62" s="2406"/>
      <c r="K62" s="2408" t="str">
        <f>+'CO2 - Cálculos'!AC61</f>
        <v>Resíduos dispersos</v>
      </c>
      <c r="L62" s="2409">
        <f>+'CO2 - Cálculos'!AK61</f>
        <v>0</v>
      </c>
      <c r="M62" s="2376"/>
      <c r="N62" s="1886"/>
      <c r="O62" s="1886"/>
      <c r="P62" s="1886"/>
      <c r="Q62" s="1886"/>
      <c r="R62" s="1886"/>
      <c r="S62" s="1886"/>
      <c r="T62" s="1886"/>
    </row>
    <row r="63" spans="1:20" ht="18" customHeight="1" x14ac:dyDescent="0.2">
      <c r="A63" s="1886"/>
      <c r="B63" s="2299" t="str">
        <f>+'CO2 - Cálculos'!AC17</f>
        <v>Resíduos de jardins e parques</v>
      </c>
      <c r="C63" s="2308">
        <f>+'CO2 - Cálculos'!AK17</f>
        <v>0</v>
      </c>
      <c r="D63" s="2375"/>
      <c r="E63" s="1886"/>
      <c r="F63" s="1886"/>
      <c r="G63" s="1886"/>
      <c r="H63" s="1886"/>
      <c r="I63" s="1886"/>
      <c r="J63" s="2406"/>
      <c r="K63" s="2408" t="str">
        <f>+'CO2 - Cálculos'!AC62</f>
        <v>Queima a céu aberto</v>
      </c>
      <c r="L63" s="2409">
        <f>+'CO2 - Cálculos'!AK62</f>
        <v>0</v>
      </c>
      <c r="M63" s="2376"/>
      <c r="N63" s="1886"/>
      <c r="O63" s="1886"/>
      <c r="P63" s="1886"/>
      <c r="Q63" s="1886"/>
      <c r="R63" s="1886"/>
      <c r="S63" s="1886"/>
      <c r="T63" s="1886"/>
    </row>
    <row r="64" spans="1:20" ht="18" customHeight="1" x14ac:dyDescent="0.2">
      <c r="A64" s="1886"/>
      <c r="B64" s="2299" t="str">
        <f>+'CO2 - Cálculos'!AC18</f>
        <v>Papel, papelão</v>
      </c>
      <c r="C64" s="2308">
        <f>+'CO2 - Cálculos'!AK18</f>
        <v>7999.4112480000003</v>
      </c>
      <c r="D64" s="2375"/>
      <c r="E64" s="1886"/>
      <c r="F64" s="1886"/>
      <c r="G64" s="1886"/>
      <c r="H64" s="1886"/>
      <c r="I64" s="1886"/>
      <c r="J64" s="2406"/>
      <c r="K64" s="2408" t="str">
        <f>+'CO2 - Cálculos'!AC63</f>
        <v>Lixão não controlado</v>
      </c>
      <c r="L64" s="2409">
        <f>+'CO2 - Cálculos'!AK63</f>
        <v>0</v>
      </c>
      <c r="M64" s="2376"/>
      <c r="N64" s="1886"/>
      <c r="O64" s="1886"/>
      <c r="P64" s="1886"/>
      <c r="Q64" s="1886"/>
      <c r="R64" s="1886"/>
      <c r="S64" s="1886"/>
      <c r="T64" s="1886"/>
    </row>
    <row r="65" spans="1:20" ht="18" customHeight="1" x14ac:dyDescent="0.2">
      <c r="A65" s="1886"/>
      <c r="B65" s="2299" t="str">
        <f>+'CO2 - Cálculos'!AC19</f>
        <v>Plásticos</v>
      </c>
      <c r="C65" s="2308">
        <f>+'CO2 - Cálculos'!AK19</f>
        <v>1777.8420000000001</v>
      </c>
      <c r="D65" s="2375"/>
      <c r="E65" s="1886"/>
      <c r="F65" s="1886"/>
      <c r="G65" s="1886"/>
      <c r="H65" s="1886"/>
      <c r="I65" s="1886"/>
      <c r="J65" s="2406"/>
      <c r="K65" s="2408" t="str">
        <f>+'CO2 - Cálculos'!AC64</f>
        <v>Aterro controlado</v>
      </c>
      <c r="L65" s="2409">
        <f>+'CO2 - Cálculos'!AK64</f>
        <v>26461.27246280506</v>
      </c>
      <c r="M65" s="2376"/>
      <c r="N65" s="1886"/>
      <c r="O65" s="1886"/>
      <c r="P65" s="1886"/>
      <c r="Q65" s="1886"/>
      <c r="R65" s="1886"/>
      <c r="S65" s="1886"/>
      <c r="T65" s="1886"/>
    </row>
    <row r="66" spans="1:20" ht="18" customHeight="1" x14ac:dyDescent="0.2">
      <c r="A66" s="1886"/>
      <c r="B66" s="2299" t="str">
        <f>+'CO2 - Cálculos'!AC20</f>
        <v>Vidros</v>
      </c>
      <c r="C66" s="2308">
        <f>+'CO2 - Cálculos'!AK20</f>
        <v>0</v>
      </c>
      <c r="D66" s="2375"/>
      <c r="E66" s="1886"/>
      <c r="F66" s="1886"/>
      <c r="G66" s="1886"/>
      <c r="H66" s="1886"/>
      <c r="I66" s="1886"/>
      <c r="J66" s="2406"/>
      <c r="K66" s="2408" t="str">
        <f>+'CO2 - Cálculos'!AC65</f>
        <v>Aterro sanitário</v>
      </c>
      <c r="L66" s="2409">
        <f>+'CO2 - Cálculos'!AK65</f>
        <v>0</v>
      </c>
      <c r="M66" s="2376"/>
      <c r="N66" s="1886"/>
      <c r="O66" s="1886"/>
      <c r="P66" s="1886"/>
      <c r="Q66" s="1886"/>
      <c r="R66" s="1886"/>
      <c r="S66" s="1886"/>
      <c r="T66" s="1886"/>
    </row>
    <row r="67" spans="1:20" ht="18" customHeight="1" x14ac:dyDescent="0.2">
      <c r="A67" s="1886"/>
      <c r="B67" s="2299" t="str">
        <f>+'CO2 - Cálculos'!AC21</f>
        <v>Metais ferrosos</v>
      </c>
      <c r="C67" s="2308">
        <f>+'CO2 - Cálculos'!AK21</f>
        <v>204.16639999999998</v>
      </c>
      <c r="D67" s="2375"/>
      <c r="E67" s="1886"/>
      <c r="F67" s="1886"/>
      <c r="G67" s="1886"/>
      <c r="H67" s="1886"/>
      <c r="I67" s="1886"/>
      <c r="J67" s="2410"/>
      <c r="K67" s="2408" t="str">
        <f>+'CO2 - Cálculos'!AC66</f>
        <v>Trat. biol + cobertura at.</v>
      </c>
      <c r="L67" s="2409">
        <f>+'CO2 - Cálculos'!AK66</f>
        <v>0</v>
      </c>
      <c r="M67" s="2376"/>
      <c r="N67" s="1886"/>
      <c r="O67" s="1886"/>
      <c r="P67" s="1886"/>
      <c r="Q67" s="1886"/>
      <c r="R67" s="1886"/>
      <c r="S67" s="1886"/>
      <c r="T67" s="1886"/>
    </row>
    <row r="68" spans="1:20" ht="18" customHeight="1" x14ac:dyDescent="0.2">
      <c r="A68" s="1886"/>
      <c r="B68" s="2299" t="str">
        <f>+'CO2 - Cálculos'!AC22</f>
        <v>Alumínio</v>
      </c>
      <c r="C68" s="2308">
        <f>+'CO2 - Cálculos'!AK22</f>
        <v>580.04339999999991</v>
      </c>
      <c r="D68" s="2375"/>
      <c r="E68" s="1886"/>
      <c r="F68" s="1886"/>
      <c r="G68" s="1886"/>
      <c r="H68" s="1886"/>
      <c r="I68" s="1886"/>
      <c r="J68" s="2410"/>
      <c r="K68" s="2408" t="str">
        <f>+'CO2 - Cálculos'!AC67</f>
        <v>CDR seco + rejeito aterro</v>
      </c>
      <c r="L68" s="2409">
        <f>+'CO2 - Cálculos'!AK67</f>
        <v>0</v>
      </c>
      <c r="M68" s="2376"/>
      <c r="N68" s="1886"/>
      <c r="O68" s="1886"/>
      <c r="P68" s="1886"/>
      <c r="Q68" s="1886"/>
      <c r="R68" s="1886"/>
      <c r="S68" s="1886"/>
      <c r="T68" s="1886"/>
    </row>
    <row r="69" spans="1:20" ht="18" customHeight="1" x14ac:dyDescent="0.2">
      <c r="A69" s="2230"/>
      <c r="B69" s="2299" t="str">
        <f>+'CO2 - Cálculos'!AC23</f>
        <v>Têxteis</v>
      </c>
      <c r="C69" s="2308">
        <f>+'CO2 - Cálculos'!AK23</f>
        <v>0</v>
      </c>
      <c r="D69" s="2375"/>
      <c r="E69" s="1886"/>
      <c r="F69" s="1886"/>
      <c r="G69" s="1886"/>
      <c r="H69" s="1886"/>
      <c r="I69" s="1886"/>
      <c r="J69" s="2410"/>
      <c r="K69" s="2408" t="str">
        <f>+'CO2 - Cálculos'!AC68</f>
        <v>CDR seco + trat. biol.</v>
      </c>
      <c r="L69" s="2409">
        <f>+'CO2 - Cálculos'!AK68</f>
        <v>0</v>
      </c>
      <c r="M69" s="2376"/>
      <c r="N69" s="1886"/>
      <c r="O69" s="1886"/>
      <c r="P69" s="1886"/>
      <c r="Q69" s="1886"/>
      <c r="R69" s="1886"/>
      <c r="S69" s="1886"/>
      <c r="T69" s="1886"/>
    </row>
    <row r="70" spans="1:20" ht="18" customHeight="1" x14ac:dyDescent="0.2">
      <c r="A70" s="1886"/>
      <c r="B70" s="2361" t="s">
        <v>1257</v>
      </c>
      <c r="C70" s="2375"/>
      <c r="D70" s="2307"/>
      <c r="E70" s="1886"/>
      <c r="F70" s="1886"/>
      <c r="G70" s="1886"/>
      <c r="H70" s="1886"/>
      <c r="I70" s="1886"/>
      <c r="J70" s="2406"/>
      <c r="K70" s="2408" t="str">
        <f>+'CO2 - Cálculos'!AC69</f>
        <v>CDR seco + CDR org.</v>
      </c>
      <c r="L70" s="2409">
        <f>+'CO2 - Cálculos'!AK69</f>
        <v>0</v>
      </c>
      <c r="M70" s="2376"/>
      <c r="N70" s="1886"/>
      <c r="O70" s="1886"/>
      <c r="P70" s="1886"/>
      <c r="Q70" s="1886"/>
      <c r="R70" s="1886"/>
      <c r="S70" s="1886"/>
      <c r="T70" s="1886"/>
    </row>
    <row r="71" spans="1:20" ht="18" customHeight="1" x14ac:dyDescent="0.2">
      <c r="A71" s="1886"/>
      <c r="B71" s="2296" t="str">
        <f>+'CO2 - Cálculos'!AC25</f>
        <v>Resíduos de alimentos</v>
      </c>
      <c r="C71" s="2308">
        <f>+'CO2 - Cálculos'!AK25</f>
        <v>0</v>
      </c>
      <c r="D71" s="2375"/>
      <c r="E71" s="1886"/>
      <c r="F71" s="1886"/>
      <c r="G71" s="1886"/>
      <c r="H71" s="1886"/>
      <c r="I71" s="1886"/>
      <c r="J71" s="2406"/>
      <c r="K71" s="2408" t="str">
        <f>+'CO2 - Cálculos'!AC70</f>
        <v>Incineração</v>
      </c>
      <c r="L71" s="2409">
        <f>+'CO2 - Cálculos'!AK70</f>
        <v>39528.245484926003</v>
      </c>
      <c r="M71" s="2376"/>
      <c r="N71" s="1886"/>
      <c r="O71" s="1886"/>
      <c r="P71" s="1886"/>
      <c r="Q71" s="1886"/>
      <c r="R71" s="1886"/>
      <c r="S71" s="1886"/>
      <c r="T71" s="1886"/>
    </row>
    <row r="72" spans="1:20" ht="18" customHeight="1" x14ac:dyDescent="0.2">
      <c r="A72" s="1886"/>
      <c r="B72" s="2296" t="str">
        <f>+'CO2 - Cálculos'!AC26</f>
        <v>Resíduos de jardins e parques</v>
      </c>
      <c r="C72" s="2308">
        <f>+'CO2 - Cálculos'!AK26</f>
        <v>0</v>
      </c>
      <c r="D72" s="2375"/>
      <c r="E72" s="1886"/>
      <c r="F72" s="1886"/>
      <c r="G72" s="1886"/>
      <c r="H72" s="1886"/>
      <c r="I72" s="1886"/>
      <c r="J72" s="2406"/>
      <c r="K72" s="2411" t="s">
        <v>1257</v>
      </c>
      <c r="L72" s="2376"/>
      <c r="M72" s="2376"/>
      <c r="N72" s="1886"/>
      <c r="O72" s="1886"/>
      <c r="P72" s="1886"/>
      <c r="Q72" s="1886"/>
      <c r="R72" s="1886"/>
      <c r="S72" s="1886"/>
      <c r="T72" s="1886"/>
    </row>
    <row r="73" spans="1:20" ht="18" customHeight="1" x14ac:dyDescent="0.2">
      <c r="A73" s="1886"/>
      <c r="B73" s="2296" t="str">
        <f>+'CO2 - Cálculos'!AC27</f>
        <v>Papel, papelão</v>
      </c>
      <c r="C73" s="2308">
        <f>+'CO2 - Cálculos'!AK27</f>
        <v>-9859.1469840000009</v>
      </c>
      <c r="D73" s="2375"/>
      <c r="E73" s="1886"/>
      <c r="F73" s="1886"/>
      <c r="G73" s="1886"/>
      <c r="H73" s="1886"/>
      <c r="I73" s="1886"/>
      <c r="J73" s="2406"/>
      <c r="K73" s="2408" t="str">
        <f>+'CO2 - Cálculos'!AC72</f>
        <v>Resíduos dispersos</v>
      </c>
      <c r="L73" s="2412">
        <f>+'CO2 - Cálculos'!AK72</f>
        <v>0</v>
      </c>
      <c r="M73" s="2376"/>
      <c r="N73" s="1886"/>
      <c r="O73" s="1886"/>
      <c r="P73" s="1886"/>
      <c r="Q73" s="1886"/>
      <c r="R73" s="1886"/>
      <c r="S73" s="1886"/>
      <c r="T73" s="1886"/>
    </row>
    <row r="74" spans="1:20" ht="18" customHeight="1" x14ac:dyDescent="0.2">
      <c r="A74" s="1886"/>
      <c r="B74" s="2296" t="str">
        <f>+'CO2 - Cálculos'!AC28</f>
        <v>Plásticos</v>
      </c>
      <c r="C74" s="2308">
        <f>+'CO2 - Cálculos'!AK28</f>
        <v>-8281.2747600000002</v>
      </c>
      <c r="D74" s="2375"/>
      <c r="E74" s="1886"/>
      <c r="F74" s="1886"/>
      <c r="G74" s="1886"/>
      <c r="H74" s="1886"/>
      <c r="I74" s="1886"/>
      <c r="J74" s="2406"/>
      <c r="K74" s="2408" t="str">
        <f>+'CO2 - Cálculos'!AC73</f>
        <v>Queima a céu aberto</v>
      </c>
      <c r="L74" s="2412">
        <f>+'CO2 - Cálculos'!AK73</f>
        <v>0</v>
      </c>
      <c r="M74" s="2376"/>
      <c r="N74" s="1886"/>
      <c r="O74" s="1886"/>
      <c r="P74" s="1886"/>
      <c r="Q74" s="1886"/>
      <c r="R74" s="1886"/>
      <c r="S74" s="1886"/>
      <c r="T74" s="1886"/>
    </row>
    <row r="75" spans="1:20" ht="18" customHeight="1" x14ac:dyDescent="0.2">
      <c r="A75" s="1886"/>
      <c r="B75" s="2296" t="str">
        <f>+'CO2 - Cálculos'!AC29</f>
        <v>Vidros</v>
      </c>
      <c r="C75" s="2308">
        <f>+'CO2 - Cálculos'!AK29</f>
        <v>0</v>
      </c>
      <c r="D75" s="2375"/>
      <c r="E75" s="1886"/>
      <c r="F75" s="1886"/>
      <c r="G75" s="1886"/>
      <c r="H75" s="1886"/>
      <c r="I75" s="1886"/>
      <c r="J75" s="2406"/>
      <c r="K75" s="2408" t="str">
        <f>+'CO2 - Cálculos'!AC74</f>
        <v>Lixão não controlado</v>
      </c>
      <c r="L75" s="2412">
        <f>+'CO2 - Cálculos'!AK74</f>
        <v>0</v>
      </c>
      <c r="M75" s="2376"/>
      <c r="N75" s="1886"/>
      <c r="O75" s="1886"/>
      <c r="P75" s="1886"/>
      <c r="Q75" s="1886"/>
      <c r="R75" s="1886"/>
      <c r="S75" s="1886"/>
      <c r="T75" s="1886"/>
    </row>
    <row r="76" spans="1:20" ht="18" customHeight="1" x14ac:dyDescent="0.2">
      <c r="A76" s="1886"/>
      <c r="B76" s="2296" t="str">
        <f>+'CO2 - Cálculos'!AC30</f>
        <v>Metais ferrosos</v>
      </c>
      <c r="C76" s="2308">
        <f>+'CO2 - Cálculos'!AK30</f>
        <v>-5461.4512000000004</v>
      </c>
      <c r="D76" s="2375"/>
      <c r="E76" s="1886"/>
      <c r="F76" s="1886"/>
      <c r="G76" s="1886"/>
      <c r="H76" s="1886"/>
      <c r="I76" s="1886"/>
      <c r="J76" s="2406"/>
      <c r="K76" s="2408" t="str">
        <f>+'CO2 - Cálculos'!AC75</f>
        <v>Aterro controlado</v>
      </c>
      <c r="L76" s="2412">
        <f>+'CO2 - Cálculos'!AK75</f>
        <v>0</v>
      </c>
      <c r="M76" s="2376"/>
      <c r="N76" s="1886"/>
      <c r="O76" s="1886"/>
      <c r="P76" s="1886"/>
      <c r="Q76" s="1886"/>
      <c r="R76" s="1886"/>
      <c r="S76" s="1886"/>
      <c r="T76" s="1886"/>
    </row>
    <row r="77" spans="1:20" ht="18" customHeight="1" x14ac:dyDescent="0.2">
      <c r="A77" s="1886"/>
      <c r="B77" s="2296" t="str">
        <f>+'CO2 - Cálculos'!AC31</f>
        <v>Alumínio</v>
      </c>
      <c r="C77" s="2308">
        <f>+'CO2 - Cálculos'!AK31</f>
        <v>-8222.1359999999986</v>
      </c>
      <c r="D77" s="2375"/>
      <c r="E77" s="1886"/>
      <c r="F77" s="1886"/>
      <c r="G77" s="1886"/>
      <c r="H77" s="1886"/>
      <c r="I77" s="1886"/>
      <c r="J77" s="2410"/>
      <c r="K77" s="2408" t="str">
        <f>+'CO2 - Cálculos'!AC76</f>
        <v>Aterro sanitário</v>
      </c>
      <c r="L77" s="2412">
        <f>+'CO2 - Cálculos'!AK76</f>
        <v>0</v>
      </c>
      <c r="M77" s="2376"/>
      <c r="N77" s="1886"/>
      <c r="O77" s="1886"/>
      <c r="P77" s="1886"/>
      <c r="Q77" s="1886"/>
      <c r="R77" s="1886"/>
      <c r="S77" s="1886"/>
      <c r="T77" s="1886"/>
    </row>
    <row r="78" spans="1:20" ht="18" customHeight="1" x14ac:dyDescent="0.2">
      <c r="A78" s="1886"/>
      <c r="B78" s="2296" t="str">
        <f>+'CO2 - Cálculos'!AC32</f>
        <v>Têxteis</v>
      </c>
      <c r="C78" s="2308">
        <f>+'CO2 - Cálculos'!AK32</f>
        <v>0</v>
      </c>
      <c r="D78" s="2375"/>
      <c r="E78" s="1886"/>
      <c r="F78" s="1886"/>
      <c r="G78" s="1886"/>
      <c r="H78" s="1886"/>
      <c r="I78" s="1886"/>
      <c r="J78" s="2410"/>
      <c r="K78" s="2408" t="str">
        <f>+'CO2 - Cálculos'!AC77</f>
        <v>Trat. biol + cobertura at.</v>
      </c>
      <c r="L78" s="2412">
        <f>+'CO2 - Cálculos'!AK77</f>
        <v>0</v>
      </c>
      <c r="M78" s="2376"/>
      <c r="N78" s="1886"/>
      <c r="O78" s="1886"/>
      <c r="P78" s="1886"/>
      <c r="Q78" s="1886"/>
      <c r="R78" s="1886"/>
      <c r="S78" s="1886"/>
      <c r="T78" s="1886"/>
    </row>
    <row r="79" spans="1:20" ht="18" customHeight="1" x14ac:dyDescent="0.2">
      <c r="A79" s="1886"/>
      <c r="B79" s="2361" t="s">
        <v>1258</v>
      </c>
      <c r="C79" s="2375"/>
      <c r="D79" s="2307"/>
      <c r="E79" s="1886"/>
      <c r="F79" s="1886"/>
      <c r="G79" s="1886"/>
      <c r="H79" s="1886"/>
      <c r="I79" s="1886"/>
      <c r="J79" s="2410"/>
      <c r="K79" s="2408" t="str">
        <f>+'CO2 - Cálculos'!AC78</f>
        <v>CDR seco + rejeito aterro</v>
      </c>
      <c r="L79" s="2412">
        <f>+'CO2 - Cálculos'!AK78</f>
        <v>0</v>
      </c>
      <c r="M79" s="2376"/>
      <c r="N79" s="1886"/>
      <c r="O79" s="1886"/>
      <c r="P79" s="1886"/>
      <c r="Q79" s="1886"/>
      <c r="R79" s="1886"/>
      <c r="S79" s="1886"/>
      <c r="T79" s="1886"/>
    </row>
    <row r="80" spans="1:20" ht="18" customHeight="1" x14ac:dyDescent="0.2">
      <c r="A80" s="1886"/>
      <c r="B80" s="2361" t="s">
        <v>1259</v>
      </c>
      <c r="C80" s="2375"/>
      <c r="D80" s="2308">
        <f>SUM(C62:C69,C71:C78)</f>
        <v>-21262.545896</v>
      </c>
      <c r="E80" s="1886"/>
      <c r="F80" s="1886"/>
      <c r="G80" s="1886"/>
      <c r="H80" s="1886"/>
      <c r="I80" s="1886"/>
      <c r="J80" s="2406"/>
      <c r="K80" s="2408" t="str">
        <f>+'CO2 - Cálculos'!AC79</f>
        <v>CDR seco + trat. biol.</v>
      </c>
      <c r="L80" s="2412">
        <f>+'CO2 - Cálculos'!AK79</f>
        <v>0</v>
      </c>
      <c r="M80" s="2376"/>
      <c r="N80" s="1886"/>
      <c r="O80" s="1886"/>
      <c r="P80" s="1886"/>
      <c r="Q80" s="1886"/>
      <c r="R80" s="1886"/>
      <c r="S80" s="1886"/>
      <c r="T80" s="1886"/>
    </row>
    <row r="81" spans="1:20" ht="18" customHeight="1" x14ac:dyDescent="0.2">
      <c r="A81" s="1886"/>
      <c r="B81" s="1886"/>
      <c r="C81" s="1886"/>
      <c r="D81" s="1886"/>
      <c r="E81" s="1886"/>
      <c r="F81" s="1886"/>
      <c r="G81" s="1886"/>
      <c r="H81" s="1886"/>
      <c r="I81" s="1886"/>
      <c r="J81" s="2406"/>
      <c r="K81" s="2408" t="str">
        <f>+'CO2 - Cálculos'!AC80</f>
        <v>CDR seco + CDR org.</v>
      </c>
      <c r="L81" s="2412">
        <f>+'CO2 - Cálculos'!AK80</f>
        <v>0</v>
      </c>
      <c r="M81" s="2376"/>
      <c r="N81" s="1886"/>
      <c r="O81" s="1886"/>
      <c r="P81" s="1886"/>
      <c r="Q81" s="1886"/>
      <c r="R81" s="1886"/>
      <c r="S81" s="1886"/>
      <c r="T81" s="1886"/>
    </row>
    <row r="82" spans="1:20" ht="18" customHeight="1" x14ac:dyDescent="0.2">
      <c r="A82" s="1886"/>
      <c r="B82" s="1886"/>
      <c r="C82" s="1886"/>
      <c r="D82" s="1886"/>
      <c r="E82" s="2263"/>
      <c r="F82" s="1886"/>
      <c r="G82" s="1886"/>
      <c r="H82" s="1886"/>
      <c r="I82" s="1886"/>
      <c r="J82" s="2406"/>
      <c r="K82" s="2408" t="str">
        <f>+'CO2 - Cálculos'!AC81</f>
        <v>Incineração</v>
      </c>
      <c r="L82" s="2412">
        <f>+'CO2 - Cálculos'!AK81</f>
        <v>-2810.5079200893747</v>
      </c>
      <c r="M82" s="2376"/>
      <c r="N82" s="1886"/>
      <c r="O82" s="1886"/>
      <c r="P82" s="1886"/>
      <c r="Q82" s="1886"/>
      <c r="R82" s="1886"/>
      <c r="S82" s="1886"/>
      <c r="T82" s="1886"/>
    </row>
    <row r="83" spans="1:20" ht="18" customHeight="1" x14ac:dyDescent="0.2">
      <c r="A83" s="1886"/>
      <c r="B83" s="1886"/>
      <c r="C83" s="1886"/>
      <c r="D83" s="1886"/>
      <c r="E83" s="2263"/>
      <c r="F83" s="1886"/>
      <c r="G83" s="1886"/>
      <c r="H83" s="1886"/>
      <c r="I83" s="1886"/>
      <c r="J83" s="2406"/>
      <c r="K83" s="2411" t="s">
        <v>1258</v>
      </c>
      <c r="L83" s="2376"/>
      <c r="M83" s="2376"/>
      <c r="N83" s="1886"/>
      <c r="O83" s="1886"/>
      <c r="P83" s="1886"/>
      <c r="Q83" s="1886"/>
      <c r="R83" s="1886"/>
      <c r="S83" s="1886"/>
      <c r="T83" s="1886"/>
    </row>
    <row r="84" spans="1:20" ht="18" customHeight="1" x14ac:dyDescent="0.2">
      <c r="A84" s="1886"/>
      <c r="B84" s="1886"/>
      <c r="C84" s="1886"/>
      <c r="D84" s="1886"/>
      <c r="E84" s="2263"/>
      <c r="F84" s="1886"/>
      <c r="G84" s="1886"/>
      <c r="H84" s="1886"/>
      <c r="I84" s="1886"/>
      <c r="J84" s="2406"/>
      <c r="K84" s="2411" t="s">
        <v>1259</v>
      </c>
      <c r="L84" s="2376"/>
      <c r="M84" s="2413">
        <f>SUM(L62:L71,L73:L82)</f>
        <v>63179.010027641685</v>
      </c>
      <c r="N84" s="1886"/>
      <c r="O84" s="1886"/>
      <c r="P84" s="1886"/>
      <c r="Q84" s="1886"/>
      <c r="R84" s="1886"/>
      <c r="S84" s="1886"/>
      <c r="T84" s="1886"/>
    </row>
    <row r="85" spans="1:20" ht="18" customHeight="1" x14ac:dyDescent="0.2">
      <c r="A85" s="1886"/>
      <c r="B85" s="1886"/>
      <c r="C85" s="1886"/>
      <c r="D85" s="1886"/>
      <c r="E85" s="1886"/>
      <c r="F85" s="1886"/>
      <c r="G85" s="1886"/>
      <c r="H85" s="1886"/>
      <c r="I85" s="1886"/>
      <c r="J85" s="1886"/>
      <c r="K85" s="1886"/>
      <c r="L85" s="1886"/>
      <c r="M85" s="1886"/>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BD5BE-DC23-4DC3-AB0C-90ACDC029430}">
  <dimension ref="A1:AZ141"/>
  <sheetViews>
    <sheetView zoomScale="68" zoomScaleNormal="70" zoomScaleSheetLayoutView="40" workbookViewId="0">
      <selection activeCell="L13" sqref="L13"/>
    </sheetView>
  </sheetViews>
  <sheetFormatPr defaultColWidth="11.42578125" defaultRowHeight="12.75" x14ac:dyDescent="0.2"/>
  <cols>
    <col min="1" max="1" width="21.28515625" style="1842" customWidth="1"/>
    <col min="2" max="2" width="36.5703125" style="1842" bestFit="1" customWidth="1"/>
    <col min="3" max="3" width="14.140625" style="1842" customWidth="1"/>
    <col min="4" max="10" width="13.42578125" style="1842" bestFit="1" customWidth="1"/>
    <col min="11" max="16384" width="11.42578125" style="1842"/>
  </cols>
  <sheetData>
    <row r="1" spans="1:24" s="2225" customFormat="1" ht="26.1" customHeight="1" x14ac:dyDescent="0.2">
      <c r="A1" s="1908" t="s">
        <v>1269</v>
      </c>
      <c r="B1" s="1981"/>
      <c r="C1" s="1981"/>
      <c r="D1" s="1981"/>
      <c r="E1" s="1981"/>
      <c r="F1" s="1981"/>
      <c r="G1" s="1981"/>
      <c r="H1" s="1981"/>
      <c r="I1" s="1981"/>
      <c r="J1" s="1981"/>
      <c r="K1" s="2224"/>
      <c r="L1" s="2224"/>
      <c r="M1" s="2224"/>
      <c r="N1" s="2224"/>
      <c r="O1" s="2224"/>
      <c r="P1" s="2224"/>
      <c r="Q1" s="2224"/>
      <c r="R1" s="2224"/>
      <c r="S1" s="2224"/>
      <c r="T1" s="2224"/>
      <c r="U1" s="2224"/>
      <c r="V1" s="2224"/>
      <c r="W1" s="2224"/>
      <c r="X1" s="2224"/>
    </row>
    <row r="2" spans="1:24" ht="41.45" customHeight="1" x14ac:dyDescent="0.25">
      <c r="A2" s="2397"/>
      <c r="B2" s="1953"/>
      <c r="C2" s="2266" t="str">
        <f>+'CO2 - Reciclagem'!E8</f>
        <v>Cenário-Base</v>
      </c>
      <c r="D2" s="2414" t="str">
        <f>+'CO2 - Reciclagem'!G8</f>
        <v>Biodigestão RT1A + CDR TM</v>
      </c>
      <c r="E2" s="2414" t="str">
        <f>+'CO2 - Reciclagem'!H8</f>
        <v>Biodigestão RT1B + CDR TM</v>
      </c>
      <c r="F2" s="2414" t="str">
        <f>+'CO2 - Reciclagem'!I8</f>
        <v>Biodigestão RT1C + CDR TM</v>
      </c>
      <c r="G2" s="2414" t="str">
        <f>+'CO2 - Reciclagem'!J8</f>
        <v>Compostagem + CDR TM</v>
      </c>
      <c r="H2" s="2414" t="str">
        <f>+'CO2 - Reciclagem'!K8</f>
        <v xml:space="preserve">Biosecagem + CDR TMB </v>
      </c>
      <c r="I2" s="2414" t="str">
        <f>+'CO2 - Reciclagem'!L8</f>
        <v>Incineração Mass Burning</v>
      </c>
      <c r="J2" s="2414" t="str">
        <f>+'CO2 - Reciclagem'!M8</f>
        <v>Incineração Mass Burn. Descentralizada</v>
      </c>
      <c r="K2" s="1886"/>
      <c r="L2" s="1886"/>
      <c r="M2" s="1886"/>
      <c r="N2" s="1886"/>
      <c r="O2" s="1886"/>
      <c r="P2" s="1886"/>
      <c r="Q2" s="1886"/>
      <c r="R2" s="1886"/>
      <c r="S2" s="1886"/>
      <c r="T2" s="1886"/>
      <c r="U2" s="1886"/>
      <c r="V2" s="1886"/>
      <c r="W2" s="1886"/>
      <c r="X2" s="1886"/>
    </row>
    <row r="3" spans="1:24" ht="18" customHeight="1" x14ac:dyDescent="0.2">
      <c r="A3" s="1886"/>
      <c r="B3" s="2268" t="s">
        <v>1238</v>
      </c>
      <c r="C3" s="2295">
        <f>+'CO2 - Cálculos'!AD58</f>
        <v>146000</v>
      </c>
      <c r="D3" s="2295">
        <f>+'CO2 - Cálculos'!AE58</f>
        <v>146000</v>
      </c>
      <c r="E3" s="2295">
        <f>+'CO2 - Cálculos'!AF58</f>
        <v>146000</v>
      </c>
      <c r="F3" s="2295">
        <f>+'CO2 - Cálculos'!AG58</f>
        <v>146000</v>
      </c>
      <c r="G3" s="2295">
        <f>+'CO2 - Cálculos'!AH58</f>
        <v>146000</v>
      </c>
      <c r="H3" s="2295">
        <f>+'CO2 - Cálculos'!AI58</f>
        <v>146000</v>
      </c>
      <c r="I3" s="2295">
        <f>+'CO2 - Cálculos'!AJ58</f>
        <v>146000</v>
      </c>
      <c r="J3" s="2295">
        <f>+'CO2 - Cálculos'!AK58</f>
        <v>146000</v>
      </c>
      <c r="K3" s="1886"/>
      <c r="L3" s="1886"/>
      <c r="M3" s="1886"/>
      <c r="N3" s="1886"/>
      <c r="O3" s="1886"/>
      <c r="P3" s="1886"/>
      <c r="Q3" s="1886"/>
      <c r="R3" s="1886"/>
      <c r="S3" s="1886"/>
      <c r="T3" s="1886"/>
      <c r="U3" s="1886"/>
      <c r="V3" s="1886"/>
      <c r="W3" s="1886"/>
      <c r="X3" s="1886"/>
    </row>
    <row r="4" spans="1:24" ht="18" customHeight="1" x14ac:dyDescent="0.25">
      <c r="A4" s="1886"/>
      <c r="B4" s="2283"/>
      <c r="C4" s="2415"/>
      <c r="D4" s="2415"/>
      <c r="E4" s="2415"/>
      <c r="F4" s="2415"/>
      <c r="G4" s="2415"/>
      <c r="H4" s="2415"/>
      <c r="I4" s="2415"/>
      <c r="J4" s="2415"/>
      <c r="K4" s="1886"/>
      <c r="L4" s="1886"/>
      <c r="M4" s="1886"/>
      <c r="N4" s="1886"/>
      <c r="O4" s="1886"/>
      <c r="P4" s="1886"/>
      <c r="Q4" s="1886"/>
      <c r="R4" s="1886"/>
      <c r="S4" s="1886"/>
      <c r="T4" s="1886"/>
      <c r="U4" s="1886"/>
      <c r="V4" s="1886"/>
      <c r="W4" s="1886"/>
      <c r="X4" s="1886"/>
    </row>
    <row r="5" spans="1:24" ht="18" customHeight="1" x14ac:dyDescent="0.2">
      <c r="A5" s="1886"/>
      <c r="B5" s="2268" t="s">
        <v>1239</v>
      </c>
      <c r="C5" s="2295">
        <f>+'CO2 - Cálculos'!AD13</f>
        <v>4730.4000000000005</v>
      </c>
      <c r="D5" s="2295">
        <f>+'CO2 - Cálculos'!AE13</f>
        <v>14727.458000000001</v>
      </c>
      <c r="E5" s="2295">
        <f>+'CO2 - Cálculos'!AF13</f>
        <v>14727.458000000001</v>
      </c>
      <c r="F5" s="2295">
        <f>+'CO2 - Cálculos'!AG13</f>
        <v>14727.458000000001</v>
      </c>
      <c r="G5" s="2295">
        <f>+'CO2 - Cálculos'!AH13</f>
        <v>14727.458000000001</v>
      </c>
      <c r="H5" s="2295">
        <f>+'CO2 - Cálculos'!AI13</f>
        <v>14727.458000000001</v>
      </c>
      <c r="I5" s="2295">
        <f>+'CO2 - Cálculos'!AJ13</f>
        <v>14727.458000000001</v>
      </c>
      <c r="J5" s="2295">
        <f>+'CO2 - Cálculos'!AK13</f>
        <v>14727.458000000001</v>
      </c>
      <c r="K5" s="1886"/>
      <c r="L5" s="1886"/>
      <c r="M5" s="1886"/>
      <c r="N5" s="1886"/>
      <c r="O5" s="2263"/>
      <c r="P5" s="1886"/>
      <c r="Q5" s="1886"/>
      <c r="R5" s="1886"/>
      <c r="S5" s="1886"/>
      <c r="T5" s="1886"/>
      <c r="U5" s="1886"/>
      <c r="V5" s="1886"/>
      <c r="W5" s="1886"/>
      <c r="X5" s="1886"/>
    </row>
    <row r="6" spans="1:24" ht="18" customHeight="1" x14ac:dyDescent="0.2">
      <c r="A6" s="1886"/>
      <c r="B6" s="2416"/>
      <c r="C6" s="2020"/>
      <c r="D6" s="2020"/>
      <c r="E6" s="2020"/>
      <c r="F6" s="2020"/>
      <c r="G6" s="2020"/>
      <c r="H6" s="2020"/>
      <c r="I6" s="2020"/>
      <c r="J6" s="2020"/>
      <c r="K6" s="1886"/>
      <c r="L6" s="1886"/>
      <c r="M6" s="1886"/>
      <c r="N6" s="1886"/>
      <c r="O6" s="1886"/>
      <c r="P6" s="1886"/>
      <c r="Q6" s="1886"/>
      <c r="R6" s="1886"/>
      <c r="S6" s="1886"/>
      <c r="T6" s="1886"/>
      <c r="U6" s="1886"/>
      <c r="V6" s="1886"/>
      <c r="W6" s="1886"/>
      <c r="X6" s="1886"/>
    </row>
    <row r="7" spans="1:24" ht="18" customHeight="1" x14ac:dyDescent="0.2">
      <c r="A7" s="1886"/>
      <c r="B7" s="2222" t="s">
        <v>1108</v>
      </c>
      <c r="C7" s="2295">
        <f>+'CO2 - Cálculos'!AD5</f>
        <v>0</v>
      </c>
      <c r="D7" s="2295">
        <f>+'CO2 - Cálculos'!AE5</f>
        <v>0</v>
      </c>
      <c r="E7" s="2295">
        <f>+'CO2 - Cálculos'!AF5</f>
        <v>0</v>
      </c>
      <c r="F7" s="2295">
        <f>+'CO2 - Cálculos'!AG5</f>
        <v>0</v>
      </c>
      <c r="G7" s="2295">
        <f>+'CO2 - Cálculos'!AH5</f>
        <v>0</v>
      </c>
      <c r="H7" s="2295">
        <f>+'CO2 - Cálculos'!AI5</f>
        <v>0</v>
      </c>
      <c r="I7" s="2295">
        <f>+'CO2 - Cálculos'!AJ5</f>
        <v>0</v>
      </c>
      <c r="J7" s="2295">
        <f>+'CO2 - Cálculos'!AK5</f>
        <v>0</v>
      </c>
      <c r="K7" s="1886"/>
      <c r="L7" s="1886"/>
      <c r="M7" s="1886"/>
      <c r="N7" s="1886"/>
      <c r="O7" s="1886"/>
      <c r="P7" s="1886"/>
      <c r="Q7" s="1886"/>
      <c r="R7" s="1886"/>
      <c r="S7" s="1886"/>
      <c r="T7" s="1886"/>
      <c r="U7" s="1886"/>
      <c r="V7" s="1886"/>
      <c r="W7" s="1886"/>
      <c r="X7" s="1886"/>
    </row>
    <row r="8" spans="1:24" ht="18" customHeight="1" x14ac:dyDescent="0.2">
      <c r="A8" s="1886"/>
      <c r="B8" s="2222" t="s">
        <v>1109</v>
      </c>
      <c r="C8" s="2295">
        <f>+'CO2 - Cálculos'!AD6</f>
        <v>0</v>
      </c>
      <c r="D8" s="2295">
        <f>+'CO2 - Cálculos'!AE6</f>
        <v>0</v>
      </c>
      <c r="E8" s="2295">
        <f>+'CO2 - Cálculos'!AF6</f>
        <v>0</v>
      </c>
      <c r="F8" s="2295">
        <f>+'CO2 - Cálculos'!AG6</f>
        <v>0</v>
      </c>
      <c r="G8" s="2295">
        <f>+'CO2 - Cálculos'!AH6</f>
        <v>0</v>
      </c>
      <c r="H8" s="2295">
        <f>+'CO2 - Cálculos'!AI6</f>
        <v>0</v>
      </c>
      <c r="I8" s="2295">
        <f>+'CO2 - Cálculos'!AJ6</f>
        <v>0</v>
      </c>
      <c r="J8" s="2295">
        <f>+'CO2 - Cálculos'!AK6</f>
        <v>0</v>
      </c>
      <c r="K8" s="1886"/>
      <c r="L8" s="1886"/>
      <c r="M8" s="1886"/>
      <c r="N8" s="1886"/>
      <c r="O8" s="1886"/>
      <c r="P8" s="1886"/>
      <c r="Q8" s="1886"/>
      <c r="R8" s="1886"/>
      <c r="S8" s="1886"/>
      <c r="T8" s="1886"/>
      <c r="U8" s="1886"/>
      <c r="V8" s="1886"/>
      <c r="W8" s="1886"/>
      <c r="X8" s="1886"/>
    </row>
    <row r="9" spans="1:24" ht="18" customHeight="1" x14ac:dyDescent="0.2">
      <c r="A9" s="1886"/>
      <c r="B9" s="2222" t="s">
        <v>1110</v>
      </c>
      <c r="C9" s="2295">
        <f>+'CO2 - Cálculos'!AD7</f>
        <v>1912.6000000000001</v>
      </c>
      <c r="D9" s="2295">
        <f>+'CO2 - Cálculos'!AE7</f>
        <v>6368.9580000000005</v>
      </c>
      <c r="E9" s="2295">
        <f>+'CO2 - Cálculos'!AF7</f>
        <v>6368.9580000000005</v>
      </c>
      <c r="F9" s="2295">
        <f>+'CO2 - Cálculos'!AG7</f>
        <v>6368.9580000000005</v>
      </c>
      <c r="G9" s="2295">
        <f>+'CO2 - Cálculos'!AH7</f>
        <v>6368.9580000000005</v>
      </c>
      <c r="H9" s="2295">
        <f>+'CO2 - Cálculos'!AI7</f>
        <v>6368.9580000000005</v>
      </c>
      <c r="I9" s="2295">
        <f>+'CO2 - Cálculos'!AJ7</f>
        <v>6368.9580000000005</v>
      </c>
      <c r="J9" s="2295">
        <f>+'CO2 - Cálculos'!AK7</f>
        <v>6368.9580000000005</v>
      </c>
      <c r="K9" s="1886"/>
      <c r="L9" s="1886"/>
      <c r="M9" s="1886"/>
      <c r="N9" s="1886"/>
      <c r="O9" s="1886"/>
      <c r="P9" s="1886"/>
      <c r="Q9" s="1886"/>
      <c r="R9" s="1886"/>
      <c r="S9" s="1886"/>
      <c r="T9" s="1886"/>
      <c r="U9" s="1886"/>
      <c r="V9" s="1886"/>
      <c r="W9" s="1886"/>
      <c r="X9" s="1886"/>
    </row>
    <row r="10" spans="1:24" ht="18" customHeight="1" x14ac:dyDescent="0.2">
      <c r="A10" s="1886"/>
      <c r="B10" s="2222" t="s">
        <v>1111</v>
      </c>
      <c r="C10" s="2295">
        <f>+'CO2 - Cálculos'!AD8</f>
        <v>1971</v>
      </c>
      <c r="D10" s="2295">
        <f>+'CO2 - Cálculos'!AE8</f>
        <v>4336.2</v>
      </c>
      <c r="E10" s="2295">
        <f>+'CO2 - Cálculos'!AF8</f>
        <v>4336.2</v>
      </c>
      <c r="F10" s="2295">
        <f>+'CO2 - Cálculos'!AG8</f>
        <v>4336.2</v>
      </c>
      <c r="G10" s="2295">
        <f>+'CO2 - Cálculos'!AH8</f>
        <v>4336.2</v>
      </c>
      <c r="H10" s="2295">
        <f>+'CO2 - Cálculos'!AI8</f>
        <v>4336.2</v>
      </c>
      <c r="I10" s="2295">
        <f>+'CO2 - Cálculos'!AJ8</f>
        <v>4336.2</v>
      </c>
      <c r="J10" s="2295">
        <f>+'CO2 - Cálculos'!AK8</f>
        <v>4336.2</v>
      </c>
      <c r="K10" s="1886"/>
      <c r="L10" s="1886"/>
      <c r="M10" s="1886"/>
      <c r="N10" s="1886"/>
      <c r="O10" s="1886"/>
      <c r="P10" s="1886"/>
      <c r="Q10" s="1886"/>
      <c r="R10" s="1886"/>
      <c r="S10" s="1886"/>
      <c r="T10" s="1886"/>
      <c r="U10" s="1886"/>
      <c r="V10" s="1886"/>
      <c r="W10" s="1886"/>
      <c r="X10" s="1886"/>
    </row>
    <row r="11" spans="1:24" ht="18" customHeight="1" x14ac:dyDescent="0.2">
      <c r="A11" s="1886"/>
      <c r="B11" s="2222" t="s">
        <v>50</v>
      </c>
      <c r="C11" s="2295">
        <f>+'CO2 - Cálculos'!AD9</f>
        <v>0</v>
      </c>
      <c r="D11" s="2295">
        <f>+'CO2 - Cálculos'!AE9</f>
        <v>0</v>
      </c>
      <c r="E11" s="2295">
        <f>+'CO2 - Cálculos'!AF9</f>
        <v>0</v>
      </c>
      <c r="F11" s="2295">
        <f>+'CO2 - Cálculos'!AG9</f>
        <v>0</v>
      </c>
      <c r="G11" s="2295">
        <f>+'CO2 - Cálculos'!AH9</f>
        <v>0</v>
      </c>
      <c r="H11" s="2295">
        <f>+'CO2 - Cálculos'!AI9</f>
        <v>0</v>
      </c>
      <c r="I11" s="2295">
        <f>+'CO2 - Cálculos'!AJ9</f>
        <v>0</v>
      </c>
      <c r="J11" s="2295">
        <f>+'CO2 - Cálculos'!AK9</f>
        <v>0</v>
      </c>
      <c r="K11" s="1886"/>
      <c r="L11" s="1886"/>
      <c r="M11" s="1886"/>
      <c r="N11" s="1886"/>
      <c r="O11" s="1886"/>
      <c r="P11" s="1886"/>
      <c r="Q11" s="1886"/>
      <c r="R11" s="1886"/>
      <c r="S11" s="1886"/>
      <c r="T11" s="1886"/>
      <c r="U11" s="1886"/>
      <c r="V11" s="1886"/>
      <c r="W11" s="1886"/>
      <c r="X11" s="1886"/>
    </row>
    <row r="12" spans="1:24" ht="18" customHeight="1" x14ac:dyDescent="0.2">
      <c r="A12" s="1886"/>
      <c r="B12" s="2222" t="s">
        <v>1112</v>
      </c>
      <c r="C12" s="2295">
        <f>+'CO2 - Cálculos'!AD10</f>
        <v>671.6</v>
      </c>
      <c r="D12" s="2295">
        <f>+'CO2 - Cálculos'!AE10</f>
        <v>3190.1</v>
      </c>
      <c r="E12" s="2295">
        <f>+'CO2 - Cálculos'!AF10</f>
        <v>3190.1</v>
      </c>
      <c r="F12" s="2295">
        <f>+'CO2 - Cálculos'!AG10</f>
        <v>3190.1</v>
      </c>
      <c r="G12" s="2295">
        <f>+'CO2 - Cálculos'!AH10</f>
        <v>3190.1</v>
      </c>
      <c r="H12" s="2295">
        <f>+'CO2 - Cálculos'!AI10</f>
        <v>3190.1</v>
      </c>
      <c r="I12" s="2295">
        <f>+'CO2 - Cálculos'!AJ10</f>
        <v>3190.1</v>
      </c>
      <c r="J12" s="2295">
        <f>+'CO2 - Cálculos'!AK10</f>
        <v>3190.1</v>
      </c>
      <c r="K12" s="1886"/>
      <c r="L12" s="1886"/>
      <c r="M12" s="1886"/>
      <c r="N12" s="1886"/>
      <c r="O12" s="1886"/>
      <c r="P12" s="1886"/>
      <c r="Q12" s="1886"/>
      <c r="R12" s="1886"/>
      <c r="S12" s="1886"/>
      <c r="T12" s="1886"/>
      <c r="U12" s="1886"/>
      <c r="V12" s="1886"/>
      <c r="W12" s="1886"/>
      <c r="X12" s="1886"/>
    </row>
    <row r="13" spans="1:24" ht="18" customHeight="1" x14ac:dyDescent="0.2">
      <c r="A13" s="1886"/>
      <c r="B13" s="2222" t="s">
        <v>1113</v>
      </c>
      <c r="C13" s="2295">
        <f>+'CO2 - Cálculos'!AD11</f>
        <v>175.20000000000002</v>
      </c>
      <c r="D13" s="2295">
        <f>+'CO2 - Cálculos'!AE11</f>
        <v>832.19999999999993</v>
      </c>
      <c r="E13" s="2295">
        <f>+'CO2 - Cálculos'!AF11</f>
        <v>832.19999999999993</v>
      </c>
      <c r="F13" s="2295">
        <f>+'CO2 - Cálculos'!AG11</f>
        <v>832.19999999999993</v>
      </c>
      <c r="G13" s="2295">
        <f>+'CO2 - Cálculos'!AH11</f>
        <v>832.19999999999993</v>
      </c>
      <c r="H13" s="2295">
        <f>+'CO2 - Cálculos'!AI11</f>
        <v>832.19999999999993</v>
      </c>
      <c r="I13" s="2295">
        <f>+'CO2 - Cálculos'!AJ11</f>
        <v>832.19999999999993</v>
      </c>
      <c r="J13" s="2295">
        <f>+'CO2 - Cálculos'!AK11</f>
        <v>832.19999999999993</v>
      </c>
      <c r="K13" s="1886"/>
      <c r="L13" s="1886"/>
      <c r="M13" s="1886"/>
      <c r="N13" s="1886"/>
      <c r="O13" s="1886"/>
      <c r="P13" s="1886"/>
      <c r="Q13" s="1886"/>
      <c r="R13" s="1886"/>
      <c r="S13" s="1886"/>
      <c r="T13" s="1886"/>
      <c r="U13" s="1886"/>
      <c r="V13" s="1886"/>
      <c r="W13" s="1886"/>
      <c r="X13" s="1886"/>
    </row>
    <row r="14" spans="1:24" ht="18" customHeight="1" x14ac:dyDescent="0.2">
      <c r="A14" s="1886"/>
      <c r="B14" s="2222" t="s">
        <v>1114</v>
      </c>
      <c r="C14" s="2295">
        <f>+'CO2 - Cálculos'!AD12</f>
        <v>0</v>
      </c>
      <c r="D14" s="2295">
        <f>+'CO2 - Cálculos'!AE12</f>
        <v>0</v>
      </c>
      <c r="E14" s="2295">
        <f>+'CO2 - Cálculos'!AF12</f>
        <v>0</v>
      </c>
      <c r="F14" s="2295">
        <f>+'CO2 - Cálculos'!AG12</f>
        <v>0</v>
      </c>
      <c r="G14" s="2295">
        <f>+'CO2 - Cálculos'!AH12</f>
        <v>0</v>
      </c>
      <c r="H14" s="2295">
        <f>+'CO2 - Cálculos'!AI12</f>
        <v>0</v>
      </c>
      <c r="I14" s="2295">
        <f>+'CO2 - Cálculos'!AJ12</f>
        <v>0</v>
      </c>
      <c r="J14" s="2295">
        <f>+'CO2 - Cálculos'!AK12</f>
        <v>0</v>
      </c>
      <c r="K14" s="1886"/>
      <c r="L14" s="1886"/>
      <c r="M14" s="1886"/>
      <c r="N14" s="1886"/>
      <c r="O14" s="1886"/>
      <c r="P14" s="1886"/>
      <c r="Q14" s="1886"/>
      <c r="R14" s="1886"/>
      <c r="S14" s="1886"/>
      <c r="T14" s="1886"/>
      <c r="U14" s="1886"/>
      <c r="V14" s="1886"/>
      <c r="W14" s="1886"/>
      <c r="X14" s="1886"/>
    </row>
    <row r="15" spans="1:24" ht="18" customHeight="1" x14ac:dyDescent="0.2">
      <c r="A15" s="1886"/>
      <c r="B15" s="2272"/>
      <c r="C15" s="2417">
        <f>SUM(C9:C13)/C3</f>
        <v>3.2400000000000005E-2</v>
      </c>
      <c r="D15" s="2417">
        <f>SUM(D9:D13)/D3</f>
        <v>0.100873</v>
      </c>
      <c r="E15" s="2417">
        <f>SUM(E9:E13)/E3</f>
        <v>0.100873</v>
      </c>
      <c r="F15" s="2417">
        <f>SUM(F9:F13)/F3</f>
        <v>0.100873</v>
      </c>
      <c r="G15" s="2417">
        <f t="shared" ref="G15:H15" si="0">SUM(G9:G13)/G3</f>
        <v>0.100873</v>
      </c>
      <c r="H15" s="2417">
        <f t="shared" si="0"/>
        <v>0.100873</v>
      </c>
      <c r="I15" s="2417">
        <f t="shared" ref="I15:J15" si="1">SUM(I9:I13)/I3</f>
        <v>0.100873</v>
      </c>
      <c r="J15" s="2417">
        <f t="shared" si="1"/>
        <v>0.100873</v>
      </c>
      <c r="K15" s="1886"/>
      <c r="L15" s="1886"/>
      <c r="M15" s="1886"/>
      <c r="N15" s="1886"/>
      <c r="O15" s="1886"/>
      <c r="P15" s="1886"/>
      <c r="Q15" s="1886"/>
      <c r="R15" s="1886"/>
      <c r="S15" s="1886"/>
      <c r="T15" s="1886"/>
      <c r="U15" s="1886"/>
      <c r="V15" s="1886"/>
      <c r="W15" s="1886"/>
      <c r="X15" s="1886"/>
    </row>
    <row r="16" spans="1:24" ht="18" customHeight="1" x14ac:dyDescent="0.25">
      <c r="A16" s="1886"/>
      <c r="B16" s="2274" t="s">
        <v>1272</v>
      </c>
      <c r="C16" s="2295">
        <f>+'CO2 - Cálculos'!AD57</f>
        <v>141269.6</v>
      </c>
      <c r="D16" s="2295">
        <f>+'CO2 - Cálculos'!AE57</f>
        <v>131272.54199999999</v>
      </c>
      <c r="E16" s="2295">
        <f>+'CO2 - Cálculos'!AF57</f>
        <v>131272.54199999999</v>
      </c>
      <c r="F16" s="2295">
        <f>+'CO2 - Cálculos'!AG57</f>
        <v>131272.54199999999</v>
      </c>
      <c r="G16" s="2295">
        <f>+'CO2 - Cálculos'!AH57</f>
        <v>131272.54199999999</v>
      </c>
      <c r="H16" s="2295">
        <f>+'CO2 - Cálculos'!AI57</f>
        <v>131272.54199999999</v>
      </c>
      <c r="I16" s="2295">
        <f>+'CO2 - Cálculos'!AJ57</f>
        <v>131272.54199999999</v>
      </c>
      <c r="J16" s="2295">
        <f>+'CO2 - Cálculos'!AK57</f>
        <v>131272.54199999999</v>
      </c>
      <c r="K16" s="1886"/>
      <c r="L16" s="1886"/>
      <c r="M16" s="1886"/>
      <c r="N16" s="1886"/>
      <c r="O16" s="2418"/>
      <c r="P16" s="1886"/>
      <c r="Q16" s="1886"/>
      <c r="R16" s="1886"/>
      <c r="S16" s="1886"/>
      <c r="T16" s="1886"/>
      <c r="U16" s="1886"/>
      <c r="V16" s="1886"/>
      <c r="W16" s="1886"/>
      <c r="X16" s="1886"/>
    </row>
    <row r="17" spans="1:52" ht="18" customHeight="1" x14ac:dyDescent="0.2">
      <c r="A17" s="1886"/>
      <c r="B17" s="2416"/>
      <c r="C17" s="2020"/>
      <c r="D17" s="2020"/>
      <c r="E17" s="2020"/>
      <c r="F17" s="2020"/>
      <c r="G17" s="2020"/>
      <c r="H17" s="2020"/>
      <c r="I17" s="2020"/>
      <c r="J17" s="2020"/>
      <c r="K17" s="1886"/>
      <c r="L17" s="1886"/>
      <c r="M17" s="1886"/>
      <c r="N17" s="1886"/>
      <c r="O17" s="1886"/>
      <c r="P17" s="1886"/>
      <c r="Q17" s="1886"/>
      <c r="R17" s="1886"/>
      <c r="S17" s="1886"/>
      <c r="T17" s="1886"/>
      <c r="U17" s="1886"/>
      <c r="V17" s="1886"/>
      <c r="W17" s="1886"/>
      <c r="X17" s="1886"/>
    </row>
    <row r="18" spans="1:52" ht="18" customHeight="1" x14ac:dyDescent="0.2">
      <c r="A18" s="1886"/>
      <c r="B18" s="2222" t="s">
        <v>1243</v>
      </c>
      <c r="C18" s="2295">
        <f>+'CO2 - Cálculos'!AD47</f>
        <v>0</v>
      </c>
      <c r="D18" s="2295">
        <f>+'CO2 - Cálculos'!AE47</f>
        <v>0</v>
      </c>
      <c r="E18" s="2295">
        <f>+'CO2 - Cálculos'!AF47</f>
        <v>0</v>
      </c>
      <c r="F18" s="2295">
        <f>+'CO2 - Cálculos'!AG47</f>
        <v>0</v>
      </c>
      <c r="G18" s="2295">
        <f>+'CO2 - Cálculos'!AH47</f>
        <v>0</v>
      </c>
      <c r="H18" s="2295">
        <f>+'CO2 - Cálculos'!AI47</f>
        <v>0</v>
      </c>
      <c r="I18" s="2295">
        <f>+'CO2 - Cálculos'!AJ47</f>
        <v>0</v>
      </c>
      <c r="J18" s="2295">
        <f>+'CO2 - Cálculos'!AK47</f>
        <v>0</v>
      </c>
      <c r="K18" s="1886"/>
      <c r="L18" s="1886"/>
      <c r="M18" s="1886"/>
      <c r="N18" s="1886"/>
      <c r="O18" s="1886"/>
      <c r="P18" s="1886"/>
      <c r="Q18" s="1886"/>
      <c r="R18" s="1886"/>
      <c r="S18" s="1886"/>
      <c r="T18" s="1886"/>
      <c r="U18" s="1886"/>
      <c r="V18" s="1886"/>
      <c r="W18" s="1886"/>
      <c r="X18" s="1886"/>
    </row>
    <row r="19" spans="1:52" ht="18" customHeight="1" x14ac:dyDescent="0.2">
      <c r="A19" s="1886"/>
      <c r="B19" s="2222" t="s">
        <v>1244</v>
      </c>
      <c r="C19" s="2295">
        <f>+'CO2 - Cálculos'!AD48</f>
        <v>0</v>
      </c>
      <c r="D19" s="2295">
        <f>+'CO2 - Cálculos'!AE48</f>
        <v>0</v>
      </c>
      <c r="E19" s="2295">
        <f>+'CO2 - Cálculos'!AF48</f>
        <v>0</v>
      </c>
      <c r="F19" s="2295">
        <f>+'CO2 - Cálculos'!AG48</f>
        <v>0</v>
      </c>
      <c r="G19" s="2295">
        <f>+'CO2 - Cálculos'!AH48</f>
        <v>0</v>
      </c>
      <c r="H19" s="2295">
        <f>+'CO2 - Cálculos'!AI48</f>
        <v>0</v>
      </c>
      <c r="I19" s="2295">
        <f>+'CO2 - Cálculos'!AJ48</f>
        <v>0</v>
      </c>
      <c r="J19" s="2295">
        <f>+'CO2 - Cálculos'!AK48</f>
        <v>0</v>
      </c>
      <c r="K19" s="1886"/>
      <c r="L19" s="1886"/>
      <c r="M19" s="1886"/>
      <c r="N19" s="1886"/>
      <c r="O19" s="1886"/>
      <c r="P19" s="1886"/>
      <c r="Q19" s="1886"/>
      <c r="R19" s="1886"/>
      <c r="S19" s="1886"/>
      <c r="T19" s="1886"/>
      <c r="U19" s="1886"/>
      <c r="V19" s="1886"/>
      <c r="W19" s="1886"/>
      <c r="X19" s="1886"/>
    </row>
    <row r="20" spans="1:52" ht="18" customHeight="1" x14ac:dyDescent="0.2">
      <c r="A20" s="1886"/>
      <c r="B20" s="2222" t="s">
        <v>1245</v>
      </c>
      <c r="C20" s="2295">
        <f>+'CO2 - Cálculos'!AD49</f>
        <v>0</v>
      </c>
      <c r="D20" s="2295">
        <f>+'CO2 - Cálculos'!AE49</f>
        <v>0</v>
      </c>
      <c r="E20" s="2295">
        <f>+'CO2 - Cálculos'!AF49</f>
        <v>0</v>
      </c>
      <c r="F20" s="2295">
        <f>+'CO2 - Cálculos'!AG49</f>
        <v>0</v>
      </c>
      <c r="G20" s="2295">
        <f>+'CO2 - Cálculos'!AH49</f>
        <v>0</v>
      </c>
      <c r="H20" s="2295">
        <f>+'CO2 - Cálculos'!AI49</f>
        <v>0</v>
      </c>
      <c r="I20" s="2295">
        <f>+'CO2 - Cálculos'!AJ49</f>
        <v>0</v>
      </c>
      <c r="J20" s="2295">
        <f>+'CO2 - Cálculos'!AK49</f>
        <v>0</v>
      </c>
      <c r="K20" s="1886"/>
      <c r="L20" s="1886"/>
      <c r="M20" s="1886"/>
      <c r="N20" s="1886"/>
      <c r="O20" s="1886"/>
      <c r="P20" s="1886"/>
      <c r="Q20" s="1886"/>
      <c r="R20" s="1886"/>
      <c r="S20" s="1886"/>
      <c r="T20" s="1886"/>
      <c r="U20" s="1886"/>
      <c r="V20" s="1886"/>
      <c r="W20" s="1886"/>
      <c r="X20" s="1886"/>
    </row>
    <row r="21" spans="1:52" ht="18" customHeight="1" x14ac:dyDescent="0.2">
      <c r="A21" s="1886"/>
      <c r="B21" s="2222" t="s">
        <v>1246</v>
      </c>
      <c r="C21" s="2295">
        <f>+'CO2 - Cálculos'!AD50</f>
        <v>0</v>
      </c>
      <c r="D21" s="2295">
        <f>+'CO2 - Cálculos'!AE50</f>
        <v>0</v>
      </c>
      <c r="E21" s="2295">
        <f>+'CO2 - Cálculos'!AF50</f>
        <v>0</v>
      </c>
      <c r="F21" s="2295">
        <f>+'CO2 - Cálculos'!AG50</f>
        <v>0</v>
      </c>
      <c r="G21" s="2295">
        <f>+'CO2 - Cálculos'!AH50</f>
        <v>0</v>
      </c>
      <c r="H21" s="2295">
        <f>+'CO2 - Cálculos'!AI50</f>
        <v>39381.762599999995</v>
      </c>
      <c r="I21" s="2295">
        <f>+'CO2 - Cálculos'!AJ50</f>
        <v>19690.881299999997</v>
      </c>
      <c r="J21" s="2295">
        <f>+'CO2 - Cálculos'!AK50</f>
        <v>19690.881299999997</v>
      </c>
      <c r="K21" s="1886"/>
      <c r="L21" s="1886"/>
      <c r="M21" s="1886"/>
      <c r="N21" s="1886"/>
      <c r="O21" s="1886"/>
      <c r="P21" s="1886"/>
      <c r="Q21" s="1886"/>
      <c r="R21" s="1886"/>
      <c r="S21" s="1886"/>
      <c r="T21" s="1886"/>
      <c r="U21" s="1886"/>
      <c r="V21" s="1886"/>
      <c r="W21" s="1886"/>
      <c r="X21" s="1886"/>
    </row>
    <row r="22" spans="1:52" ht="18" customHeight="1" x14ac:dyDescent="0.2">
      <c r="A22" s="1886"/>
      <c r="B22" s="2322" t="s">
        <v>64</v>
      </c>
      <c r="C22" s="2295">
        <f>+'CO2 - Cálculos'!AD51</f>
        <v>141269.6</v>
      </c>
      <c r="D22" s="2295">
        <f>+'CO2 - Cálculos'!AE51</f>
        <v>45945.389699999992</v>
      </c>
      <c r="E22" s="2295">
        <f>+'CO2 - Cálculos'!AF51</f>
        <v>45945.389699999992</v>
      </c>
      <c r="F22" s="2295">
        <f>+'CO2 - Cálculos'!AG51</f>
        <v>45945.389699999992</v>
      </c>
      <c r="G22" s="2295">
        <f>+'CO2 - Cálculos'!AH51</f>
        <v>49227.203249999991</v>
      </c>
      <c r="H22" s="2295">
        <f>+'CO2 - Cálculos'!AI51</f>
        <v>0</v>
      </c>
      <c r="I22" s="2295">
        <f>+'CO2 - Cálculos'!AJ51</f>
        <v>0</v>
      </c>
      <c r="J22" s="2295">
        <f>+'CO2 - Cálculos'!AK51</f>
        <v>0</v>
      </c>
      <c r="K22" s="1886"/>
      <c r="L22" s="1886"/>
      <c r="M22" s="1886"/>
      <c r="N22" s="1886"/>
      <c r="O22" s="1886"/>
      <c r="P22" s="1886"/>
      <c r="Q22" s="1886"/>
      <c r="R22" s="1886"/>
      <c r="S22" s="1886"/>
      <c r="T22" s="1886"/>
      <c r="U22" s="1886"/>
      <c r="V22" s="1886"/>
      <c r="W22" s="1886"/>
      <c r="X22" s="1886"/>
    </row>
    <row r="23" spans="1:52" ht="18" customHeight="1" x14ac:dyDescent="0.2">
      <c r="A23" s="1886"/>
      <c r="B23" s="2323" t="s">
        <v>1247</v>
      </c>
      <c r="C23" s="2372">
        <f>+'CO2 - Cálculos'!AD52</f>
        <v>0</v>
      </c>
      <c r="D23" s="2295">
        <f>+'CO2 - Cálculos'!AE52</f>
        <v>0</v>
      </c>
      <c r="E23" s="2295">
        <f>+'CO2 - Cálculos'!AF52</f>
        <v>0</v>
      </c>
      <c r="F23" s="2295">
        <f>+'CO2 - Cálculos'!AG52</f>
        <v>0</v>
      </c>
      <c r="G23" s="2295">
        <f>+'CO2 - Cálculos'!AH52</f>
        <v>82045.338749999995</v>
      </c>
      <c r="H23" s="2295">
        <f>+'CO2 - Cálculos'!AI52</f>
        <v>0</v>
      </c>
      <c r="I23" s="2295">
        <f>+'CO2 - Cálculos'!AJ52</f>
        <v>0</v>
      </c>
      <c r="J23" s="2295">
        <f>+'CO2 - Cálculos'!AK52</f>
        <v>0</v>
      </c>
      <c r="K23" s="1886"/>
      <c r="L23" s="1886"/>
      <c r="M23" s="1886"/>
      <c r="N23" s="1886"/>
      <c r="O23" s="1886"/>
      <c r="P23" s="1886"/>
      <c r="Q23" s="1886"/>
      <c r="R23" s="1886"/>
      <c r="S23" s="1886"/>
      <c r="T23" s="1886"/>
      <c r="U23" s="1886"/>
      <c r="V23" s="1886"/>
      <c r="W23" s="1886"/>
      <c r="X23" s="1886"/>
    </row>
    <row r="24" spans="1:52" ht="18" customHeight="1" x14ac:dyDescent="0.2">
      <c r="A24" s="1886"/>
      <c r="B24" s="2323" t="s">
        <v>1248</v>
      </c>
      <c r="C24" s="2295">
        <f>+'CO2 - Cálculos'!AD53</f>
        <v>0</v>
      </c>
      <c r="D24" s="2295">
        <f>+'CO2 - Cálculos'!AE53</f>
        <v>16409.067749999998</v>
      </c>
      <c r="E24" s="2295">
        <f>+'CO2 - Cálculos'!AF53</f>
        <v>16409.067749999998</v>
      </c>
      <c r="F24" s="2295">
        <f>+'CO2 - Cálculos'!AG53</f>
        <v>16409.067749999998</v>
      </c>
      <c r="G24" s="2295">
        <f>+'CO2 - Cálculos'!AH53</f>
        <v>0</v>
      </c>
      <c r="H24" s="2295">
        <f>+'CO2 - Cálculos'!AI53</f>
        <v>0</v>
      </c>
      <c r="I24" s="2295">
        <f>+'CO2 - Cálculos'!AJ53</f>
        <v>0</v>
      </c>
      <c r="J24" s="2295">
        <f>+'CO2 - Cálculos'!AK53</f>
        <v>0</v>
      </c>
      <c r="K24" s="1886"/>
      <c r="L24" s="1886"/>
      <c r="M24" s="1886"/>
      <c r="N24" s="1886"/>
      <c r="O24" s="1886"/>
      <c r="P24" s="1886"/>
      <c r="Q24" s="1886"/>
      <c r="R24" s="1886"/>
      <c r="S24" s="1886"/>
      <c r="T24" s="1886"/>
      <c r="U24" s="1886"/>
      <c r="V24" s="1886"/>
      <c r="W24" s="1886"/>
      <c r="X24" s="1886"/>
    </row>
    <row r="25" spans="1:52" ht="18" customHeight="1" x14ac:dyDescent="0.2">
      <c r="A25" s="1886"/>
      <c r="B25" s="2323" t="s">
        <v>1249</v>
      </c>
      <c r="C25" s="2295">
        <f>+'CO2 - Cálculos'!AD54</f>
        <v>0</v>
      </c>
      <c r="D25" s="2295">
        <f>+'CO2 - Cálculos'!AE54</f>
        <v>68918.08455</v>
      </c>
      <c r="E25" s="2295">
        <f>+'CO2 - Cálculos'!AF54</f>
        <v>68918.08455</v>
      </c>
      <c r="F25" s="2295">
        <f>+'CO2 - Cálculos'!AG54</f>
        <v>68918.08455</v>
      </c>
      <c r="G25" s="2295">
        <f>+'CO2 - Cálculos'!AH54</f>
        <v>0</v>
      </c>
      <c r="H25" s="2295">
        <f>+'CO2 - Cálculos'!AI54</f>
        <v>0</v>
      </c>
      <c r="I25" s="2295">
        <f>+'CO2 - Cálculos'!AJ54</f>
        <v>0</v>
      </c>
      <c r="J25" s="2295">
        <f>+'CO2 - Cálculos'!AK54</f>
        <v>0</v>
      </c>
      <c r="K25" s="1886"/>
      <c r="L25" s="1886"/>
      <c r="M25" s="1886"/>
      <c r="N25" s="1886"/>
      <c r="O25" s="1886"/>
      <c r="P25" s="1886"/>
      <c r="Q25" s="1886"/>
      <c r="R25" s="1886"/>
      <c r="S25" s="1886"/>
      <c r="T25" s="1886"/>
      <c r="U25" s="1886"/>
      <c r="V25" s="1886"/>
      <c r="W25" s="1886"/>
      <c r="X25" s="1886"/>
    </row>
    <row r="26" spans="1:52" ht="18" customHeight="1" x14ac:dyDescent="0.2">
      <c r="A26" s="1886"/>
      <c r="B26" s="2323" t="s">
        <v>1250</v>
      </c>
      <c r="C26" s="2295">
        <f>+'CO2 - Cálculos'!AD55</f>
        <v>0</v>
      </c>
      <c r="D26" s="2295">
        <f>+'CO2 - Cálculos'!AE55</f>
        <v>0</v>
      </c>
      <c r="E26" s="2295">
        <f>+'CO2 - Cálculos'!AF55</f>
        <v>0</v>
      </c>
      <c r="F26" s="2295">
        <f>+'CO2 - Cálculos'!AG55</f>
        <v>0</v>
      </c>
      <c r="G26" s="2295">
        <f>+'CO2 - Cálculos'!AH55</f>
        <v>0</v>
      </c>
      <c r="H26" s="2295">
        <f>+'CO2 - Cálculos'!AI55</f>
        <v>91890.779399999985</v>
      </c>
      <c r="I26" s="2295">
        <f>+'CO2 - Cálculos'!AJ55</f>
        <v>0</v>
      </c>
      <c r="J26" s="2295">
        <f>+'CO2 - Cálculos'!AK55</f>
        <v>0</v>
      </c>
      <c r="K26" s="1886"/>
      <c r="L26" s="1886"/>
      <c r="M26" s="1886"/>
      <c r="N26" s="1886"/>
      <c r="O26" s="1886"/>
      <c r="P26" s="1886"/>
      <c r="Q26" s="1886"/>
      <c r="R26" s="1886"/>
      <c r="S26" s="1886"/>
      <c r="T26" s="1886"/>
      <c r="U26" s="1886"/>
      <c r="V26" s="1886"/>
      <c r="W26" s="1886"/>
      <c r="X26" s="1886"/>
    </row>
    <row r="27" spans="1:52" ht="18" customHeight="1" x14ac:dyDescent="0.2">
      <c r="A27" s="1886"/>
      <c r="B27" s="2222" t="s">
        <v>63</v>
      </c>
      <c r="C27" s="2295">
        <f>+'CO2 - Cálculos'!AD56</f>
        <v>0</v>
      </c>
      <c r="D27" s="2295">
        <f>+'CO2 - Cálculos'!AE56</f>
        <v>0</v>
      </c>
      <c r="E27" s="2295">
        <f>+'CO2 - Cálculos'!AF56</f>
        <v>0</v>
      </c>
      <c r="F27" s="2295">
        <f>+'CO2 - Cálculos'!AG56</f>
        <v>0</v>
      </c>
      <c r="G27" s="2295">
        <f>+'CO2 - Cálculos'!AH56</f>
        <v>0</v>
      </c>
      <c r="H27" s="2295">
        <f>+'CO2 - Cálculos'!AI56</f>
        <v>0</v>
      </c>
      <c r="I27" s="2295">
        <f>+'CO2 - Cálculos'!AJ56</f>
        <v>111581.66069999998</v>
      </c>
      <c r="J27" s="2295">
        <f>+'CO2 - Cálculos'!AK56</f>
        <v>111581.66069999998</v>
      </c>
      <c r="K27" s="1886"/>
      <c r="L27" s="1886"/>
      <c r="M27" s="1886"/>
      <c r="N27" s="1886"/>
      <c r="O27" s="1886"/>
      <c r="P27" s="1886"/>
      <c r="Q27" s="1886"/>
      <c r="R27" s="1886"/>
      <c r="S27" s="1886"/>
      <c r="T27" s="1886"/>
      <c r="U27" s="1886"/>
      <c r="V27" s="1886"/>
      <c r="W27" s="1886"/>
      <c r="X27" s="1886"/>
    </row>
    <row r="28" spans="1:52" x14ac:dyDescent="0.2">
      <c r="A28" s="1886"/>
      <c r="B28" s="1886"/>
      <c r="C28" s="2230"/>
      <c r="D28" s="1886"/>
      <c r="E28" s="1886"/>
      <c r="F28" s="1886"/>
      <c r="G28" s="1886"/>
      <c r="H28" s="1886"/>
      <c r="I28" s="1886"/>
      <c r="J28" s="1886"/>
      <c r="K28" s="1886"/>
      <c r="L28" s="1886"/>
      <c r="M28" s="1886"/>
      <c r="N28" s="1886"/>
      <c r="O28" s="1886"/>
      <c r="P28" s="1886"/>
      <c r="Q28" s="1886"/>
      <c r="R28" s="1886"/>
      <c r="S28" s="1886"/>
      <c r="T28" s="1886"/>
      <c r="U28" s="1886"/>
      <c r="V28" s="1886"/>
      <c r="W28" s="1886"/>
      <c r="X28" s="1886"/>
    </row>
    <row r="29" spans="1:52" s="2225" customFormat="1" ht="26.1" customHeight="1" x14ac:dyDescent="0.25">
      <c r="A29" s="2059" t="s">
        <v>1266</v>
      </c>
      <c r="B29" s="2419"/>
      <c r="C29" s="1952"/>
      <c r="D29" s="1952"/>
      <c r="E29" s="1952"/>
      <c r="F29" s="1952"/>
      <c r="G29" s="1952"/>
      <c r="H29" s="1952"/>
      <c r="I29" s="1952"/>
      <c r="J29" s="1952"/>
      <c r="K29" s="2026"/>
      <c r="L29" s="2026"/>
      <c r="M29" s="2026"/>
      <c r="N29" s="2026"/>
      <c r="O29" s="2026"/>
      <c r="P29" s="2026"/>
      <c r="Q29" s="2026"/>
      <c r="R29" s="2026"/>
      <c r="S29" s="2026"/>
      <c r="T29" s="2026"/>
      <c r="U29" s="2026"/>
      <c r="V29" s="2026"/>
      <c r="W29" s="2026"/>
      <c r="X29" s="2026"/>
      <c r="Y29" s="1841"/>
      <c r="Z29" s="1841"/>
      <c r="AA29" s="1841"/>
      <c r="AB29" s="1841"/>
      <c r="AC29" s="1841"/>
      <c r="AD29" s="1841"/>
      <c r="AE29" s="1841"/>
      <c r="AF29" s="1841"/>
      <c r="AG29" s="1841"/>
      <c r="AH29" s="1841"/>
      <c r="AI29" s="1841"/>
      <c r="AJ29" s="1841"/>
      <c r="AK29" s="1841"/>
      <c r="AL29" s="1841"/>
      <c r="AM29" s="1841"/>
      <c r="AN29" s="1841"/>
      <c r="AO29" s="1841"/>
      <c r="AP29" s="1841"/>
      <c r="AQ29" s="1841"/>
      <c r="AR29" s="1841"/>
      <c r="AS29" s="1841"/>
      <c r="AT29" s="1841"/>
      <c r="AU29" s="1841"/>
      <c r="AV29" s="1841"/>
      <c r="AW29" s="1841"/>
      <c r="AX29" s="1841"/>
      <c r="AY29" s="1841"/>
      <c r="AZ29" s="1841"/>
    </row>
    <row r="30" spans="1:52" s="2068" customFormat="1" ht="18" customHeight="1" x14ac:dyDescent="0.25">
      <c r="A30" s="1953"/>
      <c r="B30" s="1953"/>
      <c r="C30" s="1953"/>
      <c r="D30" s="1953"/>
      <c r="E30" s="1953"/>
      <c r="F30" s="1953"/>
      <c r="G30" s="1953"/>
      <c r="H30" s="1953"/>
      <c r="I30" s="1953"/>
      <c r="J30" s="1953"/>
      <c r="K30" s="1953"/>
      <c r="L30" s="1953"/>
      <c r="M30" s="1953"/>
      <c r="N30" s="1953"/>
      <c r="O30" s="1953"/>
      <c r="P30" s="1953"/>
      <c r="Q30" s="1953"/>
      <c r="R30" s="1953"/>
      <c r="S30" s="1953"/>
      <c r="T30" s="1953"/>
      <c r="U30" s="1953"/>
      <c r="V30" s="1953"/>
      <c r="W30" s="1953"/>
      <c r="X30" s="1953"/>
    </row>
    <row r="31" spans="1:52" s="2068" customFormat="1" ht="36.6" customHeight="1" x14ac:dyDescent="0.25">
      <c r="A31" s="2420"/>
      <c r="B31" s="2421"/>
      <c r="C31" s="2266" t="str">
        <f t="shared" ref="C31:J31" si="2">+C2</f>
        <v>Cenário-Base</v>
      </c>
      <c r="D31" s="2414" t="str">
        <f t="shared" si="2"/>
        <v>Biodigestão RT1A + CDR TM</v>
      </c>
      <c r="E31" s="2414" t="str">
        <f t="shared" si="2"/>
        <v>Biodigestão RT1B + CDR TM</v>
      </c>
      <c r="F31" s="2414" t="str">
        <f t="shared" si="2"/>
        <v>Biodigestão RT1C + CDR TM</v>
      </c>
      <c r="G31" s="2414" t="str">
        <f t="shared" si="2"/>
        <v>Compostagem + CDR TM</v>
      </c>
      <c r="H31" s="2414" t="str">
        <f t="shared" si="2"/>
        <v xml:space="preserve">Biosecagem + CDR TMB </v>
      </c>
      <c r="I31" s="2414" t="str">
        <f t="shared" si="2"/>
        <v>Incineração Mass Burning</v>
      </c>
      <c r="J31" s="2414" t="str">
        <f t="shared" si="2"/>
        <v>Incineração Mass Burn. Descentralizada</v>
      </c>
      <c r="K31" s="1953"/>
      <c r="L31" s="1953"/>
      <c r="M31" s="1953"/>
      <c r="N31" s="1953"/>
      <c r="O31" s="1953"/>
      <c r="P31" s="1953"/>
      <c r="Q31" s="1953"/>
      <c r="R31" s="1953"/>
      <c r="S31" s="1953"/>
      <c r="T31" s="1953"/>
      <c r="U31" s="1953"/>
      <c r="V31" s="1953"/>
      <c r="W31" s="1953"/>
      <c r="X31" s="1953"/>
    </row>
    <row r="32" spans="1:52" s="2068" customFormat="1" ht="18" customHeight="1" x14ac:dyDescent="0.25">
      <c r="A32" s="2222" t="s">
        <v>1239</v>
      </c>
      <c r="B32" s="2422" t="s">
        <v>1257</v>
      </c>
      <c r="C32" s="2295">
        <f>+'CO2 - Cenário Base'!H53</f>
        <v>3375.4324000000001</v>
      </c>
      <c r="D32" s="2295">
        <f>+'CO2 - Cenário RT 1A'!H53</f>
        <v>10561.463048000001</v>
      </c>
      <c r="E32" s="2295">
        <f>+'CO2 - Cenário RT 1B'!H53</f>
        <v>10561.463048000001</v>
      </c>
      <c r="F32" s="2295">
        <f>+'CO2 - Cenário RT 1C'!H53</f>
        <v>10561.463048000001</v>
      </c>
      <c r="G32" s="2295">
        <f>+'CO2 - Cenário RT 2'!H53</f>
        <v>10561.463048000001</v>
      </c>
      <c r="H32" s="2295">
        <f>+'CO2 - Cenário RT 3'!H53</f>
        <v>10561.463048000001</v>
      </c>
      <c r="I32" s="2295">
        <f>+'CO2 - Cenário RT 4'!H53</f>
        <v>10561.463048000001</v>
      </c>
      <c r="J32" s="2295">
        <f>+'CO2 - Cenário RT 5'!H53</f>
        <v>10561.463048000001</v>
      </c>
      <c r="K32" s="1953"/>
      <c r="L32" s="2423"/>
      <c r="M32" s="1953"/>
      <c r="N32" s="1953"/>
      <c r="O32" s="1953"/>
      <c r="P32" s="1953"/>
      <c r="Q32" s="1953"/>
      <c r="R32" s="1953"/>
      <c r="S32" s="1953"/>
      <c r="T32" s="1953"/>
      <c r="U32" s="1953"/>
      <c r="V32" s="1953"/>
      <c r="W32" s="1953"/>
      <c r="X32" s="1953"/>
    </row>
    <row r="33" spans="1:24" s="2068" customFormat="1" ht="18" customHeight="1" x14ac:dyDescent="0.25">
      <c r="A33" s="2424"/>
      <c r="B33" s="2422" t="s">
        <v>1258</v>
      </c>
      <c r="C33" s="2295">
        <f>+'CO2 - Cenário Base'!H54</f>
        <v>-9605.6758000000009</v>
      </c>
      <c r="D33" s="2295">
        <f>+'CO2 - Cenário RT 1A'!H54</f>
        <v>-31824.008943999997</v>
      </c>
      <c r="E33" s="2295">
        <f>+'CO2 - Cenário RT 1B'!H54</f>
        <v>-31824.008943999997</v>
      </c>
      <c r="F33" s="2295">
        <f>+'CO2 - Cenário RT 1C'!H54</f>
        <v>-31824.008943999997</v>
      </c>
      <c r="G33" s="2295">
        <f>+'CO2 - Cenário RT 2'!H54</f>
        <v>-31824.008943999997</v>
      </c>
      <c r="H33" s="2295">
        <f>+'CO2 - Cenário RT 3'!H54</f>
        <v>-31824.008943999997</v>
      </c>
      <c r="I33" s="2295">
        <f>+'CO2 - Cenário RT 4'!H54</f>
        <v>-31824.008943999997</v>
      </c>
      <c r="J33" s="2295">
        <f>+'CO2 - Cenário RT 5'!H54</f>
        <v>-31824.008943999997</v>
      </c>
      <c r="K33" s="1953"/>
      <c r="L33" s="1953"/>
      <c r="M33" s="1953"/>
      <c r="N33" s="1953"/>
      <c r="O33" s="1953"/>
      <c r="P33" s="1953"/>
      <c r="Q33" s="1953"/>
      <c r="R33" s="1953"/>
      <c r="S33" s="1953"/>
      <c r="T33" s="1953"/>
      <c r="U33" s="1953"/>
      <c r="V33" s="1953"/>
      <c r="W33" s="1953"/>
      <c r="X33" s="1953"/>
    </row>
    <row r="34" spans="1:24" s="2068" customFormat="1" ht="18" customHeight="1" x14ac:dyDescent="0.25">
      <c r="A34" s="2222" t="s">
        <v>1267</v>
      </c>
      <c r="B34" s="2422" t="s">
        <v>1257</v>
      </c>
      <c r="C34" s="2295">
        <f>+'CO2 - Cenário Base'!I53</f>
        <v>167352.43851908133</v>
      </c>
      <c r="D34" s="2295">
        <f>+'CO2 - Cenário RT 1A'!I53</f>
        <v>71149.336779140445</v>
      </c>
      <c r="E34" s="2295">
        <f>+'CO2 - Cenário RT 1B'!I53</f>
        <v>71149.336779140445</v>
      </c>
      <c r="F34" s="2295">
        <f>+'CO2 - Cenário RT 1C'!I53</f>
        <v>70797.19192956874</v>
      </c>
      <c r="G34" s="2295">
        <f>+'CO2 - Cenário RT 2'!I53</f>
        <v>60730.016463997745</v>
      </c>
      <c r="H34" s="2295">
        <f>+'CO2 - Cenário RT 3'!I53</f>
        <v>67220.256893611731</v>
      </c>
      <c r="I34" s="2295">
        <f>+'CO2 - Cenário RT 4'!I53</f>
        <v>65989.517947731059</v>
      </c>
      <c r="J34" s="2295">
        <f>+'CO2 - Cenário RT 5'!I53</f>
        <v>65989.517947731059</v>
      </c>
      <c r="K34" s="1953"/>
      <c r="L34" s="1953"/>
      <c r="M34" s="1953"/>
      <c r="N34" s="1953"/>
      <c r="O34" s="1953"/>
      <c r="P34" s="1953"/>
      <c r="Q34" s="1953"/>
      <c r="R34" s="1953"/>
      <c r="S34" s="1953"/>
      <c r="T34" s="1953"/>
      <c r="U34" s="1953"/>
      <c r="V34" s="1953"/>
      <c r="W34" s="1953"/>
      <c r="X34" s="1953"/>
    </row>
    <row r="35" spans="1:24" s="2068" customFormat="1" ht="18" customHeight="1" x14ac:dyDescent="0.25">
      <c r="A35" s="2424"/>
      <c r="B35" s="2422" t="s">
        <v>1258</v>
      </c>
      <c r="C35" s="2295">
        <f>+'CO2 - Cenário Base'!I54</f>
        <v>0</v>
      </c>
      <c r="D35" s="2295">
        <f>+'CO2 - Cenário RT 1A'!I54</f>
        <v>-43159.643033361666</v>
      </c>
      <c r="E35" s="2295">
        <f>+'CO2 - Cenário RT 1B'!I54</f>
        <v>-49400.064224446083</v>
      </c>
      <c r="F35" s="2295">
        <f>+'CO2 - Cenário RT 1C'!I54</f>
        <v>-42709.450115955238</v>
      </c>
      <c r="G35" s="2295">
        <f>+'CO2 - Cenário RT 2'!I54</f>
        <v>0</v>
      </c>
      <c r="H35" s="2295">
        <f>+'CO2 - Cenário RT 3'!I54</f>
        <v>-80794.489341582099</v>
      </c>
      <c r="I35" s="2295">
        <f>+'CO2 - Cenário RT 4'!I54</f>
        <v>-2810.5079200893747</v>
      </c>
      <c r="J35" s="2295">
        <f>+'CO2 - Cenário RT 5'!I54</f>
        <v>-2810.5079200893747</v>
      </c>
      <c r="K35" s="1953"/>
      <c r="L35" s="1953"/>
      <c r="M35" s="1953"/>
      <c r="N35" s="1953"/>
      <c r="O35" s="1953"/>
      <c r="P35" s="1953"/>
      <c r="Q35" s="1953"/>
      <c r="R35" s="1953"/>
      <c r="S35" s="1953"/>
      <c r="T35" s="1953"/>
      <c r="U35" s="1953"/>
      <c r="V35" s="1953"/>
      <c r="W35" s="1953"/>
      <c r="X35" s="1953"/>
    </row>
    <row r="36" spans="1:24" s="2068" customFormat="1" ht="18" customHeight="1" x14ac:dyDescent="0.25">
      <c r="A36" s="2222" t="s">
        <v>1273</v>
      </c>
      <c r="B36" s="2422" t="s">
        <v>1257</v>
      </c>
      <c r="C36" s="2295">
        <f t="shared" ref="C36:J37" si="3">+C32+C34</f>
        <v>170727.87091908132</v>
      </c>
      <c r="D36" s="2295">
        <f t="shared" si="3"/>
        <v>81710.79982714045</v>
      </c>
      <c r="E36" s="2295">
        <f t="shared" si="3"/>
        <v>81710.79982714045</v>
      </c>
      <c r="F36" s="2295">
        <f t="shared" si="3"/>
        <v>81358.654977568745</v>
      </c>
      <c r="G36" s="2295">
        <f t="shared" si="3"/>
        <v>71291.47951199775</v>
      </c>
      <c r="H36" s="2295">
        <f t="shared" si="3"/>
        <v>77781.719941611736</v>
      </c>
      <c r="I36" s="2295">
        <f t="shared" si="3"/>
        <v>76550.980995731064</v>
      </c>
      <c r="J36" s="2295">
        <f t="shared" si="3"/>
        <v>76550.980995731064</v>
      </c>
      <c r="K36" s="1953"/>
      <c r="L36" s="1953"/>
      <c r="M36" s="1953"/>
      <c r="N36" s="1953"/>
      <c r="O36" s="1953"/>
      <c r="P36" s="1953"/>
      <c r="Q36" s="1953"/>
      <c r="R36" s="1953"/>
      <c r="S36" s="1953"/>
      <c r="T36" s="1953"/>
      <c r="U36" s="1953"/>
      <c r="V36" s="1953"/>
      <c r="W36" s="1953"/>
      <c r="X36" s="1953"/>
    </row>
    <row r="37" spans="1:24" s="2068" customFormat="1" ht="18" customHeight="1" x14ac:dyDescent="0.25">
      <c r="A37" s="2270"/>
      <c r="B37" s="2422" t="s">
        <v>1258</v>
      </c>
      <c r="C37" s="2295">
        <f t="shared" si="3"/>
        <v>-9605.6758000000009</v>
      </c>
      <c r="D37" s="2295">
        <f t="shared" si="3"/>
        <v>-74983.65197736166</v>
      </c>
      <c r="E37" s="2295">
        <f t="shared" si="3"/>
        <v>-81224.073168446077</v>
      </c>
      <c r="F37" s="2295">
        <f t="shared" si="3"/>
        <v>-74533.459059955232</v>
      </c>
      <c r="G37" s="2295">
        <f t="shared" si="3"/>
        <v>-31824.008943999997</v>
      </c>
      <c r="H37" s="2295">
        <f t="shared" si="3"/>
        <v>-112618.4982855821</v>
      </c>
      <c r="I37" s="2295">
        <f t="shared" si="3"/>
        <v>-34634.516864089375</v>
      </c>
      <c r="J37" s="2295">
        <f t="shared" si="3"/>
        <v>-34634.516864089375</v>
      </c>
      <c r="K37" s="1953"/>
      <c r="L37" s="1953"/>
      <c r="M37" s="1953"/>
      <c r="N37" s="1953"/>
      <c r="O37" s="1953"/>
      <c r="P37" s="1953"/>
      <c r="Q37" s="1953"/>
      <c r="R37" s="1953"/>
      <c r="S37" s="1953"/>
      <c r="T37" s="1953"/>
      <c r="U37" s="1953"/>
      <c r="V37" s="1953"/>
      <c r="W37" s="1953"/>
      <c r="X37" s="1953"/>
    </row>
    <row r="38" spans="1:24" s="2068" customFormat="1" ht="18" customHeight="1" x14ac:dyDescent="0.25">
      <c r="A38" s="2270"/>
      <c r="B38" s="2422" t="s">
        <v>1259</v>
      </c>
      <c r="C38" s="2981">
        <f t="shared" ref="C38:J38" si="4">+C36+C37</f>
        <v>161122.19511908133</v>
      </c>
      <c r="D38" s="2981">
        <f t="shared" si="4"/>
        <v>6727.1478497787903</v>
      </c>
      <c r="E38" s="2981">
        <f t="shared" si="4"/>
        <v>486.72665869437333</v>
      </c>
      <c r="F38" s="2981">
        <f t="shared" si="4"/>
        <v>6825.1959176135133</v>
      </c>
      <c r="G38" s="2981">
        <f t="shared" si="4"/>
        <v>39467.470567997749</v>
      </c>
      <c r="H38" s="2981">
        <f t="shared" si="4"/>
        <v>-34836.778343970363</v>
      </c>
      <c r="I38" s="2981">
        <f t="shared" si="4"/>
        <v>41916.464131641689</v>
      </c>
      <c r="J38" s="2981">
        <f t="shared" si="4"/>
        <v>41916.464131641689</v>
      </c>
      <c r="K38" s="1953"/>
      <c r="L38" s="1953"/>
      <c r="M38" s="1953"/>
      <c r="N38" s="1953"/>
      <c r="O38" s="1953"/>
      <c r="P38" s="1953"/>
      <c r="Q38" s="1953"/>
      <c r="R38" s="1953"/>
      <c r="S38" s="1953"/>
      <c r="T38" s="1953"/>
      <c r="U38" s="1953"/>
      <c r="V38" s="1953"/>
      <c r="W38" s="1953"/>
      <c r="X38" s="1953"/>
    </row>
    <row r="39" spans="1:24" s="2068" customFormat="1" ht="18" customHeight="1" x14ac:dyDescent="0.25">
      <c r="A39" s="1953"/>
      <c r="B39" s="1953"/>
      <c r="C39" s="1953"/>
      <c r="D39" s="1953"/>
      <c r="E39" s="1953"/>
      <c r="F39" s="1953"/>
      <c r="G39" s="1953"/>
      <c r="H39" s="1953"/>
      <c r="I39" s="1953"/>
      <c r="J39" s="1953"/>
      <c r="K39" s="1953"/>
      <c r="L39" s="1953"/>
      <c r="M39" s="1953"/>
      <c r="N39" s="1953"/>
      <c r="O39" s="1953"/>
      <c r="P39" s="1953"/>
      <c r="Q39" s="1953"/>
      <c r="R39" s="1953"/>
      <c r="S39" s="1953"/>
      <c r="T39" s="1953"/>
      <c r="U39" s="1953"/>
      <c r="V39" s="1953"/>
      <c r="W39" s="1953"/>
      <c r="X39" s="1953"/>
    </row>
    <row r="40" spans="1:24" x14ac:dyDescent="0.2">
      <c r="A40" s="1886"/>
      <c r="B40" s="1886"/>
      <c r="C40" s="1886"/>
      <c r="D40" s="1886"/>
      <c r="E40" s="1886"/>
      <c r="F40" s="1886"/>
      <c r="G40" s="1886"/>
      <c r="H40" s="1886"/>
      <c r="I40" s="1886"/>
      <c r="J40" s="1886"/>
      <c r="K40" s="1886"/>
      <c r="L40" s="1886"/>
      <c r="M40" s="1886"/>
      <c r="N40" s="1886"/>
      <c r="O40" s="1886"/>
      <c r="P40" s="1886"/>
      <c r="Q40" s="1886"/>
      <c r="R40" s="1886"/>
      <c r="S40" s="1886"/>
      <c r="T40" s="1886"/>
      <c r="U40" s="1886"/>
      <c r="V40" s="1886"/>
      <c r="W40" s="1886"/>
      <c r="X40" s="1886"/>
    </row>
    <row r="41" spans="1:24" x14ac:dyDescent="0.2">
      <c r="A41" s="1886"/>
      <c r="B41" s="1886"/>
      <c r="C41" s="1886"/>
      <c r="D41" s="1886"/>
      <c r="E41" s="1886"/>
      <c r="F41" s="1886"/>
      <c r="G41" s="1886"/>
      <c r="H41" s="1886"/>
      <c r="I41" s="1886"/>
      <c r="J41" s="1886"/>
      <c r="K41" s="1886"/>
      <c r="L41" s="1886"/>
      <c r="M41" s="1886"/>
      <c r="N41" s="1886"/>
      <c r="O41" s="1886"/>
      <c r="P41" s="1886"/>
      <c r="Q41" s="1886"/>
      <c r="R41" s="1886"/>
      <c r="S41" s="1886"/>
      <c r="T41" s="1886"/>
      <c r="U41" s="1886"/>
      <c r="V41" s="1886"/>
      <c r="W41" s="1886"/>
      <c r="X41" s="1886"/>
    </row>
    <row r="42" spans="1:24" x14ac:dyDescent="0.2">
      <c r="A42" s="1886"/>
      <c r="B42" s="1886"/>
      <c r="C42" s="1886"/>
      <c r="D42" s="1886"/>
      <c r="E42" s="1886"/>
      <c r="F42" s="1886"/>
      <c r="G42" s="1886"/>
      <c r="H42" s="1886"/>
      <c r="I42" s="1886"/>
      <c r="J42" s="1886"/>
      <c r="K42" s="1886"/>
      <c r="L42" s="1886"/>
      <c r="M42" s="1886"/>
      <c r="N42" s="1886"/>
      <c r="O42" s="1886"/>
      <c r="P42" s="1886"/>
      <c r="Q42" s="1886"/>
      <c r="R42" s="1886"/>
      <c r="S42" s="1886"/>
      <c r="T42" s="1886"/>
      <c r="U42" s="1886"/>
      <c r="V42" s="1886"/>
      <c r="W42" s="1886"/>
      <c r="X42" s="1886"/>
    </row>
    <row r="43" spans="1:24" x14ac:dyDescent="0.2">
      <c r="A43" s="1886"/>
      <c r="B43" s="1886"/>
      <c r="C43" s="1886"/>
      <c r="D43" s="1886"/>
      <c r="E43" s="1886"/>
      <c r="F43" s="1886"/>
      <c r="G43" s="1886"/>
      <c r="H43" s="1886"/>
      <c r="I43" s="1886"/>
      <c r="J43" s="1886"/>
      <c r="K43" s="1886"/>
      <c r="L43" s="1886"/>
      <c r="M43" s="1886"/>
      <c r="N43" s="1886"/>
      <c r="O43" s="1886"/>
      <c r="P43" s="1886"/>
      <c r="Q43" s="1886"/>
      <c r="R43" s="1886"/>
      <c r="S43" s="1886"/>
      <c r="T43" s="1886"/>
      <c r="U43" s="1886"/>
      <c r="V43" s="1886"/>
      <c r="W43" s="1886"/>
      <c r="X43" s="1886"/>
    </row>
    <row r="44" spans="1:24" x14ac:dyDescent="0.2">
      <c r="A44" s="1886"/>
      <c r="B44" s="1886"/>
      <c r="C44" s="1886"/>
      <c r="D44" s="1886"/>
      <c r="E44" s="1886"/>
      <c r="F44" s="1886"/>
      <c r="G44" s="1886"/>
      <c r="H44" s="1886"/>
      <c r="I44" s="1886"/>
      <c r="J44" s="1886"/>
      <c r="K44" s="1886"/>
      <c r="L44" s="1886"/>
      <c r="M44" s="1886"/>
      <c r="N44" s="1886"/>
      <c r="O44" s="1886"/>
      <c r="P44" s="1886"/>
      <c r="Q44" s="1886"/>
      <c r="R44" s="1886"/>
      <c r="S44" s="1886"/>
      <c r="T44" s="1886"/>
      <c r="U44" s="1886"/>
      <c r="V44" s="1886"/>
      <c r="W44" s="1886"/>
      <c r="X44" s="1886"/>
    </row>
    <row r="45" spans="1:24" x14ac:dyDescent="0.2">
      <c r="A45" s="1886"/>
      <c r="B45" s="1886"/>
      <c r="C45" s="1886"/>
      <c r="D45" s="1886"/>
      <c r="E45" s="1886"/>
      <c r="F45" s="1886"/>
      <c r="G45" s="1886"/>
      <c r="H45" s="1886"/>
      <c r="I45" s="1886"/>
      <c r="J45" s="1886"/>
      <c r="K45" s="1886"/>
      <c r="L45" s="1886"/>
      <c r="M45" s="1886"/>
      <c r="N45" s="1886"/>
      <c r="O45" s="1886"/>
      <c r="P45" s="1886"/>
      <c r="Q45" s="1886"/>
      <c r="R45" s="1886"/>
      <c r="S45" s="1886"/>
      <c r="T45" s="1886"/>
      <c r="U45" s="1886"/>
      <c r="V45" s="1886"/>
      <c r="W45" s="1886"/>
      <c r="X45" s="1886"/>
    </row>
    <row r="46" spans="1:24" x14ac:dyDescent="0.2">
      <c r="A46" s="1886"/>
      <c r="B46" s="1886"/>
      <c r="C46" s="1886"/>
      <c r="D46" s="1886"/>
      <c r="E46" s="1886"/>
      <c r="F46" s="1886"/>
      <c r="G46" s="1886"/>
      <c r="H46" s="1886"/>
      <c r="I46" s="1886"/>
      <c r="J46" s="1886"/>
      <c r="K46" s="1886"/>
      <c r="L46" s="1886"/>
      <c r="M46" s="1886"/>
      <c r="N46" s="1886"/>
      <c r="O46" s="1886"/>
      <c r="P46" s="1886"/>
      <c r="Q46" s="1886"/>
      <c r="R46" s="1886"/>
      <c r="S46" s="1886"/>
      <c r="T46" s="1886"/>
      <c r="U46" s="1886"/>
      <c r="V46" s="1886"/>
      <c r="W46" s="1886"/>
      <c r="X46" s="1886"/>
    </row>
    <row r="47" spans="1:24" x14ac:dyDescent="0.2">
      <c r="A47" s="1886"/>
      <c r="B47" s="1886"/>
      <c r="C47" s="1886"/>
      <c r="D47" s="1886"/>
      <c r="E47" s="1886"/>
      <c r="F47" s="1886"/>
      <c r="G47" s="1886"/>
      <c r="H47" s="1886"/>
      <c r="I47" s="1886"/>
      <c r="J47" s="1886"/>
      <c r="K47" s="1886"/>
      <c r="L47" s="1886"/>
      <c r="M47" s="1886"/>
      <c r="N47" s="1886"/>
      <c r="O47" s="1886"/>
      <c r="P47" s="1886"/>
      <c r="Q47" s="1886"/>
      <c r="R47" s="1886"/>
      <c r="S47" s="1886"/>
      <c r="T47" s="1886"/>
      <c r="U47" s="1886"/>
      <c r="V47" s="1886"/>
      <c r="W47" s="1886"/>
      <c r="X47" s="1886"/>
    </row>
    <row r="48" spans="1:24" x14ac:dyDescent="0.2">
      <c r="A48" s="1886"/>
      <c r="B48" s="1886"/>
      <c r="C48" s="1886"/>
      <c r="D48" s="1886"/>
      <c r="E48" s="1886"/>
      <c r="F48" s="1886"/>
      <c r="G48" s="1886"/>
      <c r="H48" s="1886"/>
      <c r="I48" s="1886"/>
      <c r="J48" s="1886"/>
      <c r="K48" s="1886"/>
      <c r="L48" s="1886"/>
      <c r="M48" s="1886"/>
      <c r="N48" s="1886"/>
      <c r="O48" s="1886"/>
      <c r="P48" s="1886"/>
      <c r="Q48" s="1886"/>
      <c r="R48" s="1886"/>
      <c r="S48" s="1886"/>
      <c r="T48" s="1886"/>
      <c r="U48" s="1886"/>
      <c r="V48" s="1886"/>
      <c r="W48" s="1886"/>
      <c r="X48" s="1886"/>
    </row>
    <row r="49" spans="1:24" x14ac:dyDescent="0.2">
      <c r="A49" s="1886"/>
      <c r="B49" s="1886"/>
      <c r="C49" s="1886"/>
      <c r="D49" s="1886"/>
      <c r="E49" s="1886"/>
      <c r="F49" s="1886"/>
      <c r="G49" s="1886"/>
      <c r="H49" s="1886"/>
      <c r="I49" s="1886"/>
      <c r="J49" s="1886"/>
      <c r="K49" s="1886"/>
      <c r="L49" s="1886"/>
      <c r="M49" s="1886"/>
      <c r="N49" s="1886"/>
      <c r="O49" s="1886"/>
      <c r="P49" s="1886"/>
      <c r="Q49" s="1886"/>
      <c r="R49" s="1886"/>
      <c r="S49" s="1886"/>
      <c r="T49" s="1886"/>
      <c r="U49" s="1886"/>
      <c r="V49" s="1886"/>
      <c r="W49" s="1886"/>
      <c r="X49" s="1886"/>
    </row>
    <row r="50" spans="1:24" x14ac:dyDescent="0.2">
      <c r="A50" s="1886"/>
      <c r="B50" s="1886"/>
      <c r="C50" s="1886"/>
      <c r="D50" s="1886"/>
      <c r="E50" s="1886"/>
      <c r="F50" s="1886"/>
      <c r="G50" s="1886"/>
      <c r="H50" s="1886"/>
      <c r="I50" s="1886"/>
      <c r="J50" s="1886"/>
      <c r="K50" s="1886"/>
      <c r="L50" s="1886"/>
      <c r="M50" s="1886"/>
      <c r="N50" s="1886"/>
      <c r="O50" s="1886"/>
      <c r="P50" s="1886"/>
      <c r="Q50" s="1886"/>
      <c r="R50" s="1886"/>
      <c r="S50" s="1886"/>
      <c r="T50" s="1886"/>
      <c r="U50" s="1886"/>
      <c r="V50" s="1886"/>
      <c r="W50" s="1886"/>
      <c r="X50" s="1886"/>
    </row>
    <row r="51" spans="1:24" x14ac:dyDescent="0.2">
      <c r="A51" s="1886"/>
      <c r="B51" s="1886"/>
      <c r="C51" s="1886"/>
      <c r="D51" s="1886"/>
      <c r="E51" s="1886"/>
      <c r="F51" s="1886"/>
      <c r="G51" s="1886"/>
      <c r="H51" s="1886"/>
      <c r="I51" s="1886"/>
      <c r="J51" s="1886"/>
      <c r="K51" s="1886"/>
      <c r="L51" s="1886"/>
      <c r="M51" s="1886"/>
      <c r="N51" s="1886"/>
      <c r="O51" s="1886"/>
      <c r="P51" s="1886"/>
      <c r="Q51" s="1886"/>
      <c r="R51" s="1886"/>
      <c r="S51" s="1886"/>
      <c r="T51" s="1886"/>
      <c r="U51" s="1886"/>
      <c r="V51" s="1886"/>
      <c r="W51" s="1886"/>
      <c r="X51" s="1886"/>
    </row>
    <row r="52" spans="1:24" x14ac:dyDescent="0.2">
      <c r="A52" s="1886"/>
      <c r="B52" s="1886"/>
      <c r="C52" s="1886"/>
      <c r="D52" s="1886"/>
      <c r="E52" s="1886"/>
      <c r="F52" s="1886"/>
      <c r="G52" s="1886"/>
      <c r="H52" s="1886"/>
      <c r="I52" s="1886"/>
      <c r="J52" s="1886"/>
      <c r="K52" s="1886"/>
      <c r="L52" s="1886"/>
      <c r="M52" s="1886"/>
      <c r="N52" s="1886"/>
      <c r="O52" s="1886"/>
      <c r="P52" s="1886"/>
      <c r="Q52" s="1886"/>
      <c r="R52" s="1886"/>
      <c r="S52" s="1886"/>
      <c r="T52" s="1886"/>
      <c r="U52" s="1886"/>
      <c r="V52" s="1886"/>
      <c r="W52" s="1886"/>
      <c r="X52" s="1886"/>
    </row>
    <row r="53" spans="1:24" x14ac:dyDescent="0.2">
      <c r="A53" s="1886"/>
      <c r="B53" s="1886"/>
      <c r="C53" s="1886"/>
      <c r="D53" s="1886"/>
      <c r="E53" s="1886"/>
      <c r="F53" s="1886"/>
      <c r="G53" s="1886"/>
      <c r="H53" s="1886"/>
      <c r="I53" s="1886"/>
      <c r="J53" s="1886"/>
      <c r="K53" s="2394"/>
      <c r="L53" s="1886"/>
      <c r="M53" s="1886"/>
      <c r="N53" s="1886"/>
      <c r="O53" s="1886"/>
      <c r="P53" s="1886"/>
      <c r="Q53" s="1886"/>
      <c r="R53" s="1886"/>
      <c r="S53" s="1886"/>
      <c r="T53" s="1886"/>
      <c r="U53" s="1886"/>
      <c r="V53" s="1886"/>
      <c r="W53" s="1886"/>
      <c r="X53" s="1886"/>
    </row>
    <row r="54" spans="1:24" x14ac:dyDescent="0.2">
      <c r="A54" s="1886"/>
      <c r="B54" s="1886"/>
      <c r="C54" s="1886"/>
      <c r="D54" s="1886"/>
      <c r="E54" s="1886"/>
      <c r="F54" s="1886"/>
      <c r="G54" s="1886"/>
      <c r="H54" s="1886"/>
      <c r="I54" s="1886"/>
      <c r="J54" s="1886"/>
      <c r="K54" s="2394"/>
      <c r="L54" s="1886"/>
      <c r="M54" s="1886"/>
      <c r="N54" s="1886"/>
      <c r="O54" s="1886"/>
      <c r="P54" s="1886"/>
      <c r="Q54" s="1886"/>
      <c r="R54" s="1886"/>
      <c r="S54" s="1886"/>
      <c r="T54" s="1886"/>
      <c r="U54" s="1886"/>
      <c r="V54" s="1886"/>
      <c r="W54" s="1886"/>
      <c r="X54" s="1886"/>
    </row>
    <row r="55" spans="1:24" x14ac:dyDescent="0.2">
      <c r="A55" s="1886"/>
      <c r="B55" s="1886"/>
      <c r="C55" s="1886"/>
      <c r="D55" s="1886"/>
      <c r="E55" s="1886"/>
      <c r="F55" s="1886"/>
      <c r="G55" s="1886"/>
      <c r="H55" s="1886"/>
      <c r="I55" s="1886"/>
      <c r="J55" s="1886"/>
      <c r="K55" s="1886"/>
      <c r="L55" s="1886"/>
      <c r="M55" s="1886"/>
      <c r="N55" s="1886"/>
      <c r="O55" s="1886"/>
      <c r="P55" s="1886"/>
      <c r="Q55" s="1886"/>
      <c r="R55" s="1886"/>
      <c r="S55" s="1886"/>
      <c r="T55" s="1886"/>
      <c r="U55" s="1886"/>
      <c r="V55" s="1886"/>
      <c r="W55" s="1886"/>
      <c r="X55" s="1886"/>
    </row>
    <row r="56" spans="1:24" x14ac:dyDescent="0.2">
      <c r="A56" s="1886"/>
      <c r="B56" s="1886"/>
      <c r="C56" s="1886"/>
      <c r="D56" s="1886"/>
      <c r="E56" s="1886"/>
      <c r="F56" s="1886"/>
      <c r="G56" s="1886"/>
      <c r="H56" s="1886"/>
      <c r="I56" s="1886"/>
      <c r="J56" s="1886"/>
      <c r="K56" s="1886"/>
      <c r="L56" s="1886"/>
      <c r="M56" s="1886"/>
      <c r="N56" s="1886"/>
      <c r="O56" s="1886"/>
      <c r="P56" s="1886"/>
      <c r="Q56" s="1886"/>
      <c r="R56" s="1886"/>
      <c r="S56" s="1886"/>
      <c r="T56" s="1886"/>
      <c r="U56" s="1886"/>
      <c r="V56" s="1886"/>
      <c r="W56" s="1886"/>
      <c r="X56" s="1886"/>
    </row>
    <row r="57" spans="1:24" x14ac:dyDescent="0.2">
      <c r="A57" s="1886"/>
      <c r="B57" s="1886"/>
      <c r="C57" s="1886"/>
      <c r="D57" s="1886"/>
      <c r="E57" s="1886"/>
      <c r="F57" s="1886"/>
      <c r="G57" s="1886"/>
      <c r="H57" s="1886"/>
      <c r="I57" s="1886"/>
      <c r="J57" s="1886"/>
      <c r="K57" s="1886"/>
      <c r="L57" s="1886"/>
      <c r="M57" s="1886"/>
      <c r="N57" s="1886"/>
      <c r="O57" s="1886"/>
      <c r="P57" s="1886"/>
      <c r="Q57" s="1886"/>
      <c r="R57" s="1886"/>
      <c r="S57" s="1886"/>
      <c r="T57" s="1886"/>
      <c r="U57" s="1886"/>
      <c r="V57" s="1886"/>
      <c r="W57" s="1886"/>
      <c r="X57" s="1886"/>
    </row>
    <row r="58" spans="1:24" x14ac:dyDescent="0.2">
      <c r="A58" s="1886"/>
      <c r="B58" s="1886"/>
      <c r="C58" s="1886"/>
      <c r="D58" s="1886"/>
      <c r="E58" s="1886"/>
      <c r="F58" s="1886"/>
      <c r="G58" s="1886"/>
      <c r="H58" s="1886"/>
      <c r="I58" s="1886"/>
      <c r="J58" s="1886"/>
      <c r="K58" s="1886"/>
      <c r="L58" s="1886"/>
      <c r="M58" s="1886"/>
      <c r="N58" s="1886"/>
      <c r="O58" s="1886"/>
      <c r="P58" s="1886"/>
      <c r="Q58" s="1886"/>
      <c r="R58" s="1886"/>
      <c r="S58" s="1886"/>
      <c r="T58" s="1886"/>
      <c r="U58" s="1886"/>
      <c r="V58" s="1886"/>
      <c r="W58" s="1886"/>
      <c r="X58" s="1886"/>
    </row>
    <row r="59" spans="1:24" x14ac:dyDescent="0.2">
      <c r="A59" s="1886"/>
      <c r="B59" s="1886"/>
      <c r="C59" s="1886"/>
      <c r="D59" s="1886"/>
      <c r="E59" s="1886"/>
      <c r="F59" s="1886"/>
      <c r="G59" s="1886"/>
      <c r="H59" s="1886"/>
      <c r="I59" s="1886"/>
      <c r="J59" s="1886"/>
      <c r="K59" s="1886"/>
      <c r="L59" s="1886"/>
      <c r="M59" s="1886"/>
      <c r="N59" s="1886"/>
      <c r="O59" s="1886"/>
      <c r="P59" s="1886"/>
      <c r="Q59" s="1886"/>
      <c r="R59" s="1886"/>
      <c r="S59" s="1886"/>
      <c r="T59" s="1886"/>
      <c r="U59" s="1886"/>
      <c r="V59" s="1886"/>
      <c r="W59" s="1886"/>
      <c r="X59" s="1886"/>
    </row>
    <row r="60" spans="1:24" x14ac:dyDescent="0.2">
      <c r="A60" s="1886"/>
      <c r="B60" s="1886"/>
      <c r="C60" s="1886"/>
      <c r="D60" s="1886"/>
      <c r="E60" s="1886"/>
      <c r="F60" s="1886"/>
      <c r="G60" s="1886"/>
      <c r="H60" s="1886"/>
      <c r="I60" s="1886"/>
      <c r="J60" s="1886"/>
      <c r="K60" s="1886"/>
      <c r="L60" s="1886"/>
      <c r="M60" s="1886"/>
      <c r="N60" s="1886"/>
      <c r="O60" s="1886"/>
      <c r="P60" s="1886"/>
      <c r="Q60" s="1886"/>
      <c r="R60" s="1886"/>
      <c r="S60" s="1886"/>
      <c r="T60" s="1886"/>
      <c r="U60" s="1886"/>
      <c r="V60" s="1886"/>
      <c r="W60" s="1886"/>
      <c r="X60" s="1886"/>
    </row>
    <row r="61" spans="1:24" x14ac:dyDescent="0.2">
      <c r="A61" s="1886"/>
      <c r="B61" s="1886"/>
      <c r="C61" s="1886"/>
      <c r="D61" s="1886"/>
      <c r="E61" s="1886"/>
      <c r="F61" s="1886"/>
      <c r="G61" s="1886"/>
      <c r="H61" s="1886"/>
      <c r="I61" s="1886"/>
      <c r="J61" s="1886"/>
      <c r="K61" s="1886"/>
      <c r="L61" s="1886"/>
      <c r="M61" s="1886"/>
      <c r="N61" s="1886"/>
      <c r="O61" s="1886"/>
      <c r="P61" s="1886"/>
      <c r="Q61" s="1886"/>
      <c r="R61" s="1886"/>
      <c r="S61" s="1886"/>
      <c r="T61" s="1886"/>
      <c r="U61" s="1886"/>
      <c r="V61" s="1886"/>
      <c r="W61" s="1886"/>
      <c r="X61" s="1886"/>
    </row>
    <row r="62" spans="1:24" x14ac:dyDescent="0.2">
      <c r="A62" s="1886"/>
      <c r="B62" s="1886"/>
      <c r="C62" s="1886"/>
      <c r="D62" s="1886"/>
      <c r="E62" s="1886"/>
      <c r="F62" s="1886"/>
      <c r="G62" s="1886"/>
      <c r="H62" s="1886"/>
      <c r="I62" s="1886"/>
      <c r="J62" s="1886"/>
      <c r="K62" s="1886"/>
      <c r="L62" s="1886"/>
      <c r="M62" s="1886"/>
      <c r="N62" s="1886"/>
      <c r="O62" s="1886"/>
      <c r="P62" s="1886"/>
      <c r="Q62" s="1886"/>
      <c r="R62" s="1886"/>
      <c r="S62" s="1886"/>
      <c r="T62" s="1886"/>
      <c r="U62" s="1886"/>
      <c r="V62" s="1886"/>
      <c r="W62" s="1886"/>
      <c r="X62" s="1886"/>
    </row>
    <row r="63" spans="1:24" x14ac:dyDescent="0.2">
      <c r="A63" s="1886"/>
      <c r="B63" s="1886"/>
      <c r="C63" s="1886"/>
      <c r="D63" s="1886"/>
      <c r="E63" s="1886"/>
      <c r="F63" s="1886"/>
      <c r="G63" s="1886"/>
      <c r="H63" s="1886"/>
      <c r="I63" s="1886"/>
      <c r="J63" s="1886"/>
      <c r="K63" s="1886"/>
      <c r="L63" s="1886"/>
      <c r="M63" s="1886"/>
      <c r="N63" s="1886"/>
      <c r="O63" s="1886"/>
      <c r="P63" s="1886"/>
      <c r="Q63" s="1886"/>
      <c r="R63" s="1886"/>
      <c r="S63" s="1886"/>
      <c r="T63" s="1886"/>
      <c r="U63" s="1886"/>
      <c r="V63" s="1886"/>
      <c r="W63" s="1886"/>
      <c r="X63" s="1886"/>
    </row>
    <row r="64" spans="1:24" x14ac:dyDescent="0.2">
      <c r="A64" s="1886"/>
      <c r="B64" s="1886"/>
      <c r="C64" s="1886"/>
      <c r="D64" s="1886"/>
      <c r="E64" s="1886"/>
      <c r="F64" s="1886"/>
      <c r="G64" s="1886"/>
      <c r="H64" s="1886"/>
      <c r="I64" s="1886"/>
      <c r="J64" s="1886"/>
      <c r="K64" s="1886"/>
      <c r="L64" s="1886"/>
      <c r="M64" s="1886"/>
      <c r="N64" s="1886"/>
      <c r="O64" s="1886"/>
      <c r="P64" s="1886"/>
      <c r="Q64" s="1886"/>
      <c r="R64" s="1886"/>
      <c r="S64" s="1886"/>
      <c r="T64" s="1886"/>
      <c r="U64" s="1886"/>
      <c r="V64" s="1886"/>
      <c r="W64" s="1886"/>
      <c r="X64" s="1886"/>
    </row>
    <row r="65" spans="1:24" x14ac:dyDescent="0.2">
      <c r="A65" s="1886"/>
      <c r="B65" s="1886"/>
      <c r="C65" s="1886"/>
      <c r="D65" s="1886"/>
      <c r="E65" s="1886"/>
      <c r="F65" s="1886"/>
      <c r="G65" s="1886"/>
      <c r="H65" s="1886"/>
      <c r="I65" s="1886"/>
      <c r="J65" s="1886"/>
      <c r="K65" s="1886"/>
      <c r="L65" s="1886"/>
      <c r="M65" s="1886"/>
      <c r="N65" s="1886"/>
      <c r="O65" s="1886"/>
      <c r="P65" s="1886"/>
      <c r="Q65" s="1886"/>
      <c r="R65" s="1886"/>
      <c r="S65" s="1886"/>
      <c r="T65" s="1886"/>
      <c r="U65" s="1886"/>
      <c r="V65" s="1886"/>
      <c r="W65" s="1886"/>
      <c r="X65" s="1886"/>
    </row>
    <row r="66" spans="1:24" x14ac:dyDescent="0.2">
      <c r="A66" s="1886"/>
      <c r="B66" s="1886"/>
      <c r="C66" s="1886"/>
      <c r="D66" s="1886"/>
      <c r="E66" s="1886"/>
      <c r="F66" s="1886"/>
      <c r="G66" s="1886"/>
      <c r="H66" s="1886"/>
      <c r="I66" s="1886"/>
      <c r="J66" s="1886"/>
      <c r="K66" s="1886"/>
      <c r="L66" s="1886"/>
      <c r="M66" s="1886"/>
      <c r="N66" s="1886"/>
      <c r="O66" s="1886"/>
      <c r="P66" s="1886"/>
      <c r="Q66" s="1886"/>
      <c r="R66" s="1886"/>
      <c r="S66" s="1886"/>
      <c r="T66" s="1886"/>
      <c r="U66" s="1886"/>
      <c r="V66" s="1886"/>
      <c r="W66" s="1886"/>
      <c r="X66" s="1886"/>
    </row>
    <row r="67" spans="1:24" x14ac:dyDescent="0.2">
      <c r="A67" s="1886"/>
      <c r="B67" s="1886"/>
      <c r="C67" s="1886"/>
      <c r="D67" s="1886"/>
      <c r="E67" s="1886"/>
      <c r="F67" s="1886"/>
      <c r="G67" s="1886"/>
      <c r="H67" s="1886"/>
      <c r="I67" s="1886"/>
      <c r="J67" s="1886"/>
      <c r="K67" s="1886"/>
      <c r="L67" s="1886"/>
      <c r="M67" s="1886"/>
      <c r="N67" s="1886"/>
      <c r="O67" s="1886"/>
      <c r="P67" s="1886"/>
      <c r="Q67" s="1886"/>
      <c r="R67" s="1886"/>
      <c r="S67" s="1886"/>
      <c r="T67" s="1886"/>
      <c r="U67" s="1886"/>
      <c r="V67" s="1886"/>
      <c r="W67" s="1886"/>
      <c r="X67" s="1886"/>
    </row>
    <row r="68" spans="1:24" x14ac:dyDescent="0.2">
      <c r="A68" s="1886"/>
      <c r="B68" s="1886"/>
      <c r="C68" s="1886"/>
      <c r="D68" s="1886"/>
      <c r="E68" s="1886"/>
      <c r="F68" s="1886"/>
      <c r="G68" s="1886"/>
      <c r="H68" s="1886"/>
      <c r="I68" s="1886"/>
      <c r="J68" s="1886"/>
      <c r="K68" s="1886"/>
      <c r="L68" s="1886"/>
      <c r="M68" s="1886"/>
      <c r="N68" s="1886"/>
      <c r="O68" s="1886"/>
      <c r="P68" s="1886"/>
      <c r="Q68" s="1886"/>
      <c r="R68" s="1886"/>
      <c r="S68" s="1886"/>
      <c r="T68" s="1886"/>
      <c r="U68" s="1886"/>
      <c r="V68" s="1886"/>
      <c r="W68" s="1886"/>
      <c r="X68" s="1886"/>
    </row>
    <row r="69" spans="1:24" x14ac:dyDescent="0.2">
      <c r="A69" s="1886"/>
      <c r="B69" s="1886"/>
      <c r="C69" s="1886"/>
      <c r="D69" s="1886"/>
      <c r="E69" s="1886"/>
      <c r="F69" s="1886"/>
      <c r="G69" s="1886"/>
      <c r="H69" s="1886"/>
      <c r="I69" s="1886"/>
      <c r="J69" s="1886"/>
      <c r="K69" s="1886"/>
      <c r="L69" s="1886"/>
      <c r="M69" s="1886"/>
      <c r="N69" s="1886"/>
      <c r="O69" s="1886"/>
      <c r="P69" s="1886"/>
      <c r="Q69" s="1886"/>
      <c r="R69" s="1886"/>
      <c r="S69" s="1886"/>
      <c r="T69" s="1886"/>
      <c r="U69" s="1886"/>
      <c r="V69" s="1886"/>
      <c r="W69" s="1886"/>
      <c r="X69" s="1886"/>
    </row>
    <row r="70" spans="1:24" x14ac:dyDescent="0.2">
      <c r="A70" s="1886"/>
      <c r="B70" s="1886"/>
      <c r="C70" s="1886"/>
      <c r="D70" s="1886"/>
      <c r="E70" s="1886"/>
      <c r="F70" s="1886"/>
      <c r="G70" s="1886"/>
      <c r="H70" s="1886"/>
      <c r="I70" s="1886"/>
      <c r="J70" s="1886"/>
      <c r="K70" s="1886"/>
      <c r="L70" s="1886"/>
      <c r="M70" s="1886"/>
      <c r="N70" s="1886"/>
      <c r="O70" s="1886"/>
      <c r="P70" s="1886"/>
      <c r="Q70" s="1886"/>
      <c r="R70" s="1886"/>
      <c r="S70" s="1886"/>
      <c r="T70" s="1886"/>
      <c r="U70" s="1886"/>
      <c r="V70" s="1886"/>
      <c r="W70" s="1886"/>
      <c r="X70" s="1886"/>
    </row>
    <row r="71" spans="1:24" x14ac:dyDescent="0.2">
      <c r="A71" s="1886"/>
      <c r="B71" s="1886"/>
      <c r="C71" s="1886"/>
      <c r="D71" s="1886"/>
      <c r="E71" s="1886"/>
      <c r="F71" s="1886"/>
      <c r="G71" s="1886"/>
      <c r="H71" s="1886"/>
      <c r="I71" s="1886"/>
      <c r="J71" s="1886"/>
      <c r="K71" s="1886"/>
      <c r="L71" s="1886"/>
      <c r="M71" s="1886"/>
      <c r="N71" s="1886"/>
      <c r="O71" s="1886"/>
      <c r="P71" s="1886"/>
      <c r="Q71" s="1886"/>
      <c r="R71" s="1886"/>
      <c r="S71" s="1886"/>
      <c r="T71" s="1886"/>
      <c r="U71" s="1886"/>
      <c r="V71" s="1886"/>
      <c r="W71" s="1886"/>
      <c r="X71" s="1886"/>
    </row>
    <row r="72" spans="1:24" x14ac:dyDescent="0.2">
      <c r="A72" s="1886"/>
      <c r="B72" s="1886"/>
      <c r="C72" s="1886"/>
      <c r="D72" s="1886"/>
      <c r="E72" s="1886"/>
      <c r="F72" s="1886"/>
      <c r="G72" s="1886"/>
      <c r="H72" s="1886"/>
      <c r="I72" s="1886"/>
      <c r="J72" s="1886"/>
      <c r="K72" s="1886"/>
      <c r="L72" s="1886"/>
      <c r="M72" s="1886"/>
      <c r="N72" s="1886"/>
      <c r="O72" s="1886"/>
      <c r="P72" s="1886"/>
      <c r="Q72" s="1886"/>
      <c r="R72" s="1886"/>
      <c r="S72" s="1886"/>
      <c r="T72" s="1886"/>
      <c r="U72" s="1886"/>
      <c r="V72" s="1886"/>
      <c r="W72" s="1886"/>
      <c r="X72" s="1886"/>
    </row>
    <row r="73" spans="1:24" x14ac:dyDescent="0.2">
      <c r="A73" s="1886"/>
      <c r="B73" s="1886"/>
      <c r="C73" s="1886"/>
      <c r="D73" s="1886"/>
      <c r="E73" s="1886"/>
      <c r="F73" s="1886"/>
      <c r="G73" s="1886"/>
      <c r="H73" s="1886"/>
      <c r="I73" s="1886"/>
      <c r="J73" s="1886"/>
      <c r="K73" s="1886"/>
      <c r="L73" s="1886"/>
      <c r="M73" s="1886"/>
      <c r="N73" s="1886"/>
      <c r="O73" s="1886"/>
      <c r="P73" s="1886"/>
      <c r="Q73" s="1886"/>
      <c r="R73" s="1886"/>
      <c r="S73" s="1886"/>
      <c r="T73" s="1886"/>
      <c r="U73" s="1886"/>
      <c r="V73" s="1886"/>
      <c r="W73" s="1886"/>
      <c r="X73" s="1886"/>
    </row>
    <row r="74" spans="1:24" x14ac:dyDescent="0.2">
      <c r="A74" s="1886"/>
      <c r="B74" s="1886"/>
      <c r="C74" s="1886"/>
      <c r="D74" s="1886"/>
      <c r="E74" s="1886"/>
      <c r="F74" s="1886"/>
      <c r="G74" s="1886"/>
      <c r="H74" s="1886"/>
      <c r="I74" s="1886"/>
      <c r="J74" s="1886"/>
      <c r="K74" s="1886"/>
      <c r="L74" s="1886"/>
      <c r="M74" s="1886"/>
      <c r="N74" s="1886"/>
      <c r="O74" s="1886"/>
      <c r="P74" s="1886"/>
      <c r="Q74" s="1886"/>
      <c r="R74" s="1886"/>
      <c r="S74" s="1886"/>
      <c r="T74" s="1886"/>
      <c r="U74" s="1886"/>
      <c r="V74" s="1886"/>
      <c r="W74" s="1886"/>
      <c r="X74" s="1886"/>
    </row>
    <row r="75" spans="1:24" x14ac:dyDescent="0.2">
      <c r="A75" s="1886"/>
      <c r="B75" s="1886"/>
      <c r="C75" s="1886"/>
      <c r="D75" s="1886"/>
      <c r="E75" s="1886"/>
      <c r="F75" s="1886"/>
      <c r="G75" s="1886"/>
      <c r="H75" s="1886"/>
      <c r="I75" s="1886"/>
      <c r="J75" s="1886"/>
      <c r="K75" s="1886"/>
      <c r="L75" s="1886"/>
      <c r="M75" s="1886"/>
      <c r="N75" s="1886"/>
      <c r="O75" s="1886"/>
      <c r="P75" s="1886"/>
      <c r="Q75" s="1886"/>
      <c r="R75" s="1886"/>
      <c r="S75" s="1886"/>
      <c r="T75" s="1886"/>
      <c r="U75" s="1886"/>
      <c r="V75" s="1886"/>
      <c r="W75" s="1886"/>
      <c r="X75" s="1886"/>
    </row>
    <row r="76" spans="1:24" x14ac:dyDescent="0.2">
      <c r="A76" s="1886"/>
      <c r="B76" s="1886"/>
      <c r="C76" s="1886"/>
      <c r="D76" s="1886"/>
      <c r="E76" s="1886"/>
      <c r="F76" s="1886"/>
      <c r="G76" s="1886"/>
      <c r="H76" s="1886"/>
      <c r="I76" s="1886"/>
      <c r="J76" s="1886"/>
      <c r="K76" s="1886"/>
      <c r="L76" s="1886"/>
      <c r="M76" s="1886"/>
      <c r="N76" s="1886"/>
      <c r="O76" s="1886"/>
      <c r="P76" s="1886"/>
      <c r="Q76" s="1886"/>
      <c r="R76" s="1886"/>
      <c r="S76" s="1886"/>
      <c r="T76" s="1886"/>
      <c r="U76" s="1886"/>
      <c r="V76" s="1886"/>
      <c r="W76" s="1886"/>
      <c r="X76" s="1886"/>
    </row>
    <row r="77" spans="1:24" x14ac:dyDescent="0.2">
      <c r="A77" s="1886"/>
      <c r="B77" s="1886"/>
      <c r="C77" s="1886"/>
      <c r="D77" s="1886"/>
      <c r="E77" s="1886"/>
      <c r="F77" s="1886"/>
      <c r="G77" s="1886"/>
      <c r="H77" s="1886"/>
      <c r="I77" s="1886"/>
      <c r="J77" s="1886"/>
      <c r="K77" s="1886"/>
      <c r="L77" s="1886"/>
      <c r="M77" s="1886"/>
      <c r="N77" s="1886"/>
      <c r="O77" s="1886"/>
      <c r="P77" s="1886"/>
      <c r="Q77" s="1886"/>
      <c r="R77" s="1886"/>
      <c r="S77" s="1886"/>
      <c r="T77" s="1886"/>
      <c r="U77" s="1886"/>
      <c r="V77" s="1886"/>
      <c r="W77" s="1886"/>
      <c r="X77" s="1886"/>
    </row>
    <row r="78" spans="1:24" x14ac:dyDescent="0.2">
      <c r="A78" s="1886"/>
      <c r="B78" s="1886"/>
      <c r="C78" s="1886"/>
      <c r="D78" s="1886"/>
      <c r="E78" s="1886"/>
      <c r="F78" s="1886"/>
      <c r="G78" s="1886"/>
      <c r="H78" s="1886"/>
      <c r="I78" s="1886"/>
      <c r="J78" s="1886"/>
      <c r="K78" s="1886"/>
      <c r="L78" s="1886"/>
      <c r="M78" s="1886"/>
      <c r="N78" s="1886"/>
      <c r="O78" s="1886"/>
      <c r="P78" s="1886"/>
      <c r="Q78" s="1886"/>
      <c r="R78" s="1886"/>
      <c r="S78" s="1886"/>
      <c r="T78" s="1886"/>
      <c r="U78" s="1886"/>
      <c r="V78" s="1886"/>
      <c r="W78" s="1886"/>
      <c r="X78" s="1886"/>
    </row>
    <row r="79" spans="1:24" x14ac:dyDescent="0.2">
      <c r="A79" s="1886"/>
      <c r="B79" s="1886"/>
      <c r="C79" s="1886"/>
      <c r="D79" s="1886"/>
      <c r="E79" s="1886"/>
      <c r="F79" s="1886"/>
      <c r="G79" s="1886"/>
      <c r="H79" s="1886"/>
      <c r="I79" s="1886"/>
      <c r="J79" s="1886"/>
      <c r="K79" s="1886"/>
      <c r="L79" s="1886"/>
      <c r="M79" s="1886"/>
      <c r="N79" s="1886"/>
      <c r="O79" s="1886"/>
      <c r="P79" s="1886"/>
      <c r="Q79" s="1886"/>
      <c r="R79" s="1886"/>
      <c r="S79" s="1886"/>
      <c r="T79" s="1886"/>
      <c r="U79" s="1886"/>
      <c r="V79" s="1886"/>
      <c r="W79" s="1886"/>
      <c r="X79" s="1886"/>
    </row>
    <row r="80" spans="1:24" x14ac:dyDescent="0.2">
      <c r="A80" s="1886"/>
      <c r="B80" s="1886"/>
      <c r="C80" s="1886"/>
      <c r="D80" s="1886"/>
      <c r="E80" s="1886"/>
      <c r="F80" s="1886"/>
      <c r="G80" s="1886"/>
      <c r="H80" s="1886"/>
      <c r="I80" s="1886"/>
      <c r="J80" s="1886"/>
      <c r="K80" s="1886"/>
      <c r="L80" s="1886"/>
      <c r="M80" s="1886"/>
      <c r="N80" s="1886"/>
      <c r="O80" s="1886"/>
      <c r="P80" s="1886"/>
      <c r="Q80" s="1886"/>
      <c r="R80" s="1886"/>
      <c r="S80" s="1886"/>
      <c r="T80" s="1886"/>
      <c r="U80" s="1886"/>
      <c r="V80" s="1886"/>
      <c r="W80" s="1886"/>
      <c r="X80" s="1886"/>
    </row>
    <row r="81" spans="1:24" x14ac:dyDescent="0.2">
      <c r="A81" s="1886"/>
      <c r="B81" s="1886"/>
      <c r="C81" s="1886"/>
      <c r="D81" s="1886"/>
      <c r="E81" s="1886"/>
      <c r="F81" s="1886"/>
      <c r="G81" s="1886"/>
      <c r="H81" s="1886"/>
      <c r="I81" s="1886"/>
      <c r="J81" s="1886"/>
      <c r="K81" s="1886"/>
      <c r="L81" s="1886"/>
      <c r="M81" s="1886"/>
      <c r="N81" s="1886"/>
      <c r="O81" s="1886"/>
      <c r="P81" s="1886"/>
      <c r="Q81" s="1886"/>
      <c r="R81" s="1886"/>
      <c r="S81" s="1886"/>
      <c r="T81" s="1886"/>
      <c r="U81" s="1886"/>
      <c r="V81" s="1886"/>
      <c r="W81" s="1886"/>
      <c r="X81" s="1886"/>
    </row>
    <row r="82" spans="1:24" x14ac:dyDescent="0.2">
      <c r="A82" s="1886"/>
      <c r="B82" s="1886"/>
      <c r="C82" s="1886"/>
      <c r="D82" s="1886"/>
      <c r="E82" s="1886"/>
      <c r="F82" s="1886"/>
      <c r="G82" s="1886"/>
      <c r="H82" s="1886"/>
      <c r="I82" s="1886"/>
      <c r="J82" s="1886"/>
      <c r="K82" s="1886"/>
      <c r="L82" s="1886"/>
      <c r="M82" s="1886"/>
      <c r="N82" s="1886"/>
      <c r="O82" s="1886"/>
      <c r="P82" s="1886"/>
      <c r="Q82" s="1886"/>
      <c r="R82" s="1886"/>
      <c r="S82" s="1886"/>
      <c r="T82" s="1886"/>
      <c r="U82" s="1886"/>
      <c r="V82" s="1886"/>
      <c r="W82" s="1886"/>
      <c r="X82" s="1886"/>
    </row>
    <row r="83" spans="1:24" x14ac:dyDescent="0.2">
      <c r="A83" s="1886"/>
      <c r="B83" s="1886"/>
      <c r="C83" s="1886"/>
      <c r="D83" s="1886"/>
      <c r="E83" s="1886"/>
      <c r="F83" s="1886"/>
      <c r="G83" s="1886"/>
      <c r="H83" s="1886"/>
      <c r="I83" s="1886"/>
      <c r="J83" s="1886"/>
      <c r="K83" s="1886"/>
      <c r="L83" s="1886"/>
      <c r="M83" s="1886"/>
      <c r="N83" s="1886"/>
      <c r="O83" s="1886"/>
      <c r="P83" s="1886"/>
      <c r="Q83" s="1886"/>
      <c r="R83" s="1886"/>
      <c r="S83" s="1886"/>
      <c r="T83" s="1886"/>
      <c r="U83" s="1886"/>
      <c r="V83" s="1886"/>
      <c r="W83" s="1886"/>
      <c r="X83" s="1886"/>
    </row>
    <row r="84" spans="1:24" x14ac:dyDescent="0.2">
      <c r="A84" s="1886"/>
      <c r="B84" s="1886"/>
      <c r="C84" s="1886"/>
      <c r="D84" s="1886"/>
      <c r="E84" s="1886"/>
      <c r="F84" s="1886"/>
      <c r="G84" s="1886"/>
      <c r="H84" s="1886"/>
      <c r="I84" s="1886"/>
      <c r="J84" s="1886"/>
      <c r="K84" s="1886"/>
      <c r="L84" s="1886"/>
      <c r="M84" s="1886"/>
      <c r="N84" s="1886"/>
      <c r="O84" s="1886"/>
      <c r="P84" s="1886"/>
      <c r="Q84" s="1886"/>
      <c r="R84" s="1886"/>
      <c r="S84" s="1886"/>
      <c r="T84" s="1886"/>
      <c r="U84" s="1886"/>
      <c r="V84" s="1886"/>
      <c r="W84" s="1886"/>
      <c r="X84" s="1886"/>
    </row>
    <row r="85" spans="1:24" x14ac:dyDescent="0.2">
      <c r="A85" s="1886"/>
      <c r="B85" s="1886"/>
      <c r="C85" s="1886"/>
      <c r="D85" s="1886"/>
      <c r="E85" s="1886"/>
      <c r="F85" s="1886"/>
      <c r="G85" s="1886"/>
      <c r="H85" s="1886"/>
      <c r="I85" s="1886"/>
      <c r="J85" s="1886"/>
      <c r="K85" s="1886"/>
      <c r="L85" s="1886"/>
      <c r="M85" s="1886"/>
      <c r="N85" s="1886"/>
      <c r="O85" s="1886"/>
      <c r="P85" s="1886"/>
      <c r="Q85" s="1886"/>
      <c r="R85" s="1886"/>
      <c r="S85" s="1886"/>
      <c r="T85" s="1886"/>
      <c r="U85" s="1886"/>
      <c r="V85" s="1886"/>
      <c r="W85" s="1886"/>
      <c r="X85" s="1886"/>
    </row>
    <row r="86" spans="1:24" x14ac:dyDescent="0.2">
      <c r="A86" s="1886"/>
      <c r="B86" s="1886"/>
      <c r="C86" s="1886"/>
      <c r="D86" s="1886"/>
      <c r="E86" s="1886"/>
      <c r="F86" s="1886"/>
      <c r="G86" s="1886"/>
      <c r="H86" s="1886"/>
      <c r="I86" s="1886"/>
      <c r="J86" s="1886"/>
      <c r="K86" s="1886"/>
      <c r="L86" s="1886"/>
      <c r="M86" s="1886"/>
      <c r="N86" s="1886"/>
      <c r="O86" s="1886"/>
      <c r="P86" s="1886"/>
      <c r="Q86" s="1886"/>
      <c r="R86" s="1886"/>
      <c r="S86" s="1886"/>
      <c r="T86" s="1886"/>
      <c r="U86" s="1886"/>
      <c r="V86" s="1886"/>
      <c r="W86" s="1886"/>
      <c r="X86" s="1886"/>
    </row>
    <row r="87" spans="1:24" x14ac:dyDescent="0.2">
      <c r="A87" s="1886"/>
      <c r="B87" s="1886"/>
      <c r="C87" s="1886"/>
      <c r="D87" s="1886"/>
      <c r="E87" s="1886"/>
      <c r="F87" s="1886"/>
      <c r="G87" s="1886"/>
      <c r="H87" s="1886"/>
      <c r="I87" s="1886"/>
      <c r="J87" s="1886"/>
      <c r="K87" s="1886"/>
      <c r="L87" s="1886"/>
      <c r="M87" s="1886"/>
      <c r="N87" s="1886"/>
      <c r="O87" s="1886"/>
      <c r="P87" s="1886"/>
      <c r="Q87" s="1886"/>
      <c r="R87" s="1886"/>
      <c r="S87" s="1886"/>
      <c r="T87" s="1886"/>
      <c r="U87" s="1886"/>
      <c r="V87" s="1886"/>
      <c r="W87" s="1886"/>
      <c r="X87" s="1886"/>
    </row>
    <row r="88" spans="1:24" x14ac:dyDescent="0.2">
      <c r="A88" s="1886"/>
      <c r="B88" s="1886"/>
      <c r="C88" s="1886"/>
      <c r="D88" s="1886"/>
      <c r="E88" s="1886"/>
      <c r="F88" s="1886"/>
      <c r="G88" s="1886"/>
      <c r="H88" s="1886"/>
      <c r="I88" s="1886"/>
      <c r="J88" s="1886"/>
      <c r="K88" s="1886"/>
      <c r="L88" s="1886"/>
      <c r="M88" s="1886"/>
      <c r="N88" s="1886"/>
      <c r="O88" s="1886"/>
      <c r="P88" s="1886"/>
      <c r="Q88" s="1886"/>
      <c r="R88" s="1886"/>
      <c r="S88" s="1886"/>
      <c r="T88" s="1886"/>
      <c r="U88" s="1886"/>
      <c r="V88" s="1886"/>
      <c r="W88" s="1886"/>
      <c r="X88" s="1886"/>
    </row>
    <row r="89" spans="1:24" x14ac:dyDescent="0.2">
      <c r="A89" s="1886"/>
      <c r="B89" s="1886"/>
      <c r="C89" s="1886"/>
      <c r="D89" s="1886"/>
      <c r="E89" s="1886"/>
      <c r="F89" s="1886"/>
      <c r="G89" s="1886"/>
      <c r="H89" s="1886"/>
      <c r="I89" s="1886"/>
      <c r="J89" s="1886"/>
      <c r="K89" s="1886"/>
      <c r="L89" s="1886"/>
      <c r="M89" s="1886"/>
      <c r="N89" s="1886"/>
      <c r="O89" s="1886"/>
      <c r="P89" s="1886"/>
      <c r="Q89" s="1886"/>
      <c r="R89" s="1886"/>
      <c r="S89" s="1886"/>
      <c r="T89" s="1886"/>
      <c r="U89" s="1886"/>
      <c r="V89" s="1886"/>
      <c r="W89" s="1886"/>
      <c r="X89" s="1886"/>
    </row>
    <row r="90" spans="1:24" x14ac:dyDescent="0.2">
      <c r="A90" s="1886"/>
      <c r="B90" s="1886"/>
      <c r="C90" s="1886"/>
      <c r="D90" s="1886"/>
      <c r="E90" s="1886"/>
      <c r="F90" s="1886"/>
      <c r="G90" s="1886"/>
      <c r="H90" s="1886"/>
      <c r="I90" s="1886"/>
      <c r="J90" s="1886"/>
      <c r="K90" s="1886"/>
      <c r="L90" s="1886"/>
      <c r="M90" s="1886"/>
      <c r="N90" s="1886"/>
      <c r="O90" s="1886"/>
      <c r="P90" s="1886"/>
      <c r="Q90" s="1886"/>
      <c r="R90" s="1886"/>
      <c r="S90" s="1886"/>
      <c r="T90" s="1886"/>
      <c r="U90" s="1886"/>
      <c r="V90" s="1886"/>
      <c r="W90" s="1886"/>
      <c r="X90" s="1886"/>
    </row>
    <row r="91" spans="1:24" x14ac:dyDescent="0.2">
      <c r="A91" s="1886"/>
      <c r="B91" s="1886"/>
      <c r="C91" s="1886"/>
      <c r="D91" s="1886"/>
      <c r="E91" s="1886"/>
      <c r="F91" s="1886"/>
      <c r="G91" s="1886"/>
      <c r="H91" s="1886"/>
      <c r="I91" s="1886"/>
      <c r="J91" s="1886"/>
      <c r="K91" s="1886"/>
      <c r="L91" s="1886"/>
      <c r="M91" s="1886"/>
      <c r="N91" s="1886"/>
      <c r="O91" s="1886"/>
      <c r="P91" s="1886"/>
      <c r="Q91" s="1886"/>
      <c r="R91" s="1886"/>
      <c r="S91" s="1886"/>
      <c r="T91" s="1886"/>
      <c r="U91" s="1886"/>
      <c r="V91" s="1886"/>
      <c r="W91" s="1886"/>
      <c r="X91" s="1886"/>
    </row>
    <row r="92" spans="1:24" x14ac:dyDescent="0.2">
      <c r="A92" s="1886"/>
      <c r="B92" s="1886"/>
      <c r="C92" s="1886"/>
      <c r="D92" s="1886"/>
      <c r="E92" s="1886"/>
      <c r="F92" s="1886"/>
      <c r="G92" s="1886"/>
      <c r="H92" s="1886"/>
      <c r="I92" s="1886"/>
      <c r="J92" s="1886"/>
      <c r="K92" s="1886"/>
      <c r="L92" s="1886"/>
      <c r="M92" s="1886"/>
      <c r="N92" s="1886"/>
      <c r="O92" s="1886"/>
      <c r="P92" s="1886"/>
      <c r="Q92" s="1886"/>
      <c r="R92" s="1886"/>
      <c r="S92" s="1886"/>
      <c r="T92" s="1886"/>
      <c r="U92" s="1886"/>
      <c r="V92" s="1886"/>
      <c r="W92" s="1886"/>
      <c r="X92" s="1886"/>
    </row>
    <row r="93" spans="1:24" x14ac:dyDescent="0.2">
      <c r="A93" s="1886"/>
      <c r="B93" s="1886"/>
      <c r="C93" s="1886"/>
      <c r="D93" s="1886"/>
      <c r="E93" s="1886"/>
      <c r="F93" s="1886"/>
      <c r="G93" s="1886"/>
      <c r="H93" s="1886"/>
      <c r="I93" s="1886"/>
      <c r="J93" s="1886"/>
      <c r="K93" s="1886"/>
      <c r="L93" s="1886"/>
      <c r="M93" s="1886"/>
      <c r="N93" s="1886"/>
      <c r="O93" s="1886"/>
      <c r="P93" s="1886"/>
      <c r="Q93" s="1886"/>
      <c r="R93" s="1886"/>
      <c r="S93" s="1886"/>
      <c r="T93" s="1886"/>
      <c r="U93" s="1886"/>
      <c r="V93" s="1886"/>
      <c r="W93" s="1886"/>
      <c r="X93" s="1886"/>
    </row>
    <row r="94" spans="1:24" x14ac:dyDescent="0.2">
      <c r="A94" s="1886"/>
      <c r="B94" s="1886"/>
      <c r="C94" s="1886"/>
      <c r="D94" s="1886"/>
      <c r="E94" s="1886"/>
      <c r="F94" s="1886"/>
      <c r="G94" s="1886"/>
      <c r="H94" s="1886"/>
      <c r="I94" s="1886"/>
      <c r="J94" s="1886"/>
      <c r="K94" s="1886"/>
      <c r="L94" s="1886"/>
      <c r="M94" s="1886"/>
      <c r="N94" s="1886"/>
      <c r="O94" s="1886"/>
      <c r="P94" s="1886"/>
      <c r="Q94" s="1886"/>
      <c r="R94" s="1886"/>
      <c r="S94" s="1886"/>
      <c r="T94" s="1886"/>
      <c r="U94" s="1886"/>
      <c r="V94" s="1886"/>
      <c r="W94" s="1886"/>
      <c r="X94" s="1886"/>
    </row>
    <row r="95" spans="1:24" x14ac:dyDescent="0.2">
      <c r="A95" s="1886"/>
      <c r="B95" s="1886"/>
      <c r="C95" s="1886"/>
      <c r="D95" s="1886"/>
      <c r="E95" s="1886"/>
      <c r="F95" s="1886"/>
      <c r="G95" s="1886"/>
      <c r="H95" s="1886"/>
      <c r="I95" s="1886"/>
      <c r="J95" s="1886"/>
      <c r="K95" s="1886"/>
      <c r="L95" s="1886"/>
      <c r="M95" s="1886"/>
      <c r="N95" s="1886"/>
      <c r="O95" s="1886"/>
      <c r="P95" s="1886"/>
      <c r="Q95" s="1886"/>
      <c r="R95" s="1886"/>
      <c r="S95" s="1886"/>
      <c r="T95" s="1886"/>
      <c r="U95" s="1886"/>
      <c r="V95" s="1886"/>
      <c r="W95" s="1886"/>
      <c r="X95" s="1886"/>
    </row>
    <row r="96" spans="1:24" x14ac:dyDescent="0.2">
      <c r="A96" s="1886"/>
      <c r="B96" s="1886"/>
      <c r="C96" s="1886"/>
      <c r="D96" s="1886"/>
      <c r="E96" s="1886"/>
      <c r="F96" s="1886"/>
      <c r="G96" s="1886"/>
      <c r="H96" s="1886"/>
      <c r="I96" s="1886"/>
      <c r="J96" s="1886"/>
      <c r="K96" s="1886"/>
      <c r="L96" s="1886"/>
      <c r="M96" s="1886"/>
      <c r="N96" s="1886"/>
      <c r="O96" s="1886"/>
      <c r="P96" s="1886"/>
      <c r="Q96" s="1886"/>
      <c r="R96" s="1886"/>
      <c r="S96" s="1886"/>
      <c r="T96" s="1886"/>
      <c r="U96" s="1886"/>
      <c r="V96" s="1886"/>
      <c r="W96" s="1886"/>
      <c r="X96" s="1886"/>
    </row>
    <row r="97" spans="1:24" x14ac:dyDescent="0.2">
      <c r="A97" s="1886"/>
      <c r="B97" s="1886"/>
      <c r="C97" s="1886"/>
      <c r="D97" s="1886"/>
      <c r="E97" s="1886"/>
      <c r="F97" s="1886"/>
      <c r="G97" s="1886"/>
      <c r="H97" s="1886"/>
      <c r="I97" s="1886"/>
      <c r="J97" s="1886"/>
      <c r="K97" s="1886"/>
      <c r="L97" s="1886"/>
      <c r="M97" s="1886"/>
      <c r="N97" s="1886"/>
      <c r="O97" s="1886"/>
      <c r="P97" s="1886"/>
      <c r="Q97" s="1886"/>
      <c r="R97" s="1886"/>
      <c r="S97" s="1886"/>
      <c r="T97" s="1886"/>
      <c r="U97" s="1886"/>
      <c r="V97" s="1886"/>
      <c r="W97" s="1886"/>
      <c r="X97" s="1886"/>
    </row>
    <row r="98" spans="1:24" x14ac:dyDescent="0.2">
      <c r="A98" s="1886"/>
      <c r="B98" s="1886"/>
      <c r="C98" s="1886"/>
      <c r="D98" s="1886"/>
      <c r="E98" s="1886"/>
      <c r="F98" s="1886"/>
      <c r="G98" s="1886"/>
      <c r="H98" s="1886"/>
      <c r="I98" s="1886"/>
      <c r="J98" s="1886"/>
      <c r="K98" s="1886"/>
      <c r="L98" s="1886"/>
      <c r="M98" s="1886"/>
      <c r="N98" s="1886"/>
      <c r="O98" s="1886"/>
      <c r="P98" s="1886"/>
      <c r="Q98" s="1886"/>
      <c r="R98" s="1886"/>
      <c r="S98" s="1886"/>
      <c r="T98" s="1886"/>
      <c r="U98" s="1886"/>
      <c r="V98" s="1886"/>
      <c r="W98" s="1886"/>
      <c r="X98" s="1886"/>
    </row>
    <row r="99" spans="1:24" x14ac:dyDescent="0.2">
      <c r="A99" s="1886"/>
      <c r="B99" s="1886"/>
      <c r="C99" s="1886"/>
      <c r="D99" s="1886"/>
      <c r="E99" s="1886"/>
      <c r="F99" s="1886"/>
      <c r="G99" s="1886"/>
      <c r="H99" s="1886"/>
      <c r="I99" s="1886"/>
      <c r="J99" s="1886"/>
      <c r="K99" s="1886"/>
      <c r="L99" s="1886"/>
      <c r="M99" s="1886"/>
      <c r="N99" s="1886"/>
      <c r="O99" s="1886"/>
      <c r="P99" s="1886"/>
      <c r="Q99" s="1886"/>
      <c r="R99" s="1886"/>
      <c r="S99" s="1886"/>
      <c r="T99" s="1886"/>
      <c r="U99" s="1886"/>
      <c r="V99" s="1886"/>
      <c r="W99" s="1886"/>
      <c r="X99" s="1886"/>
    </row>
    <row r="100" spans="1:24"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c r="U100" s="1886"/>
      <c r="V100" s="1886"/>
      <c r="W100" s="1886"/>
      <c r="X100" s="1886"/>
    </row>
    <row r="101" spans="1:24"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c r="U101" s="1886"/>
      <c r="V101" s="1886"/>
      <c r="W101" s="1886"/>
      <c r="X101" s="1886"/>
    </row>
    <row r="102" spans="1:24"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c r="U102" s="1886"/>
      <c r="V102" s="1886"/>
      <c r="W102" s="1886"/>
      <c r="X102" s="1886"/>
    </row>
    <row r="103" spans="1:24"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c r="U103" s="1886"/>
      <c r="V103" s="1886"/>
      <c r="W103" s="1886"/>
      <c r="X103" s="1886"/>
    </row>
    <row r="104" spans="1:24"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c r="U104" s="1886"/>
      <c r="V104" s="1886"/>
      <c r="W104" s="1886"/>
      <c r="X104" s="1886"/>
    </row>
    <row r="105" spans="1:24"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c r="U105" s="1886"/>
      <c r="V105" s="1886"/>
      <c r="W105" s="1886"/>
      <c r="X105" s="1886"/>
    </row>
    <row r="106" spans="1:24"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c r="U106" s="1886"/>
      <c r="V106" s="1886"/>
      <c r="W106" s="1886"/>
      <c r="X106" s="1886"/>
    </row>
    <row r="107" spans="1:24"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c r="U107" s="1886"/>
      <c r="V107" s="1886"/>
      <c r="W107" s="1886"/>
      <c r="X107" s="1886"/>
    </row>
    <row r="108" spans="1:24"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c r="U108" s="1886"/>
      <c r="V108" s="1886"/>
      <c r="W108" s="1886"/>
      <c r="X108" s="1886"/>
    </row>
    <row r="109" spans="1:24"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c r="U109" s="1886"/>
      <c r="V109" s="1886"/>
      <c r="W109" s="1886"/>
      <c r="X109" s="1886"/>
    </row>
    <row r="110" spans="1:24"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c r="U110" s="1886"/>
      <c r="V110" s="1886"/>
      <c r="W110" s="1886"/>
      <c r="X110" s="1886"/>
    </row>
    <row r="111" spans="1:24"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c r="U111" s="1886"/>
      <c r="V111" s="1886"/>
      <c r="W111" s="1886"/>
      <c r="X111" s="1886"/>
    </row>
    <row r="112" spans="1:24"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c r="U112" s="1886"/>
      <c r="V112" s="1886"/>
      <c r="W112" s="1886"/>
      <c r="X112" s="1886"/>
    </row>
    <row r="113" spans="1:24"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c r="U113" s="1886"/>
      <c r="V113" s="1886"/>
      <c r="W113" s="1886"/>
      <c r="X113" s="1886"/>
    </row>
    <row r="114" spans="1:24"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c r="U114" s="1886"/>
      <c r="V114" s="1886"/>
      <c r="W114" s="1886"/>
      <c r="X114" s="1886"/>
    </row>
    <row r="115" spans="1:24"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c r="U115" s="1886"/>
      <c r="V115" s="1886"/>
      <c r="W115" s="1886"/>
      <c r="X115" s="1886"/>
    </row>
    <row r="116" spans="1:24"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c r="U116" s="1886"/>
      <c r="V116" s="1886"/>
      <c r="W116" s="1886"/>
      <c r="X116" s="1886"/>
    </row>
    <row r="117" spans="1:24"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c r="U117" s="1886"/>
      <c r="V117" s="1886"/>
      <c r="W117" s="1886"/>
      <c r="X117" s="1886"/>
    </row>
    <row r="118" spans="1:24"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c r="U118" s="1886"/>
      <c r="V118" s="1886"/>
      <c r="W118" s="1886"/>
      <c r="X118" s="1886"/>
    </row>
    <row r="119" spans="1:24"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c r="U119" s="1886"/>
      <c r="V119" s="1886"/>
      <c r="W119" s="1886"/>
      <c r="X119" s="1886"/>
    </row>
    <row r="120" spans="1:24"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c r="U120" s="1886"/>
      <c r="V120" s="1886"/>
      <c r="W120" s="1886"/>
      <c r="X120" s="1886"/>
    </row>
    <row r="121" spans="1:24" x14ac:dyDescent="0.2">
      <c r="A121" s="1886"/>
      <c r="B121" s="1886"/>
      <c r="C121" s="1886"/>
      <c r="D121" s="1886"/>
      <c r="E121" s="1886"/>
      <c r="F121" s="1886"/>
      <c r="G121" s="1886"/>
      <c r="H121" s="1886"/>
      <c r="I121" s="1886"/>
      <c r="J121" s="1886"/>
      <c r="K121" s="1886"/>
      <c r="L121" s="1886"/>
      <c r="M121" s="1886"/>
      <c r="N121" s="1886"/>
      <c r="O121" s="1886"/>
      <c r="P121" s="1886"/>
      <c r="Q121" s="1886"/>
      <c r="R121" s="1886"/>
      <c r="S121" s="1886"/>
      <c r="T121" s="1886"/>
      <c r="U121" s="1886"/>
      <c r="V121" s="1886"/>
      <c r="W121" s="1886"/>
      <c r="X121" s="1886"/>
    </row>
    <row r="122" spans="1:24" x14ac:dyDescent="0.2">
      <c r="A122" s="1886"/>
      <c r="B122" s="1886"/>
      <c r="C122" s="1886"/>
      <c r="D122" s="1886"/>
      <c r="E122" s="1886"/>
      <c r="F122" s="1886"/>
      <c r="G122" s="1886"/>
      <c r="H122" s="1886"/>
      <c r="I122" s="1886"/>
      <c r="J122" s="1886"/>
      <c r="K122" s="1886"/>
      <c r="L122" s="1886"/>
      <c r="M122" s="1886"/>
      <c r="N122" s="1886"/>
      <c r="O122" s="1886"/>
      <c r="P122" s="1886"/>
      <c r="Q122" s="1886"/>
      <c r="R122" s="1886"/>
      <c r="S122" s="1886"/>
      <c r="T122" s="1886"/>
      <c r="U122" s="1886"/>
      <c r="V122" s="1886"/>
      <c r="W122" s="1886"/>
      <c r="X122" s="1886"/>
    </row>
    <row r="123" spans="1:24" x14ac:dyDescent="0.2">
      <c r="A123" s="1886"/>
      <c r="B123" s="1886"/>
      <c r="C123" s="1886"/>
      <c r="D123" s="1886"/>
      <c r="E123" s="1886"/>
      <c r="F123" s="1886"/>
      <c r="G123" s="1886"/>
      <c r="H123" s="1886"/>
      <c r="I123" s="1886"/>
      <c r="J123" s="1886"/>
      <c r="K123" s="1886"/>
      <c r="L123" s="1886"/>
      <c r="M123" s="1886"/>
      <c r="N123" s="1886"/>
      <c r="O123" s="1886"/>
      <c r="P123" s="1886"/>
      <c r="Q123" s="1886"/>
      <c r="R123" s="1886"/>
      <c r="S123" s="1886"/>
      <c r="T123" s="1886"/>
      <c r="U123" s="1886"/>
      <c r="V123" s="1886"/>
      <c r="W123" s="1886"/>
      <c r="X123" s="1886"/>
    </row>
    <row r="124" spans="1:24" x14ac:dyDescent="0.2">
      <c r="A124" s="1886"/>
      <c r="B124" s="1886"/>
      <c r="C124" s="1886"/>
      <c r="D124" s="1886"/>
      <c r="E124" s="1886"/>
      <c r="F124" s="1886"/>
      <c r="G124" s="1886"/>
      <c r="H124" s="1886"/>
      <c r="I124" s="1886"/>
      <c r="J124" s="1886"/>
      <c r="K124" s="1886"/>
      <c r="L124" s="1886"/>
      <c r="M124" s="1886"/>
      <c r="N124" s="1886"/>
      <c r="O124" s="1886"/>
      <c r="P124" s="1886"/>
      <c r="Q124" s="1886"/>
      <c r="R124" s="1886"/>
      <c r="S124" s="1886"/>
      <c r="T124" s="1886"/>
      <c r="U124" s="1886"/>
      <c r="V124" s="1886"/>
      <c r="W124" s="1886"/>
      <c r="X124" s="1886"/>
    </row>
    <row r="125" spans="1:24" x14ac:dyDescent="0.2">
      <c r="A125" s="1886"/>
      <c r="B125" s="1886"/>
      <c r="C125" s="1886"/>
      <c r="D125" s="1886"/>
      <c r="E125" s="1886"/>
      <c r="F125" s="1886"/>
      <c r="G125" s="1886"/>
      <c r="H125" s="1886"/>
      <c r="I125" s="1886"/>
      <c r="J125" s="1886"/>
      <c r="K125" s="1886"/>
      <c r="L125" s="1886"/>
      <c r="M125" s="1886"/>
      <c r="N125" s="1886"/>
      <c r="O125" s="1886"/>
      <c r="P125" s="1886"/>
      <c r="Q125" s="1886"/>
      <c r="R125" s="1886"/>
      <c r="S125" s="1886"/>
      <c r="T125" s="1886"/>
      <c r="U125" s="1886"/>
      <c r="V125" s="1886"/>
      <c r="W125" s="1886"/>
      <c r="X125" s="1886"/>
    </row>
    <row r="126" spans="1:24" x14ac:dyDescent="0.2">
      <c r="A126" s="1886"/>
      <c r="B126" s="1886"/>
      <c r="C126" s="1886"/>
      <c r="D126" s="1886"/>
      <c r="E126" s="1886"/>
      <c r="F126" s="1886"/>
      <c r="G126" s="1886"/>
      <c r="H126" s="1886"/>
      <c r="I126" s="1886"/>
      <c r="J126" s="1886"/>
      <c r="K126" s="1886"/>
      <c r="L126" s="1886"/>
      <c r="M126" s="1886"/>
      <c r="N126" s="1886"/>
      <c r="O126" s="1886"/>
      <c r="P126" s="1886"/>
      <c r="Q126" s="1886"/>
      <c r="R126" s="1886"/>
      <c r="S126" s="1886"/>
      <c r="T126" s="1886"/>
      <c r="U126" s="1886"/>
      <c r="V126" s="1886"/>
      <c r="W126" s="1886"/>
      <c r="X126" s="1886"/>
    </row>
    <row r="127" spans="1:24" x14ac:dyDescent="0.2">
      <c r="A127" s="1886"/>
      <c r="B127" s="1886"/>
      <c r="C127" s="1886"/>
      <c r="D127" s="1886"/>
      <c r="E127" s="1886"/>
      <c r="F127" s="1886"/>
      <c r="G127" s="1886"/>
      <c r="H127" s="1886"/>
      <c r="I127" s="1886"/>
      <c r="J127" s="1886"/>
      <c r="K127" s="1886"/>
      <c r="L127" s="1886"/>
      <c r="M127" s="1886"/>
      <c r="N127" s="1886"/>
      <c r="O127" s="1886"/>
      <c r="P127" s="1886"/>
      <c r="Q127" s="1886"/>
      <c r="R127" s="1886"/>
      <c r="S127" s="1886"/>
      <c r="T127" s="1886"/>
      <c r="U127" s="1886"/>
      <c r="V127" s="1886"/>
      <c r="W127" s="1886"/>
      <c r="X127" s="1886"/>
    </row>
    <row r="128" spans="1:24" x14ac:dyDescent="0.2">
      <c r="A128" s="1886"/>
      <c r="B128" s="1886"/>
      <c r="C128" s="1886"/>
      <c r="D128" s="1886"/>
      <c r="E128" s="1886"/>
      <c r="F128" s="1886"/>
      <c r="G128" s="1886"/>
      <c r="H128" s="1886"/>
      <c r="I128" s="1886"/>
      <c r="J128" s="1886"/>
      <c r="K128" s="1886"/>
      <c r="L128" s="1886"/>
      <c r="M128" s="1886"/>
      <c r="N128" s="1886"/>
      <c r="O128" s="1886"/>
      <c r="P128" s="1886"/>
      <c r="Q128" s="1886"/>
      <c r="R128" s="1886"/>
      <c r="S128" s="1886"/>
      <c r="T128" s="1886"/>
      <c r="U128" s="1886"/>
      <c r="V128" s="1886"/>
      <c r="W128" s="1886"/>
      <c r="X128" s="1886"/>
    </row>
    <row r="129" spans="1:24" x14ac:dyDescent="0.2">
      <c r="A129" s="1886"/>
      <c r="B129" s="1886"/>
      <c r="C129" s="1886"/>
      <c r="D129" s="1886"/>
      <c r="E129" s="1886"/>
      <c r="F129" s="1886"/>
      <c r="G129" s="1886"/>
      <c r="H129" s="1886"/>
      <c r="I129" s="1886"/>
      <c r="J129" s="1886"/>
      <c r="K129" s="1886"/>
      <c r="L129" s="1886"/>
      <c r="M129" s="1886"/>
      <c r="N129" s="1886"/>
      <c r="O129" s="1886"/>
      <c r="P129" s="1886"/>
      <c r="Q129" s="1886"/>
      <c r="R129" s="1886"/>
      <c r="S129" s="1886"/>
      <c r="T129" s="1886"/>
      <c r="U129" s="1886"/>
      <c r="V129" s="1886"/>
      <c r="W129" s="1886"/>
      <c r="X129" s="1886"/>
    </row>
    <row r="130" spans="1:24" x14ac:dyDescent="0.2">
      <c r="A130" s="1886"/>
      <c r="B130" s="1886"/>
      <c r="C130" s="1886"/>
      <c r="D130" s="1886"/>
      <c r="E130" s="1886"/>
      <c r="F130" s="1886"/>
      <c r="G130" s="1886"/>
      <c r="H130" s="1886"/>
      <c r="I130" s="1886"/>
      <c r="J130" s="1886"/>
      <c r="K130" s="1886"/>
      <c r="L130" s="1886"/>
      <c r="M130" s="1886"/>
      <c r="N130" s="1886"/>
      <c r="O130" s="1886"/>
      <c r="P130" s="1886"/>
      <c r="Q130" s="1886"/>
      <c r="R130" s="1886"/>
      <c r="S130" s="1886"/>
      <c r="T130" s="1886"/>
      <c r="U130" s="1886"/>
      <c r="V130" s="1886"/>
      <c r="W130" s="1886"/>
      <c r="X130" s="1886"/>
    </row>
    <row r="131" spans="1:24" x14ac:dyDescent="0.2">
      <c r="A131" s="1886"/>
      <c r="B131" s="1886"/>
      <c r="C131" s="1886"/>
      <c r="D131" s="1886"/>
      <c r="E131" s="1886"/>
      <c r="F131" s="1886"/>
      <c r="G131" s="1886"/>
      <c r="H131" s="1886"/>
      <c r="I131" s="1886"/>
      <c r="J131" s="1886"/>
      <c r="K131" s="1886"/>
      <c r="L131" s="1886"/>
      <c r="M131" s="1886"/>
      <c r="N131" s="1886"/>
      <c r="O131" s="1886"/>
      <c r="P131" s="1886"/>
      <c r="Q131" s="1886"/>
      <c r="R131" s="1886"/>
      <c r="S131" s="1886"/>
      <c r="T131" s="1886"/>
      <c r="U131" s="1886"/>
      <c r="V131" s="1886"/>
      <c r="W131" s="1886"/>
      <c r="X131" s="1886"/>
    </row>
    <row r="132" spans="1:24" x14ac:dyDescent="0.2">
      <c r="A132" s="1886"/>
      <c r="B132" s="1886"/>
      <c r="C132" s="1886"/>
      <c r="D132" s="1886"/>
      <c r="E132" s="1886"/>
      <c r="F132" s="1886"/>
      <c r="G132" s="1886"/>
      <c r="H132" s="1886"/>
      <c r="I132" s="1886"/>
      <c r="J132" s="1886"/>
      <c r="K132" s="1886"/>
      <c r="L132" s="1886"/>
      <c r="M132" s="1886"/>
      <c r="N132" s="1886"/>
      <c r="O132" s="1886"/>
      <c r="P132" s="1886"/>
      <c r="Q132" s="1886"/>
      <c r="R132" s="1886"/>
      <c r="S132" s="1886"/>
      <c r="T132" s="1886"/>
      <c r="U132" s="1886"/>
      <c r="V132" s="1886"/>
      <c r="W132" s="1886"/>
      <c r="X132" s="1886"/>
    </row>
    <row r="133" spans="1:24" x14ac:dyDescent="0.2">
      <c r="A133" s="1886"/>
      <c r="B133" s="1886"/>
      <c r="C133" s="1886"/>
      <c r="D133" s="1886"/>
      <c r="E133" s="1886"/>
      <c r="F133" s="1886"/>
      <c r="G133" s="1886"/>
      <c r="H133" s="1886"/>
      <c r="I133" s="1886"/>
      <c r="J133" s="1886"/>
      <c r="K133" s="1886"/>
      <c r="L133" s="1886"/>
      <c r="M133" s="1886"/>
      <c r="N133" s="1886"/>
      <c r="O133" s="1886"/>
      <c r="P133" s="1886"/>
      <c r="Q133" s="1886"/>
      <c r="R133" s="1886"/>
      <c r="S133" s="1886"/>
      <c r="T133" s="1886"/>
      <c r="U133" s="1886"/>
      <c r="V133" s="1886"/>
      <c r="W133" s="1886"/>
      <c r="X133" s="1886"/>
    </row>
    <row r="134" spans="1:24" x14ac:dyDescent="0.2">
      <c r="A134" s="1886"/>
      <c r="B134" s="1886"/>
      <c r="C134" s="1886"/>
      <c r="D134" s="1886"/>
      <c r="E134" s="1886"/>
      <c r="F134" s="1886"/>
      <c r="G134" s="1886"/>
      <c r="H134" s="1886"/>
      <c r="I134" s="1886"/>
      <c r="J134" s="1886"/>
      <c r="K134" s="1886"/>
      <c r="L134" s="1886"/>
      <c r="M134" s="1886"/>
      <c r="N134" s="1886"/>
      <c r="O134" s="1886"/>
      <c r="P134" s="1886"/>
      <c r="Q134" s="1886"/>
      <c r="R134" s="1886"/>
      <c r="S134" s="1886"/>
      <c r="T134" s="1886"/>
      <c r="U134" s="1886"/>
      <c r="V134" s="1886"/>
      <c r="W134" s="1886"/>
      <c r="X134" s="1886"/>
    </row>
    <row r="135" spans="1:24" x14ac:dyDescent="0.2">
      <c r="A135" s="1886"/>
      <c r="B135" s="1886"/>
      <c r="C135" s="1886"/>
      <c r="D135" s="1886"/>
      <c r="E135" s="1886"/>
      <c r="F135" s="1886"/>
      <c r="G135" s="1886"/>
      <c r="H135" s="1886"/>
      <c r="I135" s="1886"/>
      <c r="J135" s="1886"/>
      <c r="K135" s="1886"/>
      <c r="L135" s="1886"/>
      <c r="M135" s="1886"/>
      <c r="N135" s="1886"/>
      <c r="O135" s="1886"/>
      <c r="P135" s="1886"/>
      <c r="Q135" s="1886"/>
      <c r="R135" s="1886"/>
      <c r="S135" s="1886"/>
      <c r="T135" s="1886"/>
      <c r="U135" s="1886"/>
      <c r="V135" s="1886"/>
      <c r="W135" s="1886"/>
      <c r="X135" s="1886"/>
    </row>
    <row r="136" spans="1:24" x14ac:dyDescent="0.2">
      <c r="A136" s="1886"/>
      <c r="B136" s="1886"/>
      <c r="C136" s="1886"/>
      <c r="D136" s="1886"/>
      <c r="E136" s="1886"/>
      <c r="F136" s="1886"/>
      <c r="G136" s="1886"/>
      <c r="H136" s="1886"/>
      <c r="I136" s="1886"/>
      <c r="J136" s="1886"/>
      <c r="K136" s="1886"/>
      <c r="L136" s="1886"/>
      <c r="M136" s="1886"/>
      <c r="N136" s="1886"/>
      <c r="O136" s="1886"/>
      <c r="P136" s="1886"/>
      <c r="Q136" s="1886"/>
      <c r="R136" s="1886"/>
      <c r="S136" s="1886"/>
      <c r="T136" s="1886"/>
      <c r="U136" s="1886"/>
      <c r="V136" s="1886"/>
      <c r="W136" s="1886"/>
      <c r="X136" s="1886"/>
    </row>
    <row r="137" spans="1:24" x14ac:dyDescent="0.2">
      <c r="A137" s="1886"/>
      <c r="B137" s="1886"/>
      <c r="C137" s="1886"/>
      <c r="D137" s="1886"/>
      <c r="E137" s="1886"/>
      <c r="F137" s="1886"/>
      <c r="G137" s="1886"/>
      <c r="H137" s="1886"/>
      <c r="I137" s="1886"/>
      <c r="J137" s="1886"/>
      <c r="K137" s="1886"/>
      <c r="L137" s="1886"/>
      <c r="M137" s="1886"/>
      <c r="N137" s="1886"/>
      <c r="O137" s="1886"/>
      <c r="P137" s="1886"/>
      <c r="Q137" s="1886"/>
      <c r="R137" s="1886"/>
      <c r="S137" s="1886"/>
      <c r="T137" s="1886"/>
      <c r="U137" s="1886"/>
      <c r="V137" s="1886"/>
      <c r="W137" s="1886"/>
      <c r="X137" s="1886"/>
    </row>
    <row r="138" spans="1:24" x14ac:dyDescent="0.2">
      <c r="A138" s="1886"/>
      <c r="B138" s="1886"/>
      <c r="C138" s="1886"/>
      <c r="D138" s="1886"/>
      <c r="E138" s="1886"/>
      <c r="F138" s="1886"/>
      <c r="G138" s="1886"/>
      <c r="H138" s="1886"/>
      <c r="I138" s="1886"/>
      <c r="J138" s="1886"/>
      <c r="K138" s="1886"/>
      <c r="L138" s="1886"/>
      <c r="M138" s="1886"/>
      <c r="N138" s="1886"/>
      <c r="O138" s="1886"/>
      <c r="P138" s="1886"/>
      <c r="Q138" s="1886"/>
      <c r="R138" s="1886"/>
      <c r="S138" s="1886"/>
      <c r="T138" s="1886"/>
      <c r="U138" s="1886"/>
      <c r="V138" s="1886"/>
      <c r="W138" s="1886"/>
      <c r="X138" s="1886"/>
    </row>
    <row r="139" spans="1:24" x14ac:dyDescent="0.2">
      <c r="A139" s="1886"/>
      <c r="B139" s="1886"/>
      <c r="C139" s="1886"/>
      <c r="D139" s="1886"/>
      <c r="E139" s="1886"/>
      <c r="F139" s="1886"/>
      <c r="G139" s="1886"/>
      <c r="H139" s="1886"/>
      <c r="I139" s="1886"/>
      <c r="J139" s="1886"/>
      <c r="K139" s="1886"/>
      <c r="L139" s="1886"/>
      <c r="M139" s="1886"/>
      <c r="N139" s="1886"/>
      <c r="O139" s="1886"/>
      <c r="P139" s="1886"/>
      <c r="Q139" s="1886"/>
      <c r="R139" s="1886"/>
      <c r="S139" s="1886"/>
      <c r="T139" s="1886"/>
      <c r="U139" s="1886"/>
      <c r="V139" s="1886"/>
      <c r="W139" s="1886"/>
      <c r="X139" s="1886"/>
    </row>
    <row r="140" spans="1:24" x14ac:dyDescent="0.2">
      <c r="A140" s="1886"/>
      <c r="B140" s="1886"/>
      <c r="C140" s="1886"/>
      <c r="D140" s="1886"/>
      <c r="E140" s="1886"/>
      <c r="F140" s="1886"/>
      <c r="G140" s="1886"/>
      <c r="H140" s="1886"/>
      <c r="I140" s="1886"/>
      <c r="J140" s="1886"/>
      <c r="K140" s="1886"/>
      <c r="L140" s="1886"/>
      <c r="M140" s="1886"/>
      <c r="N140" s="1886"/>
      <c r="O140" s="1886"/>
      <c r="P140" s="1886"/>
      <c r="Q140" s="1886"/>
      <c r="R140" s="1886"/>
      <c r="S140" s="1886"/>
      <c r="T140" s="1886"/>
      <c r="U140" s="1886"/>
      <c r="V140" s="1886"/>
      <c r="W140" s="1886"/>
      <c r="X140" s="1886"/>
    </row>
    <row r="141" spans="1:24" x14ac:dyDescent="0.2">
      <c r="A141" s="1886"/>
      <c r="B141" s="1886"/>
      <c r="C141" s="1886"/>
      <c r="D141" s="1886"/>
      <c r="E141" s="1886"/>
      <c r="F141" s="1886"/>
      <c r="G141" s="1886"/>
      <c r="H141" s="1886"/>
      <c r="I141" s="1886"/>
      <c r="J141" s="1886"/>
      <c r="K141" s="1886"/>
      <c r="L141" s="1886"/>
      <c r="M141" s="1886"/>
      <c r="N141" s="1886"/>
      <c r="O141" s="1886"/>
      <c r="P141" s="1886"/>
      <c r="Q141" s="1886"/>
      <c r="R141" s="1886"/>
      <c r="S141" s="1886"/>
      <c r="T141" s="1886"/>
      <c r="U141" s="1886"/>
      <c r="V141" s="1886"/>
      <c r="W141" s="1886"/>
      <c r="X141" s="1886"/>
    </row>
  </sheetData>
  <sheetProtection selectLockedCells="1" selectUnlockedCells="1"/>
  <pageMargins left="0.78740157499999996" right="0.78740157499999996" top="0.984251969" bottom="0.984251969" header="0.4921259845" footer="0.4921259845"/>
  <pageSetup paperSize="9" orientation="portrait" r:id="rId1"/>
  <headerFooter alignWithMargins="0"/>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723D0-51DB-48EF-9A1D-B40F982BFF0E}">
  <dimension ref="A1:AL187"/>
  <sheetViews>
    <sheetView showGridLines="0" topLeftCell="N1" zoomScale="70" zoomScaleNormal="70" workbookViewId="0">
      <selection activeCell="L13" sqref="L13"/>
    </sheetView>
  </sheetViews>
  <sheetFormatPr defaultColWidth="10.85546875" defaultRowHeight="12.75" x14ac:dyDescent="0.2"/>
  <cols>
    <col min="1" max="1" width="11.42578125" style="2225" customWidth="1"/>
    <col min="2" max="2" width="47.28515625" style="2225" customWidth="1"/>
    <col min="3" max="3" width="16.140625" style="2225" customWidth="1"/>
    <col min="4" max="4" width="15.140625" style="2225" customWidth="1"/>
    <col min="5" max="7" width="18" style="2225" customWidth="1"/>
    <col min="8" max="8" width="16.42578125" style="2225" customWidth="1"/>
    <col min="9" max="11" width="17.42578125" style="2225" customWidth="1"/>
    <col min="12" max="12" width="21.42578125" style="2225" customWidth="1"/>
    <col min="13" max="13" width="2.140625" style="2442" customWidth="1"/>
    <col min="14" max="14" width="71.42578125" style="2225" bestFit="1" customWidth="1"/>
    <col min="15" max="15" width="22.5703125" style="2225" customWidth="1"/>
    <col min="16" max="16" width="21.42578125" style="2225" customWidth="1"/>
    <col min="17" max="20" width="14.85546875" style="2225" bestFit="1" customWidth="1"/>
    <col min="21" max="21" width="13.140625" style="2225" customWidth="1"/>
    <col min="22" max="24" width="13.42578125" style="2225" customWidth="1"/>
    <col min="25" max="25" width="12" style="2225" customWidth="1"/>
    <col min="26" max="26" width="10.85546875" style="2225"/>
    <col min="27" max="27" width="2.140625" style="2434" customWidth="1"/>
    <col min="28" max="28" width="12.42578125" style="2225" customWidth="1"/>
    <col min="29" max="29" width="25.42578125" style="2638" customWidth="1"/>
    <col min="30" max="30" width="13.42578125" style="2225" customWidth="1"/>
    <col min="31" max="33" width="12" style="2225" customWidth="1"/>
    <col min="34" max="34" width="12.42578125" style="2225" customWidth="1"/>
    <col min="35" max="37" width="12.140625" style="2225" bestFit="1" customWidth="1"/>
    <col min="38" max="38" width="2.140625" style="2434" customWidth="1"/>
    <col min="39" max="16384" width="10.85546875" style="2225"/>
  </cols>
  <sheetData>
    <row r="1" spans="1:37" ht="18" customHeight="1" x14ac:dyDescent="0.2">
      <c r="A1" s="2425" t="s">
        <v>1274</v>
      </c>
      <c r="B1" s="2426"/>
      <c r="C1" s="2426"/>
      <c r="D1" s="2426"/>
      <c r="E1" s="2427"/>
      <c r="F1" s="2427"/>
      <c r="G1" s="2427"/>
      <c r="H1" s="2428"/>
      <c r="I1" s="2426"/>
      <c r="J1" s="2426"/>
      <c r="K1" s="2426"/>
      <c r="L1" s="2426"/>
      <c r="M1" s="2429"/>
      <c r="N1" s="2425" t="s">
        <v>1275</v>
      </c>
      <c r="O1" s="2426"/>
      <c r="P1" s="2061"/>
      <c r="Q1" s="2061"/>
      <c r="R1" s="2061"/>
      <c r="S1" s="2061"/>
      <c r="T1" s="2061"/>
      <c r="U1" s="2061"/>
      <c r="V1" s="2061"/>
      <c r="W1" s="2061"/>
      <c r="X1" s="2061"/>
      <c r="Y1" s="2061"/>
      <c r="Z1" s="2430"/>
      <c r="AA1" s="2431"/>
      <c r="AB1" s="2425" t="s">
        <v>1276</v>
      </c>
      <c r="AC1" s="2432"/>
      <c r="AD1" s="2433"/>
      <c r="AE1" s="2433"/>
      <c r="AF1" s="2433"/>
      <c r="AG1" s="2433"/>
      <c r="AH1" s="2433"/>
      <c r="AI1" s="2433"/>
      <c r="AJ1" s="2433"/>
      <c r="AK1" s="2433"/>
    </row>
    <row r="2" spans="1:37" ht="18" customHeight="1" x14ac:dyDescent="0.2">
      <c r="A2" s="2435"/>
      <c r="B2" s="2061"/>
      <c r="C2" s="2061"/>
      <c r="D2" s="2061"/>
      <c r="E2" s="2061"/>
      <c r="F2" s="2061"/>
      <c r="G2" s="2061"/>
      <c r="H2" s="2060"/>
      <c r="I2" s="2061"/>
      <c r="J2" s="2061"/>
      <c r="K2" s="2061"/>
      <c r="L2" s="2061"/>
      <c r="M2" s="2429"/>
      <c r="N2" s="2061"/>
      <c r="O2" s="2061"/>
      <c r="P2" s="2061"/>
      <c r="Q2" s="2061"/>
      <c r="R2" s="2061"/>
      <c r="S2" s="2061"/>
      <c r="T2" s="2061"/>
      <c r="U2" s="2061"/>
      <c r="V2" s="2061"/>
      <c r="W2" s="2061"/>
      <c r="X2" s="2061"/>
      <c r="Y2" s="2061"/>
      <c r="Z2" s="2061"/>
      <c r="AA2" s="2431"/>
      <c r="AB2" s="2061"/>
      <c r="AC2" s="2436"/>
      <c r="AD2" s="2060"/>
      <c r="AE2" s="2060"/>
      <c r="AF2" s="2060"/>
      <c r="AG2" s="2060"/>
      <c r="AH2" s="2060"/>
      <c r="AI2" s="2060"/>
      <c r="AJ2" s="2060"/>
      <c r="AK2" s="2060"/>
    </row>
    <row r="3" spans="1:37" ht="18" customHeight="1" x14ac:dyDescent="0.2">
      <c r="A3" s="2437"/>
      <c r="B3" s="2217" t="s">
        <v>1277</v>
      </c>
      <c r="C3" s="2438">
        <f>+'CO2 - Início'!E67</f>
        <v>75.900000000000006</v>
      </c>
      <c r="D3" s="2205" t="s">
        <v>1278</v>
      </c>
      <c r="E3" s="2162"/>
      <c r="F3" s="2163" t="s">
        <v>1279</v>
      </c>
      <c r="G3" s="2061"/>
      <c r="J3" s="2061"/>
      <c r="K3" s="2061"/>
      <c r="L3" s="2061"/>
      <c r="M3" s="2429"/>
      <c r="N3" s="2968" t="s">
        <v>1280</v>
      </c>
      <c r="O3" s="2969"/>
      <c r="P3" s="2969"/>
      <c r="Q3" s="2970"/>
      <c r="R3" s="2061"/>
      <c r="S3" s="2061"/>
      <c r="T3" s="2061"/>
      <c r="U3" s="2061"/>
      <c r="V3" s="2061"/>
      <c r="W3" s="2061"/>
      <c r="X3" s="2061"/>
      <c r="Y3" s="2061"/>
      <c r="Z3" s="2061"/>
      <c r="AA3" s="2431"/>
      <c r="AB3" s="2061"/>
      <c r="AC3" s="2436"/>
      <c r="AD3" s="2075" t="str">
        <f t="shared" ref="AD3:AK3" si="0">+D72</f>
        <v>Cenário-Base</v>
      </c>
      <c r="AE3" s="2075" t="str">
        <f t="shared" si="0"/>
        <v>Biodigestão RT1A + CDR TM</v>
      </c>
      <c r="AF3" s="2075" t="str">
        <f t="shared" si="0"/>
        <v>Biodigestão RT1B + CDR TM</v>
      </c>
      <c r="AG3" s="2075" t="str">
        <f t="shared" si="0"/>
        <v>Biodigestão RT1C + CDR TM</v>
      </c>
      <c r="AH3" s="2075" t="str">
        <f t="shared" si="0"/>
        <v>Compostagem + CDR TM</v>
      </c>
      <c r="AI3" s="2075" t="str">
        <f t="shared" si="0"/>
        <v xml:space="preserve">Biosecagem + CDR TMB </v>
      </c>
      <c r="AJ3" s="2075" t="str">
        <f t="shared" si="0"/>
        <v>Incineração Mass Burning</v>
      </c>
      <c r="AK3" s="2075" t="str">
        <f t="shared" si="0"/>
        <v>Incineração Mass Burn. Descentralizada</v>
      </c>
    </row>
    <row r="4" spans="1:37" ht="18" customHeight="1" x14ac:dyDescent="0.2">
      <c r="A4" s="2060"/>
      <c r="B4" s="2217" t="s">
        <v>1281</v>
      </c>
      <c r="C4" s="2439">
        <v>333.78523660527316</v>
      </c>
      <c r="D4" s="2205" t="s">
        <v>1282</v>
      </c>
      <c r="E4" s="2440"/>
      <c r="F4" s="2441" t="s">
        <v>1283</v>
      </c>
      <c r="G4" s="2061"/>
      <c r="J4" s="2061"/>
      <c r="K4" s="2061"/>
      <c r="L4" s="2061"/>
      <c r="M4" s="2442" t="s">
        <v>1284</v>
      </c>
      <c r="N4" s="2075" t="s">
        <v>1285</v>
      </c>
      <c r="O4" s="2075" t="s">
        <v>1180</v>
      </c>
      <c r="P4" s="2075" t="s">
        <v>1180</v>
      </c>
      <c r="Q4" s="2075" t="s">
        <v>1286</v>
      </c>
      <c r="R4" s="2075" t="s">
        <v>427</v>
      </c>
      <c r="S4" s="2075" t="s">
        <v>1287</v>
      </c>
      <c r="T4" s="2075" t="s">
        <v>1113</v>
      </c>
      <c r="U4" s="2075" t="s">
        <v>1111</v>
      </c>
      <c r="V4" s="2075" t="s">
        <v>1114</v>
      </c>
      <c r="AA4" s="2431"/>
      <c r="AB4" s="2061"/>
      <c r="AC4" s="1975" t="s">
        <v>1288</v>
      </c>
      <c r="AD4" s="2443" t="s">
        <v>1289</v>
      </c>
      <c r="AE4" s="2444"/>
      <c r="AF4" s="2444"/>
      <c r="AG4" s="2444"/>
      <c r="AH4" s="2444"/>
      <c r="AI4" s="2444"/>
      <c r="AJ4" s="2444"/>
      <c r="AK4" s="2444"/>
    </row>
    <row r="5" spans="1:37" ht="18" customHeight="1" x14ac:dyDescent="0.2">
      <c r="A5" s="2060"/>
      <c r="B5" s="2217" t="s">
        <v>1290</v>
      </c>
      <c r="C5" s="2439">
        <v>1010.75399769561</v>
      </c>
      <c r="D5" s="2205" t="s">
        <v>1139</v>
      </c>
      <c r="E5" s="2440"/>
      <c r="F5" s="2441" t="s">
        <v>1283</v>
      </c>
      <c r="G5" s="2061"/>
      <c r="J5" s="2061"/>
      <c r="K5" s="2061"/>
      <c r="L5" s="2061"/>
      <c r="M5" s="2429"/>
      <c r="N5" s="2445"/>
      <c r="O5" s="2075" t="s">
        <v>1291</v>
      </c>
      <c r="P5" s="2075" t="s">
        <v>131</v>
      </c>
      <c r="Q5" s="2075" t="s">
        <v>1292</v>
      </c>
      <c r="R5" s="2075" t="s">
        <v>1293</v>
      </c>
      <c r="S5" s="2158"/>
      <c r="T5" s="2158"/>
      <c r="U5" s="2445"/>
      <c r="V5" s="2445"/>
      <c r="AA5" s="2431"/>
      <c r="AB5" s="2061"/>
      <c r="AC5" s="2446" t="s">
        <v>1108</v>
      </c>
      <c r="AD5" s="2447">
        <f t="shared" ref="AD5:AK12" si="1">+D73</f>
        <v>0</v>
      </c>
      <c r="AE5" s="2447">
        <f t="shared" si="1"/>
        <v>0</v>
      </c>
      <c r="AF5" s="2447">
        <f t="shared" si="1"/>
        <v>0</v>
      </c>
      <c r="AG5" s="2447">
        <f t="shared" si="1"/>
        <v>0</v>
      </c>
      <c r="AH5" s="2447">
        <f t="shared" si="1"/>
        <v>0</v>
      </c>
      <c r="AI5" s="2447">
        <f t="shared" si="1"/>
        <v>0</v>
      </c>
      <c r="AJ5" s="2447">
        <f t="shared" si="1"/>
        <v>0</v>
      </c>
      <c r="AK5" s="2447">
        <f t="shared" si="1"/>
        <v>0</v>
      </c>
    </row>
    <row r="6" spans="1:37" ht="18" customHeight="1" x14ac:dyDescent="0.2">
      <c r="A6" s="2060"/>
      <c r="B6" s="2448" t="s">
        <v>1294</v>
      </c>
      <c r="C6" s="2449">
        <f>94*3.6</f>
        <v>338.40000000000003</v>
      </c>
      <c r="D6" s="2205" t="s">
        <v>1139</v>
      </c>
      <c r="E6" s="2162" t="s">
        <v>1295</v>
      </c>
      <c r="F6" s="2441" t="s">
        <v>1283</v>
      </c>
      <c r="G6" s="2061"/>
      <c r="J6" s="2061"/>
      <c r="K6" s="2061"/>
      <c r="L6" s="2061"/>
      <c r="M6" s="2429"/>
      <c r="N6" s="2450" t="s">
        <v>1252</v>
      </c>
      <c r="O6" s="2444">
        <v>90</v>
      </c>
      <c r="P6" s="2444">
        <v>95</v>
      </c>
      <c r="Q6" s="2444">
        <v>1256</v>
      </c>
      <c r="R6" s="2444">
        <f>604*0.8</f>
        <v>483.20000000000005</v>
      </c>
      <c r="S6" s="1920">
        <v>64</v>
      </c>
      <c r="T6" s="1920">
        <v>697</v>
      </c>
      <c r="U6" s="2451">
        <v>410</v>
      </c>
      <c r="V6" s="2444">
        <v>0</v>
      </c>
      <c r="AA6" s="2431"/>
      <c r="AB6" s="2061"/>
      <c r="AC6" s="2446" t="s">
        <v>1109</v>
      </c>
      <c r="AD6" s="2447">
        <f t="shared" si="1"/>
        <v>0</v>
      </c>
      <c r="AE6" s="2447">
        <f t="shared" si="1"/>
        <v>0</v>
      </c>
      <c r="AF6" s="2447">
        <f t="shared" si="1"/>
        <v>0</v>
      </c>
      <c r="AG6" s="2447">
        <f t="shared" si="1"/>
        <v>0</v>
      </c>
      <c r="AH6" s="2447">
        <f t="shared" si="1"/>
        <v>0</v>
      </c>
      <c r="AI6" s="2447">
        <f t="shared" si="1"/>
        <v>0</v>
      </c>
      <c r="AJ6" s="2447">
        <f t="shared" si="1"/>
        <v>0</v>
      </c>
      <c r="AK6" s="2447">
        <f t="shared" si="1"/>
        <v>0</v>
      </c>
    </row>
    <row r="7" spans="1:37" ht="18" customHeight="1" x14ac:dyDescent="0.2">
      <c r="A7" s="2425" t="s">
        <v>1296</v>
      </c>
      <c r="B7" s="2452"/>
      <c r="C7" s="2426"/>
      <c r="D7" s="2426"/>
      <c r="E7" s="2453"/>
      <c r="F7" s="2453"/>
      <c r="G7" s="2453"/>
      <c r="H7" s="2426"/>
      <c r="I7" s="2426"/>
      <c r="J7" s="2426"/>
      <c r="K7" s="2426"/>
      <c r="L7" s="2426"/>
      <c r="M7" s="2429"/>
      <c r="N7" s="2450" t="s">
        <v>1253</v>
      </c>
      <c r="O7" s="2444">
        <v>23.9</v>
      </c>
      <c r="P7" s="2444">
        <v>23.9</v>
      </c>
      <c r="Q7" s="2444">
        <v>1548</v>
      </c>
      <c r="R7" s="2444">
        <v>604</v>
      </c>
      <c r="S7" s="1920">
        <v>1712</v>
      </c>
      <c r="T7" s="1920">
        <v>9880</v>
      </c>
      <c r="U7" s="2451">
        <f>1870*0.3+1630*0.29+2190*0.13+1990*0.19+2370*0.09</f>
        <v>1909.8</v>
      </c>
      <c r="V7" s="2444">
        <v>0</v>
      </c>
      <c r="AA7" s="2431"/>
      <c r="AB7" s="2061"/>
      <c r="AC7" s="2446" t="s">
        <v>1110</v>
      </c>
      <c r="AD7" s="2447">
        <f t="shared" si="1"/>
        <v>1912.6000000000001</v>
      </c>
      <c r="AE7" s="2447">
        <f t="shared" si="1"/>
        <v>6368.9580000000005</v>
      </c>
      <c r="AF7" s="2447">
        <f t="shared" si="1"/>
        <v>6368.9580000000005</v>
      </c>
      <c r="AG7" s="2447">
        <f t="shared" si="1"/>
        <v>6368.9580000000005</v>
      </c>
      <c r="AH7" s="2447">
        <f t="shared" si="1"/>
        <v>6368.9580000000005</v>
      </c>
      <c r="AI7" s="2447">
        <f t="shared" si="1"/>
        <v>6368.9580000000005</v>
      </c>
      <c r="AJ7" s="2447">
        <f t="shared" si="1"/>
        <v>6368.9580000000005</v>
      </c>
      <c r="AK7" s="2447">
        <f t="shared" si="1"/>
        <v>6368.9580000000005</v>
      </c>
    </row>
    <row r="8" spans="1:37" ht="18" customHeight="1" x14ac:dyDescent="0.2">
      <c r="A8" s="2061"/>
      <c r="B8" s="2061"/>
      <c r="C8" s="2061"/>
      <c r="D8" s="2061"/>
      <c r="E8" s="2061"/>
      <c r="F8" s="2061"/>
      <c r="G8" s="2061"/>
      <c r="H8" s="2971" t="s">
        <v>1297</v>
      </c>
      <c r="I8" s="2972"/>
      <c r="J8" s="2080"/>
      <c r="K8" s="2080"/>
      <c r="M8" s="2429"/>
      <c r="N8" s="2302" t="s">
        <v>1298</v>
      </c>
      <c r="O8" s="2454">
        <f t="shared" ref="O8:R8" si="2">+O6-O7</f>
        <v>66.099999999999994</v>
      </c>
      <c r="P8" s="2454">
        <f t="shared" si="2"/>
        <v>71.099999999999994</v>
      </c>
      <c r="Q8" s="2454">
        <f t="shared" si="2"/>
        <v>-292</v>
      </c>
      <c r="R8" s="2454">
        <f t="shared" si="2"/>
        <v>-120.79999999999995</v>
      </c>
      <c r="S8" s="2454">
        <f>+S6-S7</f>
        <v>-1648</v>
      </c>
      <c r="T8" s="2454">
        <f>+T6-T7</f>
        <v>-9183</v>
      </c>
      <c r="U8" s="2454">
        <f>+U6-U7</f>
        <v>-1499.8</v>
      </c>
      <c r="V8" s="2454">
        <f>+V6-V7</f>
        <v>0</v>
      </c>
      <c r="AA8" s="2431"/>
      <c r="AB8" s="2061"/>
      <c r="AC8" s="2446" t="s">
        <v>1111</v>
      </c>
      <c r="AD8" s="2447">
        <f t="shared" si="1"/>
        <v>1971</v>
      </c>
      <c r="AE8" s="2447">
        <f t="shared" si="1"/>
        <v>4336.2</v>
      </c>
      <c r="AF8" s="2447">
        <f t="shared" si="1"/>
        <v>4336.2</v>
      </c>
      <c r="AG8" s="2447">
        <f t="shared" si="1"/>
        <v>4336.2</v>
      </c>
      <c r="AH8" s="2447">
        <f t="shared" si="1"/>
        <v>4336.2</v>
      </c>
      <c r="AI8" s="2447">
        <f t="shared" si="1"/>
        <v>4336.2</v>
      </c>
      <c r="AJ8" s="2447">
        <f t="shared" si="1"/>
        <v>4336.2</v>
      </c>
      <c r="AK8" s="2447">
        <f t="shared" si="1"/>
        <v>4336.2</v>
      </c>
    </row>
    <row r="9" spans="1:37" ht="18" customHeight="1" x14ac:dyDescent="0.2">
      <c r="A9" s="2061"/>
      <c r="B9" s="2455"/>
      <c r="C9" s="2456" t="s">
        <v>1299</v>
      </c>
      <c r="D9" s="2457"/>
      <c r="E9" s="2061"/>
      <c r="F9" s="2061"/>
      <c r="G9" s="2061"/>
      <c r="H9" s="2458" t="s">
        <v>1300</v>
      </c>
      <c r="I9" s="2458" t="s">
        <v>1301</v>
      </c>
      <c r="J9" s="2458" t="s">
        <v>1300</v>
      </c>
      <c r="M9" s="2429"/>
      <c r="N9" s="2061"/>
      <c r="O9" s="2061"/>
      <c r="P9" s="2061"/>
      <c r="Q9" s="2061"/>
      <c r="R9" s="2061"/>
      <c r="S9" s="2061"/>
      <c r="T9" s="2061"/>
      <c r="U9" s="2061"/>
      <c r="V9" s="2061"/>
      <c r="W9" s="2061"/>
      <c r="X9" s="2061"/>
      <c r="Z9" s="2061"/>
      <c r="AA9" s="2431"/>
      <c r="AB9" s="2061"/>
      <c r="AC9" s="2446" t="s">
        <v>50</v>
      </c>
      <c r="AD9" s="2447">
        <f t="shared" si="1"/>
        <v>0</v>
      </c>
      <c r="AE9" s="2447">
        <f t="shared" si="1"/>
        <v>0</v>
      </c>
      <c r="AF9" s="2447">
        <f t="shared" si="1"/>
        <v>0</v>
      </c>
      <c r="AG9" s="2447">
        <f t="shared" si="1"/>
        <v>0</v>
      </c>
      <c r="AH9" s="2447">
        <f t="shared" si="1"/>
        <v>0</v>
      </c>
      <c r="AI9" s="2447">
        <f t="shared" si="1"/>
        <v>0</v>
      </c>
      <c r="AJ9" s="2447">
        <f t="shared" si="1"/>
        <v>0</v>
      </c>
      <c r="AK9" s="2447">
        <f t="shared" si="1"/>
        <v>0</v>
      </c>
    </row>
    <row r="10" spans="1:37" ht="18" customHeight="1" x14ac:dyDescent="0.2">
      <c r="A10" s="2061"/>
      <c r="B10" s="2459" t="s">
        <v>1302</v>
      </c>
      <c r="C10" s="1958" t="s">
        <v>1300</v>
      </c>
      <c r="D10" s="1958" t="s">
        <v>1303</v>
      </c>
      <c r="E10" s="2061"/>
      <c r="F10" s="2061"/>
      <c r="G10" s="2061"/>
      <c r="H10" s="2302" t="s">
        <v>1304</v>
      </c>
      <c r="I10" s="2302" t="s">
        <v>1305</v>
      </c>
      <c r="J10" s="2460" t="s">
        <v>1305</v>
      </c>
      <c r="M10" s="2429"/>
      <c r="N10" s="1985" t="s">
        <v>1306</v>
      </c>
      <c r="O10" s="1986"/>
      <c r="P10" s="2461" t="s">
        <v>1307</v>
      </c>
      <c r="Q10" s="2462"/>
      <c r="R10" s="2444">
        <v>100</v>
      </c>
      <c r="S10" s="2060" t="s">
        <v>1308</v>
      </c>
      <c r="T10" s="2060"/>
      <c r="U10" s="2060"/>
      <c r="V10" s="2061"/>
      <c r="W10" s="2061"/>
      <c r="X10" s="2061"/>
      <c r="Z10" s="2430"/>
      <c r="AA10" s="2431"/>
      <c r="AB10" s="2061"/>
      <c r="AC10" s="2446" t="s">
        <v>1112</v>
      </c>
      <c r="AD10" s="2447">
        <f t="shared" si="1"/>
        <v>671.6</v>
      </c>
      <c r="AE10" s="2447">
        <f t="shared" si="1"/>
        <v>3190.1</v>
      </c>
      <c r="AF10" s="2447">
        <f t="shared" si="1"/>
        <v>3190.1</v>
      </c>
      <c r="AG10" s="2447">
        <f t="shared" si="1"/>
        <v>3190.1</v>
      </c>
      <c r="AH10" s="2447">
        <f t="shared" si="1"/>
        <v>3190.1</v>
      </c>
      <c r="AI10" s="2447">
        <f t="shared" si="1"/>
        <v>3190.1</v>
      </c>
      <c r="AJ10" s="2447">
        <f t="shared" si="1"/>
        <v>3190.1</v>
      </c>
      <c r="AK10" s="2447">
        <f t="shared" si="1"/>
        <v>3190.1</v>
      </c>
    </row>
    <row r="11" spans="1:37" ht="18" customHeight="1" x14ac:dyDescent="0.2">
      <c r="A11" s="2061"/>
      <c r="B11" s="2446" t="s">
        <v>1108</v>
      </c>
      <c r="C11" s="2463">
        <v>0.152</v>
      </c>
      <c r="D11" s="2464">
        <v>0</v>
      </c>
      <c r="E11" s="2060" t="s">
        <v>1305</v>
      </c>
      <c r="F11" s="2060"/>
      <c r="G11" s="2060"/>
      <c r="H11" s="2209">
        <v>0.38</v>
      </c>
      <c r="I11" s="2209">
        <v>0.4</v>
      </c>
      <c r="J11" s="2465">
        <f t="shared" ref="J11:J23" si="3">+I11*H11</f>
        <v>0.15200000000000002</v>
      </c>
      <c r="M11" s="2429"/>
      <c r="N11" s="2061"/>
      <c r="O11" s="2061"/>
      <c r="P11" s="2461" t="s">
        <v>1309</v>
      </c>
      <c r="Q11" s="2462"/>
      <c r="R11" s="2464">
        <v>0.6</v>
      </c>
      <c r="S11" s="2060" t="s">
        <v>1310</v>
      </c>
      <c r="T11" s="2060"/>
      <c r="U11" s="2060"/>
      <c r="V11" s="2061"/>
      <c r="W11" s="2061"/>
      <c r="X11" s="2061"/>
      <c r="Z11" s="2430"/>
      <c r="AA11" s="2431"/>
      <c r="AB11" s="2061"/>
      <c r="AC11" s="2446" t="s">
        <v>1113</v>
      </c>
      <c r="AD11" s="2447">
        <f t="shared" si="1"/>
        <v>175.20000000000002</v>
      </c>
      <c r="AE11" s="2447">
        <f t="shared" si="1"/>
        <v>832.19999999999993</v>
      </c>
      <c r="AF11" s="2447">
        <f t="shared" si="1"/>
        <v>832.19999999999993</v>
      </c>
      <c r="AG11" s="2447">
        <f t="shared" si="1"/>
        <v>832.19999999999993</v>
      </c>
      <c r="AH11" s="2447">
        <f t="shared" si="1"/>
        <v>832.19999999999993</v>
      </c>
      <c r="AI11" s="2447">
        <f t="shared" si="1"/>
        <v>832.19999999999993</v>
      </c>
      <c r="AJ11" s="2447">
        <f t="shared" si="1"/>
        <v>832.19999999999993</v>
      </c>
      <c r="AK11" s="2447">
        <f t="shared" si="1"/>
        <v>832.19999999999993</v>
      </c>
    </row>
    <row r="12" spans="1:37" ht="18" customHeight="1" x14ac:dyDescent="0.2">
      <c r="A12" s="2061"/>
      <c r="B12" s="2446" t="s">
        <v>1109</v>
      </c>
      <c r="C12" s="2463">
        <v>0.19600000000000001</v>
      </c>
      <c r="D12" s="2464">
        <v>0</v>
      </c>
      <c r="E12" s="2060" t="s">
        <v>1305</v>
      </c>
      <c r="F12" s="2060"/>
      <c r="G12" s="2060"/>
      <c r="H12" s="2209">
        <v>0.49</v>
      </c>
      <c r="I12" s="2209">
        <v>0.4</v>
      </c>
      <c r="J12" s="2465">
        <f t="shared" si="3"/>
        <v>0.19600000000000001</v>
      </c>
      <c r="M12" s="2429"/>
      <c r="N12" s="2061"/>
      <c r="O12" s="2061"/>
      <c r="P12" s="2461" t="s">
        <v>1311</v>
      </c>
      <c r="Q12" s="2462"/>
      <c r="R12" s="2464">
        <v>0.3</v>
      </c>
      <c r="S12" s="2060" t="s">
        <v>194</v>
      </c>
      <c r="T12" s="2060"/>
      <c r="U12" s="2060"/>
      <c r="V12" s="2061"/>
      <c r="W12" s="2061"/>
      <c r="X12" s="2061"/>
      <c r="Z12" s="2430"/>
      <c r="AA12" s="2431"/>
      <c r="AB12" s="2061"/>
      <c r="AC12" s="2446" t="s">
        <v>1114</v>
      </c>
      <c r="AD12" s="2447">
        <f t="shared" si="1"/>
        <v>0</v>
      </c>
      <c r="AE12" s="2447">
        <f t="shared" si="1"/>
        <v>0</v>
      </c>
      <c r="AF12" s="2447">
        <f t="shared" si="1"/>
        <v>0</v>
      </c>
      <c r="AG12" s="2447">
        <f t="shared" si="1"/>
        <v>0</v>
      </c>
      <c r="AH12" s="2447">
        <f t="shared" si="1"/>
        <v>0</v>
      </c>
      <c r="AI12" s="2447">
        <f t="shared" si="1"/>
        <v>0</v>
      </c>
      <c r="AJ12" s="2447">
        <f t="shared" si="1"/>
        <v>0</v>
      </c>
      <c r="AK12" s="2447">
        <f t="shared" si="1"/>
        <v>0</v>
      </c>
    </row>
    <row r="13" spans="1:37" ht="18" customHeight="1" x14ac:dyDescent="0.2">
      <c r="A13" s="2466"/>
      <c r="B13" s="2446" t="s">
        <v>1110</v>
      </c>
      <c r="C13" s="2463">
        <v>0.41399999999999998</v>
      </c>
      <c r="D13" s="2464">
        <v>0.01</v>
      </c>
      <c r="E13" s="2060" t="s">
        <v>1305</v>
      </c>
      <c r="F13" s="2060"/>
      <c r="G13" s="2060"/>
      <c r="H13" s="2209">
        <v>0.46</v>
      </c>
      <c r="I13" s="2209">
        <v>0.9</v>
      </c>
      <c r="J13" s="2465">
        <f t="shared" si="3"/>
        <v>0.41400000000000003</v>
      </c>
      <c r="M13" s="2429"/>
      <c r="N13" s="2061"/>
      <c r="O13" s="2061"/>
      <c r="P13" s="2461" t="s">
        <v>1312</v>
      </c>
      <c r="Q13" s="2462"/>
      <c r="R13" s="2444">
        <f>+R10*R11*10*R12</f>
        <v>180</v>
      </c>
      <c r="S13" s="2060" t="s">
        <v>1313</v>
      </c>
      <c r="T13" s="2060"/>
      <c r="U13" s="2060"/>
      <c r="V13" s="2061"/>
      <c r="W13" s="2061"/>
      <c r="X13" s="2061"/>
      <c r="Z13" s="2430"/>
      <c r="AA13" s="2431"/>
      <c r="AB13" s="2061"/>
      <c r="AC13" s="2467" t="s">
        <v>1314</v>
      </c>
      <c r="AD13" s="2303">
        <f t="shared" ref="AD13:AJ13" si="4">SUM(AD5:AD12)</f>
        <v>4730.4000000000005</v>
      </c>
      <c r="AE13" s="2303">
        <f t="shared" si="4"/>
        <v>14727.458000000001</v>
      </c>
      <c r="AF13" s="2303">
        <f t="shared" ref="AF13" si="5">SUM(AF5:AF12)</f>
        <v>14727.458000000001</v>
      </c>
      <c r="AG13" s="2303">
        <f t="shared" si="4"/>
        <v>14727.458000000001</v>
      </c>
      <c r="AH13" s="2303">
        <f t="shared" si="4"/>
        <v>14727.458000000001</v>
      </c>
      <c r="AI13" s="2303">
        <f t="shared" si="4"/>
        <v>14727.458000000001</v>
      </c>
      <c r="AJ13" s="2303">
        <f t="shared" si="4"/>
        <v>14727.458000000001</v>
      </c>
      <c r="AK13" s="2303">
        <f t="shared" ref="AK13" si="6">SUM(AK5:AK12)</f>
        <v>14727.458000000001</v>
      </c>
    </row>
    <row r="14" spans="1:37" ht="18" customHeight="1" x14ac:dyDescent="0.2">
      <c r="A14" s="2061"/>
      <c r="B14" s="2446" t="s">
        <v>1111</v>
      </c>
      <c r="C14" s="2463">
        <v>0.75</v>
      </c>
      <c r="D14" s="2464">
        <v>1</v>
      </c>
      <c r="E14" s="2060" t="s">
        <v>1305</v>
      </c>
      <c r="F14" s="2060"/>
      <c r="G14" s="2060"/>
      <c r="H14" s="2209">
        <v>0.75</v>
      </c>
      <c r="I14" s="2209">
        <v>1</v>
      </c>
      <c r="J14" s="2465">
        <f t="shared" si="3"/>
        <v>0.75</v>
      </c>
      <c r="M14" s="2429"/>
      <c r="N14" s="2061"/>
      <c r="O14" s="2061"/>
      <c r="P14" s="2461" t="s">
        <v>1315</v>
      </c>
      <c r="Q14" s="2462"/>
      <c r="R14" s="2468">
        <f>R10*R11*10</f>
        <v>600</v>
      </c>
      <c r="S14" s="2060" t="s">
        <v>1313</v>
      </c>
      <c r="T14" s="2060"/>
      <c r="U14" s="2060"/>
      <c r="V14" s="2061"/>
      <c r="W14" s="2061"/>
      <c r="X14" s="2061"/>
      <c r="Z14" s="2430"/>
      <c r="AA14" s="2431"/>
      <c r="AB14" s="2061"/>
      <c r="AC14" s="2436"/>
      <c r="AD14" s="2060"/>
      <c r="AE14" s="2060"/>
      <c r="AF14" s="2060"/>
      <c r="AG14" s="2060"/>
      <c r="AH14" s="2060"/>
      <c r="AI14" s="2060"/>
      <c r="AJ14" s="2060"/>
      <c r="AK14" s="2060"/>
    </row>
    <row r="15" spans="1:37" ht="18" customHeight="1" x14ac:dyDescent="0.2">
      <c r="A15" s="2061"/>
      <c r="B15" s="2446" t="s">
        <v>50</v>
      </c>
      <c r="C15" s="2464">
        <v>0</v>
      </c>
      <c r="D15" s="2464">
        <v>0</v>
      </c>
      <c r="E15" s="2060" t="s">
        <v>1305</v>
      </c>
      <c r="F15" s="2060"/>
      <c r="G15" s="2060"/>
      <c r="H15" s="2209">
        <v>0</v>
      </c>
      <c r="I15" s="2209">
        <v>1</v>
      </c>
      <c r="J15" s="2465">
        <f t="shared" si="3"/>
        <v>0</v>
      </c>
      <c r="M15" s="2442" t="s">
        <v>1284</v>
      </c>
      <c r="N15" s="2060"/>
      <c r="O15" s="2061"/>
      <c r="P15" s="2061"/>
      <c r="Q15" s="2061"/>
      <c r="R15" s="2061"/>
      <c r="S15" s="2061"/>
      <c r="T15" s="2061"/>
      <c r="U15" s="2061"/>
      <c r="V15" s="2061"/>
      <c r="W15" s="2061"/>
      <c r="X15" s="2061"/>
      <c r="Y15" s="2061"/>
      <c r="Z15" s="2430"/>
      <c r="AA15" s="2431"/>
      <c r="AB15" s="2061"/>
      <c r="AC15" s="1975" t="s">
        <v>1252</v>
      </c>
      <c r="AD15" s="2469" t="s">
        <v>1316</v>
      </c>
      <c r="AE15" s="2060"/>
      <c r="AF15" s="2060"/>
      <c r="AG15" s="2060"/>
      <c r="AH15" s="2060"/>
      <c r="AI15" s="2060"/>
      <c r="AJ15" s="2060"/>
      <c r="AK15" s="2060"/>
    </row>
    <row r="16" spans="1:37" ht="18" customHeight="1" x14ac:dyDescent="0.2">
      <c r="A16" s="2061"/>
      <c r="B16" s="2446" t="s">
        <v>1317</v>
      </c>
      <c r="C16" s="2464">
        <v>0</v>
      </c>
      <c r="D16" s="2464">
        <v>0</v>
      </c>
      <c r="E16" s="2060" t="s">
        <v>1305</v>
      </c>
      <c r="F16" s="2060"/>
      <c r="G16" s="2060"/>
      <c r="H16" s="2209">
        <v>0</v>
      </c>
      <c r="I16" s="2209">
        <v>1</v>
      </c>
      <c r="J16" s="2465">
        <f t="shared" si="3"/>
        <v>0</v>
      </c>
      <c r="M16" s="2429"/>
      <c r="N16" s="1985" t="s">
        <v>1318</v>
      </c>
      <c r="O16" s="1986"/>
      <c r="P16" s="2195"/>
      <c r="Q16" s="2061"/>
      <c r="R16" s="2061"/>
      <c r="S16" s="2061"/>
      <c r="T16" s="2061"/>
      <c r="U16" s="2061"/>
      <c r="V16" s="2061"/>
      <c r="W16" s="2061"/>
      <c r="X16" s="2061"/>
      <c r="Y16" s="2061"/>
      <c r="Z16" s="2430"/>
      <c r="AA16" s="2431"/>
      <c r="AB16" s="2061"/>
      <c r="AC16" s="2446" t="str">
        <f t="shared" ref="AC16:AC23" si="7">+$AC5</f>
        <v>Resíduos de alimentos</v>
      </c>
      <c r="AD16" s="2447">
        <f>+AD5*((1-'CO2 - Reciclagem'!E31)*$P$6+'CO2 - Reciclagem'!E31*$O$6)/1000</f>
        <v>0</v>
      </c>
      <c r="AE16" s="2447">
        <f>+AE5*((1-'CO2 - Reciclagem'!G31)*$P$6+'CO2 - Reciclagem'!G31*$O$6)/1000</f>
        <v>0</v>
      </c>
      <c r="AF16" s="2447">
        <f>+AF5*((1-'CO2 - Reciclagem'!H31)*$P$6+'CO2 - Reciclagem'!H31*$O$6)/1000</f>
        <v>0</v>
      </c>
      <c r="AG16" s="2447">
        <f>+AG5*((1-'CO2 - Reciclagem'!I31)*$P$6+'CO2 - Reciclagem'!I31*$O$6)/1000</f>
        <v>0</v>
      </c>
      <c r="AH16" s="2447">
        <f>+AH5*((1-'CO2 - Reciclagem'!J31)*$P$6+'CO2 - Reciclagem'!J31*$O$6)/1000</f>
        <v>0</v>
      </c>
      <c r="AI16" s="2447">
        <f>+AI5*((1-'CO2 - Reciclagem'!K31)*$P$6+'CO2 - Reciclagem'!K31*$O$6)/1000</f>
        <v>0</v>
      </c>
      <c r="AJ16" s="2447">
        <f>+AJ5*((1-'CO2 - Reciclagem'!L31)*$P$6+'CO2 - Reciclagem'!L31*$O$6)/1000</f>
        <v>0</v>
      </c>
      <c r="AK16" s="2447">
        <f>+AK5*((1-'CO2 - Reciclagem'!M31)*$P$6+'CO2 - Reciclagem'!M31*$O$6)/1000</f>
        <v>0</v>
      </c>
    </row>
    <row r="17" spans="1:37" ht="18" customHeight="1" x14ac:dyDescent="0.2">
      <c r="A17" s="2061"/>
      <c r="B17" s="2446" t="s">
        <v>1113</v>
      </c>
      <c r="C17" s="2464">
        <v>0</v>
      </c>
      <c r="D17" s="2464">
        <v>0</v>
      </c>
      <c r="E17" s="2060" t="s">
        <v>1305</v>
      </c>
      <c r="F17" s="2060"/>
      <c r="G17" s="2060"/>
      <c r="H17" s="2209">
        <v>0</v>
      </c>
      <c r="I17" s="2209">
        <v>1</v>
      </c>
      <c r="J17" s="2465">
        <f t="shared" si="3"/>
        <v>0</v>
      </c>
      <c r="M17" s="2429"/>
      <c r="N17" s="2080"/>
      <c r="O17" s="2080"/>
      <c r="P17" s="2080"/>
      <c r="Q17" s="2075" t="str">
        <f>+$D$72</f>
        <v>Cenário-Base</v>
      </c>
      <c r="R17" s="2075" t="str">
        <f t="shared" ref="R17:X17" si="8">+E72</f>
        <v>Biodigestão RT1A + CDR TM</v>
      </c>
      <c r="S17" s="2075" t="str">
        <f t="shared" si="8"/>
        <v>Biodigestão RT1B + CDR TM</v>
      </c>
      <c r="T17" s="2075" t="str">
        <f t="shared" si="8"/>
        <v>Biodigestão RT1C + CDR TM</v>
      </c>
      <c r="U17" s="2075" t="str">
        <f t="shared" si="8"/>
        <v>Compostagem + CDR TM</v>
      </c>
      <c r="V17" s="2075" t="str">
        <f t="shared" si="8"/>
        <v xml:space="preserve">Biosecagem + CDR TMB </v>
      </c>
      <c r="W17" s="2075" t="str">
        <f t="shared" si="8"/>
        <v>Incineração Mass Burning</v>
      </c>
      <c r="X17" s="2075" t="str">
        <f t="shared" si="8"/>
        <v>Incineração Mass Burn. Descentralizada</v>
      </c>
      <c r="Y17" s="2061"/>
      <c r="Z17" s="2430"/>
      <c r="AA17" s="2431"/>
      <c r="AB17" s="2061"/>
      <c r="AC17" s="2446" t="str">
        <f t="shared" si="7"/>
        <v>Resíduos de jardins e parques</v>
      </c>
      <c r="AD17" s="2447">
        <f>+AD6*((1-'CO2 - Reciclagem'!E31)*$P$6+'CO2 - Reciclagem'!E31*$O$6)/1000</f>
        <v>0</v>
      </c>
      <c r="AE17" s="2447">
        <f>+AE6*((1-'CO2 - Reciclagem'!G31)*$P$6+'CO2 - Reciclagem'!G31*$O$6)/1000</f>
        <v>0</v>
      </c>
      <c r="AF17" s="2447">
        <f>+AF6*((1-'CO2 - Reciclagem'!H31)*$P$6+'CO2 - Reciclagem'!H31*$O$6)/1000</f>
        <v>0</v>
      </c>
      <c r="AG17" s="2447">
        <f>+AG6*((1-'CO2 - Reciclagem'!I31)*$P$6+'CO2 - Reciclagem'!I31*$O$6)/1000</f>
        <v>0</v>
      </c>
      <c r="AH17" s="2447">
        <f>+AH6*((1-'CO2 - Reciclagem'!J31)*$P$6+'CO2 - Reciclagem'!J31*$O$6)/1000</f>
        <v>0</v>
      </c>
      <c r="AI17" s="2447">
        <f>+AI6*((1-'CO2 - Reciclagem'!K31)*$P$6+'CO2 - Reciclagem'!K31*$O$6)/1000</f>
        <v>0</v>
      </c>
      <c r="AJ17" s="2447">
        <f>+AJ6*((1-'CO2 - Reciclagem'!L31)*$P$6+'CO2 - Reciclagem'!L31*$O$6)/1000</f>
        <v>0</v>
      </c>
      <c r="AK17" s="2447">
        <f>+AK6*((1-'CO2 - Reciclagem'!M31)*$P$6+'CO2 - Reciclagem'!M31*$O$6)/1000</f>
        <v>0</v>
      </c>
    </row>
    <row r="18" spans="1:37" ht="18" customHeight="1" x14ac:dyDescent="0.2">
      <c r="A18" s="2061"/>
      <c r="B18" s="2446" t="s">
        <v>1114</v>
      </c>
      <c r="C18" s="2463">
        <v>0.4</v>
      </c>
      <c r="D18" s="2464">
        <v>0.2</v>
      </c>
      <c r="E18" s="2060" t="s">
        <v>1305</v>
      </c>
      <c r="F18" s="2060"/>
      <c r="G18" s="2060"/>
      <c r="H18" s="2209">
        <v>0.5</v>
      </c>
      <c r="I18" s="2209">
        <v>0.8</v>
      </c>
      <c r="J18" s="2465">
        <f t="shared" si="3"/>
        <v>0.4</v>
      </c>
      <c r="M18" s="2429"/>
      <c r="N18" s="2461" t="s">
        <v>1195</v>
      </c>
      <c r="O18" s="2462"/>
      <c r="P18" s="2470"/>
      <c r="Q18" s="2468"/>
      <c r="R18" s="2468"/>
      <c r="S18" s="2468"/>
      <c r="T18" s="2468"/>
      <c r="U18" s="2468"/>
      <c r="V18" s="2468"/>
      <c r="W18" s="2468"/>
      <c r="X18" s="2468"/>
      <c r="Y18" s="2061"/>
      <c r="Z18" s="2430"/>
      <c r="AA18" s="2431"/>
      <c r="AB18" s="2061"/>
      <c r="AC18" s="2446" t="str">
        <f t="shared" si="7"/>
        <v>Papel, papelão</v>
      </c>
      <c r="AD18" s="2447">
        <f t="shared" ref="AD18:AK18" si="9">+AD7*$Q$6/1000</f>
        <v>2402.2256000000002</v>
      </c>
      <c r="AE18" s="2447">
        <f t="shared" si="9"/>
        <v>7999.4112480000003</v>
      </c>
      <c r="AF18" s="2447">
        <f t="shared" si="9"/>
        <v>7999.4112480000003</v>
      </c>
      <c r="AG18" s="2447">
        <f t="shared" si="9"/>
        <v>7999.4112480000003</v>
      </c>
      <c r="AH18" s="2447">
        <f t="shared" si="9"/>
        <v>7999.4112480000003</v>
      </c>
      <c r="AI18" s="2447">
        <f t="shared" si="9"/>
        <v>7999.4112480000003</v>
      </c>
      <c r="AJ18" s="2447">
        <f t="shared" si="9"/>
        <v>7999.4112480000003</v>
      </c>
      <c r="AK18" s="2447">
        <f t="shared" si="9"/>
        <v>7999.4112480000003</v>
      </c>
    </row>
    <row r="19" spans="1:37" ht="18" customHeight="1" x14ac:dyDescent="0.2">
      <c r="A19" s="2061"/>
      <c r="B19" s="2446" t="s">
        <v>1319</v>
      </c>
      <c r="C19" s="2463">
        <v>0.56299999999999994</v>
      </c>
      <c r="D19" s="2464">
        <v>0.2</v>
      </c>
      <c r="E19" s="2060" t="s">
        <v>1305</v>
      </c>
      <c r="F19" s="2060"/>
      <c r="G19" s="2060"/>
      <c r="H19" s="2209">
        <v>0.67</v>
      </c>
      <c r="I19" s="2209">
        <v>0.84</v>
      </c>
      <c r="J19" s="2465">
        <f t="shared" si="3"/>
        <v>0.56279999999999997</v>
      </c>
      <c r="M19" s="2429"/>
      <c r="N19" s="2471" t="s">
        <v>1320</v>
      </c>
      <c r="O19" s="2462"/>
      <c r="P19" s="2470"/>
      <c r="Q19" s="2472">
        <f t="shared" ref="Q19:X19" si="10">+D120</f>
        <v>0.10246513642000825</v>
      </c>
      <c r="R19" s="2472">
        <f t="shared" si="10"/>
        <v>9.6614717142294707E-2</v>
      </c>
      <c r="S19" s="2472">
        <f t="shared" si="10"/>
        <v>9.6614717142294707E-2</v>
      </c>
      <c r="T19" s="2472">
        <f t="shared" si="10"/>
        <v>9.6614717142294707E-2</v>
      </c>
      <c r="U19" s="2472">
        <f t="shared" si="10"/>
        <v>9.6614717142294707E-2</v>
      </c>
      <c r="V19" s="2472">
        <f t="shared" si="10"/>
        <v>9.6614717142294707E-2</v>
      </c>
      <c r="W19" s="2472">
        <f t="shared" si="10"/>
        <v>9.6614717142294707E-2</v>
      </c>
      <c r="X19" s="2472">
        <f t="shared" si="10"/>
        <v>9.6614717142294707E-2</v>
      </c>
      <c r="Y19" s="2060" t="s">
        <v>1305</v>
      </c>
      <c r="Z19" s="2430"/>
      <c r="AA19" s="2431"/>
      <c r="AB19" s="2061"/>
      <c r="AC19" s="2446" t="str">
        <f t="shared" si="7"/>
        <v>Plásticos</v>
      </c>
      <c r="AD19" s="2447">
        <f t="shared" ref="AD19:AK19" si="11">+AD8*$U$6/1000</f>
        <v>808.11</v>
      </c>
      <c r="AE19" s="2447">
        <f t="shared" si="11"/>
        <v>1777.8420000000001</v>
      </c>
      <c r="AF19" s="2447">
        <f t="shared" si="11"/>
        <v>1777.8420000000001</v>
      </c>
      <c r="AG19" s="2447">
        <f t="shared" si="11"/>
        <v>1777.8420000000001</v>
      </c>
      <c r="AH19" s="2447">
        <f t="shared" si="11"/>
        <v>1777.8420000000001</v>
      </c>
      <c r="AI19" s="2447">
        <f t="shared" si="11"/>
        <v>1777.8420000000001</v>
      </c>
      <c r="AJ19" s="2447">
        <f t="shared" si="11"/>
        <v>1777.8420000000001</v>
      </c>
      <c r="AK19" s="2447">
        <f t="shared" si="11"/>
        <v>1777.8420000000001</v>
      </c>
    </row>
    <row r="20" spans="1:37" ht="18" customHeight="1" x14ac:dyDescent="0.2">
      <c r="A20" s="2061"/>
      <c r="B20" s="2446" t="s">
        <v>1321</v>
      </c>
      <c r="C20" s="2463">
        <v>0.28000000000000003</v>
      </c>
      <c r="D20" s="2464">
        <v>0.1</v>
      </c>
      <c r="E20" s="2060" t="s">
        <v>1305</v>
      </c>
      <c r="F20" s="2060"/>
      <c r="G20" s="2060"/>
      <c r="H20" s="2209">
        <v>0.7</v>
      </c>
      <c r="I20" s="2209">
        <v>0.4</v>
      </c>
      <c r="J20" s="2465">
        <f t="shared" si="3"/>
        <v>0.27999999999999997</v>
      </c>
      <c r="M20" s="2429"/>
      <c r="N20" s="2461" t="s">
        <v>1322</v>
      </c>
      <c r="O20" s="2473"/>
      <c r="P20" s="2474"/>
      <c r="Q20" s="2475">
        <f t="shared" ref="Q20:X20" si="12">+Q19*44/12*1000</f>
        <v>375.70550020669691</v>
      </c>
      <c r="R20" s="2475">
        <f t="shared" si="12"/>
        <v>354.25396285508054</v>
      </c>
      <c r="S20" s="2475">
        <f t="shared" si="12"/>
        <v>354.25396285508054</v>
      </c>
      <c r="T20" s="2475">
        <f t="shared" si="12"/>
        <v>354.25396285508054</v>
      </c>
      <c r="U20" s="2475">
        <f t="shared" si="12"/>
        <v>354.25396285508054</v>
      </c>
      <c r="V20" s="2475">
        <f t="shared" si="12"/>
        <v>354.25396285508054</v>
      </c>
      <c r="W20" s="2475">
        <f t="shared" si="12"/>
        <v>354.25396285508054</v>
      </c>
      <c r="X20" s="2475">
        <f t="shared" si="12"/>
        <v>354.25396285508054</v>
      </c>
      <c r="Y20" s="2469" t="s">
        <v>1323</v>
      </c>
      <c r="Z20" s="2430"/>
      <c r="AA20" s="2431"/>
      <c r="AB20" s="2061"/>
      <c r="AC20" s="2446" t="str">
        <f t="shared" si="7"/>
        <v>Vidros</v>
      </c>
      <c r="AD20" s="2447">
        <f t="shared" ref="AD20:AK20" si="13">+AD9*$R$6/1000</f>
        <v>0</v>
      </c>
      <c r="AE20" s="2447">
        <f t="shared" si="13"/>
        <v>0</v>
      </c>
      <c r="AF20" s="2447">
        <f t="shared" si="13"/>
        <v>0</v>
      </c>
      <c r="AG20" s="2447">
        <f t="shared" si="13"/>
        <v>0</v>
      </c>
      <c r="AH20" s="2447">
        <f t="shared" si="13"/>
        <v>0</v>
      </c>
      <c r="AI20" s="2447">
        <f t="shared" si="13"/>
        <v>0</v>
      </c>
      <c r="AJ20" s="2447">
        <f t="shared" si="13"/>
        <v>0</v>
      </c>
      <c r="AK20" s="2447">
        <f t="shared" si="13"/>
        <v>0</v>
      </c>
    </row>
    <row r="21" spans="1:37" ht="18" customHeight="1" x14ac:dyDescent="0.2">
      <c r="A21" s="2061"/>
      <c r="B21" s="2446" t="s">
        <v>1117</v>
      </c>
      <c r="C21" s="2463">
        <v>0.42499999999999999</v>
      </c>
      <c r="D21" s="2464">
        <v>0</v>
      </c>
      <c r="E21" s="2060" t="s">
        <v>1305</v>
      </c>
      <c r="F21" s="2060"/>
      <c r="G21" s="2060"/>
      <c r="H21" s="2209">
        <v>0.5</v>
      </c>
      <c r="I21" s="2209">
        <v>0.85</v>
      </c>
      <c r="J21" s="2465">
        <f t="shared" si="3"/>
        <v>0.42499999999999999</v>
      </c>
      <c r="M21" s="2429"/>
      <c r="N21" s="2061"/>
      <c r="O21" s="2061"/>
      <c r="P21" s="2061"/>
      <c r="Q21" s="2061"/>
      <c r="R21" s="2061"/>
      <c r="S21" s="2061"/>
      <c r="T21" s="2061"/>
      <c r="U21" s="2061"/>
      <c r="V21" s="2061"/>
      <c r="W21" s="2061"/>
      <c r="X21" s="2061"/>
      <c r="Y21" s="2061"/>
      <c r="Z21" s="2430"/>
      <c r="AA21" s="2431"/>
      <c r="AB21" s="2061"/>
      <c r="AC21" s="2446" t="str">
        <f t="shared" si="7"/>
        <v>Metais ferrosos</v>
      </c>
      <c r="AD21" s="2447">
        <f t="shared" ref="AD21:AK21" si="14">+AD10*$S$6/1000</f>
        <v>42.982399999999998</v>
      </c>
      <c r="AE21" s="2447">
        <f t="shared" si="14"/>
        <v>204.16639999999998</v>
      </c>
      <c r="AF21" s="2447">
        <f t="shared" si="14"/>
        <v>204.16639999999998</v>
      </c>
      <c r="AG21" s="2447">
        <f t="shared" si="14"/>
        <v>204.16639999999998</v>
      </c>
      <c r="AH21" s="2447">
        <f t="shared" si="14"/>
        <v>204.16639999999998</v>
      </c>
      <c r="AI21" s="2447">
        <f t="shared" si="14"/>
        <v>204.16639999999998</v>
      </c>
      <c r="AJ21" s="2447">
        <f t="shared" si="14"/>
        <v>204.16639999999998</v>
      </c>
      <c r="AK21" s="2447">
        <f t="shared" si="14"/>
        <v>204.16639999999998</v>
      </c>
    </row>
    <row r="22" spans="1:37" ht="18" customHeight="1" x14ac:dyDescent="0.2">
      <c r="A22" s="2061"/>
      <c r="B22" s="2446" t="s">
        <v>1118</v>
      </c>
      <c r="C22" s="2463">
        <v>0</v>
      </c>
      <c r="D22" s="2464">
        <v>0</v>
      </c>
      <c r="E22" s="2060" t="s">
        <v>1305</v>
      </c>
      <c r="F22" s="2060"/>
      <c r="G22" s="2060"/>
      <c r="H22" s="2209">
        <v>0</v>
      </c>
      <c r="I22" s="2209">
        <v>1</v>
      </c>
      <c r="J22" s="2465">
        <f t="shared" si="3"/>
        <v>0</v>
      </c>
      <c r="M22" s="2429"/>
      <c r="N22" s="1985" t="s">
        <v>225</v>
      </c>
      <c r="O22" s="1986"/>
      <c r="P22" s="2195"/>
      <c r="Q22" s="2061"/>
      <c r="R22" s="2061"/>
      <c r="S22" s="2061"/>
      <c r="T22" s="2061"/>
      <c r="U22" s="2061"/>
      <c r="V22" s="2061"/>
      <c r="W22" s="2061"/>
      <c r="X22" s="2061"/>
      <c r="Y22" s="2061"/>
      <c r="Z22" s="2430"/>
      <c r="AA22" s="2431"/>
      <c r="AB22" s="2061"/>
      <c r="AC22" s="2446" t="str">
        <f t="shared" si="7"/>
        <v>Alumínio</v>
      </c>
      <c r="AD22" s="2447">
        <f t="shared" ref="AD22:AK22" si="15">+AD11*$T$6/1000</f>
        <v>122.1144</v>
      </c>
      <c r="AE22" s="2447">
        <f t="shared" si="15"/>
        <v>580.04339999999991</v>
      </c>
      <c r="AF22" s="2447">
        <f t="shared" si="15"/>
        <v>580.04339999999991</v>
      </c>
      <c r="AG22" s="2447">
        <f t="shared" si="15"/>
        <v>580.04339999999991</v>
      </c>
      <c r="AH22" s="2447">
        <f t="shared" si="15"/>
        <v>580.04339999999991</v>
      </c>
      <c r="AI22" s="2447">
        <f t="shared" si="15"/>
        <v>580.04339999999991</v>
      </c>
      <c r="AJ22" s="2447">
        <f t="shared" si="15"/>
        <v>580.04339999999991</v>
      </c>
      <c r="AK22" s="2447">
        <f t="shared" si="15"/>
        <v>580.04339999999991</v>
      </c>
    </row>
    <row r="23" spans="1:37" ht="18" customHeight="1" x14ac:dyDescent="0.2">
      <c r="A23" s="2061"/>
      <c r="B23" s="2446" t="s">
        <v>1119</v>
      </c>
      <c r="C23" s="2463">
        <v>2.7E-2</v>
      </c>
      <c r="D23" s="2464">
        <v>1</v>
      </c>
      <c r="E23" s="2060" t="s">
        <v>1305</v>
      </c>
      <c r="F23" s="2060"/>
      <c r="G23" s="2060"/>
      <c r="H23" s="2209">
        <v>0.03</v>
      </c>
      <c r="I23" s="2209">
        <v>0.9</v>
      </c>
      <c r="J23" s="2465">
        <f t="shared" si="3"/>
        <v>2.7E-2</v>
      </c>
      <c r="M23" s="2429"/>
      <c r="N23" s="2461" t="s">
        <v>1324</v>
      </c>
      <c r="O23" s="2476"/>
      <c r="P23" s="2477"/>
      <c r="Q23" s="2061"/>
      <c r="R23" s="2061"/>
      <c r="S23" s="2061"/>
      <c r="T23" s="2061"/>
      <c r="U23" s="2061"/>
      <c r="V23" s="2061"/>
      <c r="W23" s="2061"/>
      <c r="X23" s="2061"/>
      <c r="Y23" s="2061"/>
      <c r="Z23" s="2430"/>
      <c r="AA23" s="2431"/>
      <c r="AB23" s="2061"/>
      <c r="AC23" s="2446" t="str">
        <f t="shared" si="7"/>
        <v>Têxteis</v>
      </c>
      <c r="AD23" s="2447">
        <f t="shared" ref="AD23:AK23" si="16">+AD12*$V$6/1000</f>
        <v>0</v>
      </c>
      <c r="AE23" s="2447">
        <f t="shared" si="16"/>
        <v>0</v>
      </c>
      <c r="AF23" s="2447">
        <f t="shared" si="16"/>
        <v>0</v>
      </c>
      <c r="AG23" s="2447">
        <f t="shared" si="16"/>
        <v>0</v>
      </c>
      <c r="AH23" s="2447">
        <f t="shared" si="16"/>
        <v>0</v>
      </c>
      <c r="AI23" s="2447">
        <f t="shared" si="16"/>
        <v>0</v>
      </c>
      <c r="AJ23" s="2447">
        <f t="shared" si="16"/>
        <v>0</v>
      </c>
      <c r="AK23" s="2447">
        <f t="shared" si="16"/>
        <v>0</v>
      </c>
    </row>
    <row r="24" spans="1:37" ht="18" customHeight="1" x14ac:dyDescent="0.2">
      <c r="A24" s="2061"/>
      <c r="B24" s="2061"/>
      <c r="C24" s="2061"/>
      <c r="D24" s="2061"/>
      <c r="E24" s="2061"/>
      <c r="F24" s="2061"/>
      <c r="G24" s="2061"/>
      <c r="H24" s="2061"/>
      <c r="I24" s="2061"/>
      <c r="J24" s="2061"/>
      <c r="K24" s="2061"/>
      <c r="L24" s="2061"/>
      <c r="M24" s="2429"/>
      <c r="N24" s="2461" t="s">
        <v>1325</v>
      </c>
      <c r="O24" s="2476"/>
      <c r="P24" s="2477"/>
      <c r="Q24" s="2463">
        <f t="shared" ref="Q24:X24" si="17">D121</f>
        <v>0.16485824100868129</v>
      </c>
      <c r="R24" s="2463">
        <f t="shared" si="17"/>
        <v>0.16349934683309475</v>
      </c>
      <c r="S24" s="2463">
        <f t="shared" si="17"/>
        <v>0.16349934683309475</v>
      </c>
      <c r="T24" s="2463">
        <f t="shared" si="17"/>
        <v>0.16349934683309475</v>
      </c>
      <c r="U24" s="2463">
        <f t="shared" si="17"/>
        <v>0.16349934683309475</v>
      </c>
      <c r="V24" s="2463">
        <f t="shared" si="17"/>
        <v>0.16349934683309475</v>
      </c>
      <c r="W24" s="2463">
        <f t="shared" si="17"/>
        <v>0.16349934683309475</v>
      </c>
      <c r="X24" s="2463">
        <f t="shared" si="17"/>
        <v>0.16349934683309475</v>
      </c>
      <c r="Y24" s="2060" t="s">
        <v>1305</v>
      </c>
      <c r="Z24" s="2430" t="s">
        <v>1326</v>
      </c>
      <c r="AA24" s="2431"/>
      <c r="AB24" s="2061"/>
      <c r="AC24" s="1975" t="s">
        <v>1253</v>
      </c>
      <c r="AD24" s="2469" t="s">
        <v>1316</v>
      </c>
      <c r="AE24" s="2060"/>
      <c r="AF24" s="2060"/>
      <c r="AG24" s="2060"/>
      <c r="AH24" s="2060"/>
      <c r="AI24" s="2060"/>
      <c r="AJ24" s="2060"/>
      <c r="AK24" s="2060"/>
    </row>
    <row r="25" spans="1:37" ht="18" customHeight="1" x14ac:dyDescent="0.2">
      <c r="A25" s="2425" t="s">
        <v>1327</v>
      </c>
      <c r="B25" s="2426"/>
      <c r="C25" s="2426"/>
      <c r="D25" s="2426"/>
      <c r="E25" s="2426"/>
      <c r="F25" s="2426"/>
      <c r="G25" s="2426"/>
      <c r="H25" s="2426"/>
      <c r="I25" s="2426"/>
      <c r="J25" s="2426"/>
      <c r="K25" s="2426"/>
      <c r="L25" s="2426"/>
      <c r="M25" s="2429"/>
      <c r="N25" s="2461" t="s">
        <v>1328</v>
      </c>
      <c r="O25" s="2476"/>
      <c r="P25" s="2477"/>
      <c r="Q25" s="2464">
        <v>0.5</v>
      </c>
      <c r="R25" s="2464">
        <v>0.5</v>
      </c>
      <c r="S25" s="2464">
        <v>0.5</v>
      </c>
      <c r="T25" s="2464">
        <v>0.5</v>
      </c>
      <c r="U25" s="2464">
        <v>0.5</v>
      </c>
      <c r="V25" s="2464">
        <v>0.5</v>
      </c>
      <c r="W25" s="2464">
        <v>0.5</v>
      </c>
      <c r="X25" s="2464">
        <v>0.5</v>
      </c>
      <c r="Y25" s="2060" t="s">
        <v>1329</v>
      </c>
      <c r="Z25" s="2430"/>
      <c r="AA25" s="2431"/>
      <c r="AB25" s="2061"/>
      <c r="AC25" s="2478" t="str">
        <f t="shared" ref="AC25:AC32" si="18">+$AC5</f>
        <v>Resíduos de alimentos</v>
      </c>
      <c r="AD25" s="2447">
        <f>+AD5*((1-'CO2 - Reciclagem'!$E$31)*$P$7+'CO2 - Reciclagem'!$E$31*($R$13*$C$3*'CO2 - Reciclagem'!$E$34/1000+$R$14*$C$6*'CO2 - Reciclagem'!$E$35/1000+$O$7))/1000*(-1)</f>
        <v>0</v>
      </c>
      <c r="AE25" s="2447">
        <f>+AE5*((1-'CO2 - Reciclagem'!$G$31)*$P$7+'CO2 - Reciclagem'!$G$31*($R$13*$C$3*'CO2 - Reciclagem'!$G$34/1000+$R$14*$C$6*'CO2 - Reciclagem'!$G$35/1000+$O$7))/1000*(-1)</f>
        <v>0</v>
      </c>
      <c r="AF25" s="2447">
        <f>+AF5*((1-'CO2 - Reciclagem'!$H$31)*$P$7+'CO2 - Reciclagem'!$H$31*($R$13*$C$3*'CO2 - Reciclagem'!$H$34/1000+$R$14*$C$6*'CO2 - Reciclagem'!$H$35/1000+$O$7))/1000*(-1)</f>
        <v>0</v>
      </c>
      <c r="AG25" s="2447">
        <f>+AG5*((1-'CO2 - Reciclagem'!$I$31)*$P$7+'CO2 - Reciclagem'!$I$31*($R$13*$C$3*'CO2 - Reciclagem'!$I$34/1000+$R$14*$C$6*'CO2 - Reciclagem'!$I$35/1000+$O$7))/1000*(-1)</f>
        <v>0</v>
      </c>
      <c r="AH25" s="2447">
        <f>+AH5*((1-'CO2 - Reciclagem'!$J$31)*$P$7+'CO2 - Reciclagem'!$J$31*($R$13*$C$3*'CO2 - Reciclagem'!$J$34/1000+$R$14*$C$6*'CO2 - Reciclagem'!$J$35/1000+$O$7))/1000*(-1)</f>
        <v>0</v>
      </c>
      <c r="AI25" s="2447">
        <f>+AI5*((1-'CO2 - Reciclagem'!$K$31)*$P$7+'CO2 - Reciclagem'!$K$31*($R$13*$C$3*'CO2 - Reciclagem'!$K$34/1000+$R$14*$C$6*'CO2 - Reciclagem'!$K$35/1000+$O$7))/1000*(-1)</f>
        <v>0</v>
      </c>
      <c r="AJ25" s="2447">
        <f>+AJ5*((1-'CO2 - Reciclagem'!$L$31)*$P$7+'CO2 - Reciclagem'!$L$31*($R$13*$C$3*'CO2 - Reciclagem'!$L$34/1000+$R$14*$C$6*'CO2 - Reciclagem'!$L$35/1000+$O$7))/1000*(-1)</f>
        <v>0</v>
      </c>
      <c r="AK25" s="2447">
        <f>+AK5*((1-'CO2 - Reciclagem'!$M$31)*$P$7+'CO2 - Reciclagem'!$M$31*($R$13*$C$3*'CO2 - Reciclagem'!$M$34/1000+$R$14*$C$6*'CO2 - Reciclagem'!$M$35/1000+$O$7))/1000*(-1)</f>
        <v>0</v>
      </c>
    </row>
    <row r="26" spans="1:37" ht="18" customHeight="1" x14ac:dyDescent="0.2">
      <c r="A26" s="2061"/>
      <c r="B26" s="2061"/>
      <c r="C26" s="2061"/>
      <c r="D26" s="2061"/>
      <c r="E26" s="2061"/>
      <c r="F26" s="2061"/>
      <c r="G26" s="2061"/>
      <c r="H26" s="2061"/>
      <c r="I26" s="2061"/>
      <c r="J26" s="2061"/>
      <c r="K26" s="2061"/>
      <c r="L26" s="2061"/>
      <c r="M26" s="2429"/>
      <c r="N26" s="2461" t="s">
        <v>1330</v>
      </c>
      <c r="O26" s="2476"/>
      <c r="P26" s="2477"/>
      <c r="Q26" s="2464">
        <v>0.55000000000000004</v>
      </c>
      <c r="R26" s="2464">
        <v>0.55000000000000004</v>
      </c>
      <c r="S26" s="2464">
        <v>0.55000000000000004</v>
      </c>
      <c r="T26" s="2464">
        <v>0.55000000000000004</v>
      </c>
      <c r="U26" s="2464">
        <v>0.55000000000000004</v>
      </c>
      <c r="V26" s="2464">
        <v>0.55000000000000004</v>
      </c>
      <c r="W26" s="2464">
        <v>0.55000000000000004</v>
      </c>
      <c r="X26" s="2464">
        <v>0.55000000000000004</v>
      </c>
      <c r="Y26" s="2060" t="s">
        <v>1310</v>
      </c>
      <c r="Z26" s="2430"/>
      <c r="AA26" s="2431"/>
      <c r="AB26" s="2061"/>
      <c r="AC26" s="2478" t="str">
        <f t="shared" si="18"/>
        <v>Resíduos de jardins e parques</v>
      </c>
      <c r="AD26" s="2447">
        <f>+AD6*((1-'CO2 - Reciclagem'!$E$31)*$P$7+'CO2 - Reciclagem'!$E$31*($R$13*$C$3*'CO2 - Reciclagem'!$E$34/1000+$R$14*$C$6*'CO2 - Reciclagem'!$E$35/1000+$O$7))/1000*(-1)</f>
        <v>0</v>
      </c>
      <c r="AE26" s="2447">
        <f>+AE6*((1-'CO2 - Reciclagem'!$G$31)*$P$7+'CO2 - Reciclagem'!$G$31*($R$13*$C$3*'CO2 - Reciclagem'!$G$34/1000+$R$14*$C$6*'CO2 - Reciclagem'!$G$35/1000+$O$7))/1000*(-1)</f>
        <v>0</v>
      </c>
      <c r="AF26" s="2447">
        <f>+AF6*((1-'CO2 - Reciclagem'!$H$31)*$P$7+'CO2 - Reciclagem'!$H$31*($R$13*$C$3*'CO2 - Reciclagem'!$H$34/1000+$R$14*$C$6*'CO2 - Reciclagem'!$H$35/1000+$O$7))/1000*(-1)</f>
        <v>0</v>
      </c>
      <c r="AG26" s="2447">
        <f>+AG6*((1-'CO2 - Reciclagem'!$I$31)*$P$7+'CO2 - Reciclagem'!$I$31*($R$13*$C$3*'CO2 - Reciclagem'!$I$34/1000+$R$14*$C$6*'CO2 - Reciclagem'!$I$35/1000+$O$7))/1000*(-1)</f>
        <v>0</v>
      </c>
      <c r="AH26" s="2447">
        <f>+AH6*((1-'CO2 - Reciclagem'!$J$31)*$P$7+'CO2 - Reciclagem'!$J$31*($R$13*$C$3*'CO2 - Reciclagem'!$J$34/1000+$R$14*$C$6*'CO2 - Reciclagem'!$J$35/1000+$O$7))/1000*(-1)</f>
        <v>0</v>
      </c>
      <c r="AI26" s="2447">
        <f>+AI6*((1-'CO2 - Reciclagem'!$K$31)*$P$7+'CO2 - Reciclagem'!$K$31*($R$13*$C$3*'CO2 - Reciclagem'!$K$34/1000+$R$14*$C$6*'CO2 - Reciclagem'!$K$35/1000+$O$7))/1000*(-1)</f>
        <v>0</v>
      </c>
      <c r="AJ26" s="2447">
        <f>+AJ6*((1-'CO2 - Reciclagem'!$L$31)*$P$7+'CO2 - Reciclagem'!$L$31*($R$13*$C$3*'CO2 - Reciclagem'!$L$34/1000+$R$14*$C$6*'CO2 - Reciclagem'!$L$35/1000+$O$7))/1000*(-1)</f>
        <v>0</v>
      </c>
      <c r="AK26" s="2447">
        <f>+AK6*((1-'CO2 - Reciclagem'!$M$31)*$P$7+'CO2 - Reciclagem'!$M$31*($R$13*$C$3*'CO2 - Reciclagem'!$M$34/1000+$R$14*$C$6*'CO2 - Reciclagem'!$M$35/1000+$O$7))/1000*(-1)</f>
        <v>0</v>
      </c>
    </row>
    <row r="27" spans="1:37" ht="18" customHeight="1" x14ac:dyDescent="0.2">
      <c r="A27" s="2061"/>
      <c r="B27" s="2479"/>
      <c r="C27" s="2060" t="s">
        <v>1331</v>
      </c>
      <c r="D27" s="2061"/>
      <c r="E27" s="2061"/>
      <c r="F27" s="2061"/>
      <c r="G27" s="2061"/>
      <c r="H27" s="2061"/>
      <c r="I27" s="2061"/>
      <c r="J27" s="2061"/>
      <c r="K27" s="2061"/>
      <c r="L27" s="2060" t="s">
        <v>1284</v>
      </c>
      <c r="M27" s="2429"/>
      <c r="N27" s="2461" t="s">
        <v>1332</v>
      </c>
      <c r="O27" s="2476"/>
      <c r="P27" s="2477"/>
      <c r="Q27" s="2480">
        <f t="shared" ref="Q27:X27" si="19">+Q24*$Q$25*1868</f>
        <v>153.97759710210832</v>
      </c>
      <c r="R27" s="2480">
        <f t="shared" si="19"/>
        <v>152.7083899421105</v>
      </c>
      <c r="S27" s="2480">
        <f t="shared" si="19"/>
        <v>152.7083899421105</v>
      </c>
      <c r="T27" s="2480">
        <f t="shared" si="19"/>
        <v>152.7083899421105</v>
      </c>
      <c r="U27" s="2480">
        <f t="shared" si="19"/>
        <v>152.7083899421105</v>
      </c>
      <c r="V27" s="2480">
        <f t="shared" si="19"/>
        <v>152.7083899421105</v>
      </c>
      <c r="W27" s="2480">
        <f t="shared" si="19"/>
        <v>152.7083899421105</v>
      </c>
      <c r="X27" s="2480">
        <f t="shared" si="19"/>
        <v>152.7083899421105</v>
      </c>
      <c r="Y27" s="2060" t="s">
        <v>1333</v>
      </c>
      <c r="Z27" s="2430"/>
      <c r="AA27" s="2431"/>
      <c r="AB27" s="2061"/>
      <c r="AC27" s="2478" t="str">
        <f t="shared" si="18"/>
        <v>Papel, papelão</v>
      </c>
      <c r="AD27" s="2447">
        <f t="shared" ref="AD27:AK27" si="20">+AD7*$Q$7*(-1)/1000</f>
        <v>-2960.7048000000004</v>
      </c>
      <c r="AE27" s="2447">
        <f t="shared" si="20"/>
        <v>-9859.1469840000009</v>
      </c>
      <c r="AF27" s="2447">
        <f t="shared" si="20"/>
        <v>-9859.1469840000009</v>
      </c>
      <c r="AG27" s="2447">
        <f t="shared" si="20"/>
        <v>-9859.1469840000009</v>
      </c>
      <c r="AH27" s="2447">
        <f t="shared" si="20"/>
        <v>-9859.1469840000009</v>
      </c>
      <c r="AI27" s="2447">
        <f t="shared" si="20"/>
        <v>-9859.1469840000009</v>
      </c>
      <c r="AJ27" s="2447">
        <f t="shared" si="20"/>
        <v>-9859.1469840000009</v>
      </c>
      <c r="AK27" s="2447">
        <f t="shared" si="20"/>
        <v>-9859.1469840000009</v>
      </c>
    </row>
    <row r="28" spans="1:37" ht="18" customHeight="1" x14ac:dyDescent="0.2">
      <c r="A28" s="2061"/>
      <c r="B28" s="1975" t="s">
        <v>1302</v>
      </c>
      <c r="C28" s="2075" t="s">
        <v>1334</v>
      </c>
      <c r="D28" s="2061"/>
      <c r="E28" s="2061"/>
      <c r="F28" s="2061"/>
      <c r="G28" s="2061"/>
      <c r="H28" s="2061"/>
      <c r="I28" s="2061"/>
      <c r="J28" s="2061"/>
      <c r="K28" s="2061"/>
      <c r="L28" s="2061"/>
      <c r="M28" s="2429"/>
      <c r="N28" s="1985" t="s">
        <v>1335</v>
      </c>
      <c r="O28" s="2481"/>
      <c r="P28" s="2195"/>
      <c r="Q28" s="2482"/>
      <c r="R28" s="2061"/>
      <c r="S28" s="2061"/>
      <c r="T28" s="2061"/>
      <c r="U28" s="2061"/>
      <c r="V28" s="2061"/>
      <c r="W28" s="2061"/>
      <c r="X28" s="2061"/>
      <c r="Y28" s="2061"/>
      <c r="Z28" s="2430"/>
      <c r="AA28" s="2431"/>
      <c r="AB28" s="2061"/>
      <c r="AC28" s="2478" t="str">
        <f t="shared" si="18"/>
        <v>Plásticos</v>
      </c>
      <c r="AD28" s="2447">
        <f t="shared" ref="AD28:AK28" si="21">+AD8*$U$7/1000*(-1)</f>
        <v>-3764.2157999999999</v>
      </c>
      <c r="AE28" s="2447">
        <f t="shared" si="21"/>
        <v>-8281.2747600000002</v>
      </c>
      <c r="AF28" s="2447">
        <f t="shared" si="21"/>
        <v>-8281.2747600000002</v>
      </c>
      <c r="AG28" s="2447">
        <f t="shared" si="21"/>
        <v>-8281.2747600000002</v>
      </c>
      <c r="AH28" s="2447">
        <f t="shared" si="21"/>
        <v>-8281.2747600000002</v>
      </c>
      <c r="AI28" s="2447">
        <f t="shared" si="21"/>
        <v>-8281.2747600000002</v>
      </c>
      <c r="AJ28" s="2447">
        <f t="shared" si="21"/>
        <v>-8281.2747600000002</v>
      </c>
      <c r="AK28" s="2447">
        <f t="shared" si="21"/>
        <v>-8281.2747600000002</v>
      </c>
    </row>
    <row r="29" spans="1:37" ht="18" customHeight="1" x14ac:dyDescent="0.2">
      <c r="A29" s="2061"/>
      <c r="B29" s="2446" t="s">
        <v>1336</v>
      </c>
      <c r="C29" s="2444">
        <v>4</v>
      </c>
      <c r="D29" s="2060" t="s">
        <v>1337</v>
      </c>
      <c r="E29" s="2061"/>
      <c r="F29" s="2061"/>
      <c r="G29" s="2061"/>
      <c r="H29" s="2061"/>
      <c r="I29" s="2061"/>
      <c r="J29" s="2061"/>
      <c r="K29" s="2061"/>
      <c r="L29" s="2061"/>
      <c r="M29" s="2429"/>
      <c r="N29" s="2471" t="s">
        <v>1338</v>
      </c>
      <c r="O29" s="2483"/>
      <c r="P29" s="2484"/>
      <c r="Q29" s="2480">
        <f t="shared" ref="Q29:X29" si="22">+Q27</f>
        <v>153.97759710210832</v>
      </c>
      <c r="R29" s="2480">
        <f t="shared" si="22"/>
        <v>152.7083899421105</v>
      </c>
      <c r="S29" s="2480">
        <f t="shared" si="22"/>
        <v>152.7083899421105</v>
      </c>
      <c r="T29" s="2480">
        <f t="shared" si="22"/>
        <v>152.7083899421105</v>
      </c>
      <c r="U29" s="2480">
        <f t="shared" si="22"/>
        <v>152.7083899421105</v>
      </c>
      <c r="V29" s="2480">
        <f t="shared" si="22"/>
        <v>152.7083899421105</v>
      </c>
      <c r="W29" s="2480">
        <f t="shared" si="22"/>
        <v>152.7083899421105</v>
      </c>
      <c r="X29" s="2480">
        <f t="shared" si="22"/>
        <v>152.7083899421105</v>
      </c>
      <c r="Y29" s="2060" t="s">
        <v>1333</v>
      </c>
      <c r="Z29" s="2430"/>
      <c r="AA29" s="2431"/>
      <c r="AB29" s="2061"/>
      <c r="AC29" s="2478" t="str">
        <f t="shared" si="18"/>
        <v>Vidros</v>
      </c>
      <c r="AD29" s="2447">
        <f t="shared" ref="AD29:AK29" si="23">+AD9*$R$7/1000*(-1)</f>
        <v>0</v>
      </c>
      <c r="AE29" s="2447">
        <f t="shared" si="23"/>
        <v>0</v>
      </c>
      <c r="AF29" s="2447">
        <f t="shared" si="23"/>
        <v>0</v>
      </c>
      <c r="AG29" s="2447">
        <f t="shared" si="23"/>
        <v>0</v>
      </c>
      <c r="AH29" s="2447">
        <f t="shared" si="23"/>
        <v>0</v>
      </c>
      <c r="AI29" s="2447">
        <f t="shared" si="23"/>
        <v>0</v>
      </c>
      <c r="AJ29" s="2447">
        <f t="shared" si="23"/>
        <v>0</v>
      </c>
      <c r="AK29" s="2447">
        <f t="shared" si="23"/>
        <v>0</v>
      </c>
    </row>
    <row r="30" spans="1:37" ht="18" customHeight="1" x14ac:dyDescent="0.2">
      <c r="A30" s="2061"/>
      <c r="B30" s="2446" t="s">
        <v>1339</v>
      </c>
      <c r="C30" s="2444">
        <v>2</v>
      </c>
      <c r="D30" s="2060" t="s">
        <v>1337</v>
      </c>
      <c r="E30" s="2061"/>
      <c r="F30" s="2061"/>
      <c r="G30" s="2061"/>
      <c r="H30" s="2061"/>
      <c r="I30" s="2061"/>
      <c r="J30" s="2061"/>
      <c r="K30" s="2061"/>
      <c r="L30" s="2061"/>
      <c r="M30" s="2429"/>
      <c r="N30" s="2461" t="s">
        <v>1340</v>
      </c>
      <c r="O30" s="2476"/>
      <c r="P30" s="2477"/>
      <c r="Q30" s="2475">
        <f t="shared" ref="Q30:X30" si="24">+Q29*$Q$26*16/22.4*28</f>
        <v>1693.7535681231916</v>
      </c>
      <c r="R30" s="2475">
        <f t="shared" si="24"/>
        <v>1679.7922893632156</v>
      </c>
      <c r="S30" s="2475">
        <f t="shared" si="24"/>
        <v>1679.7922893632156</v>
      </c>
      <c r="T30" s="2475">
        <f t="shared" si="24"/>
        <v>1679.7922893632156</v>
      </c>
      <c r="U30" s="2475">
        <f t="shared" si="24"/>
        <v>1679.7922893632156</v>
      </c>
      <c r="V30" s="2475">
        <f t="shared" si="24"/>
        <v>1679.7922893632156</v>
      </c>
      <c r="W30" s="2475">
        <f t="shared" si="24"/>
        <v>1679.7922893632156</v>
      </c>
      <c r="X30" s="2475">
        <f t="shared" si="24"/>
        <v>1679.7922893632156</v>
      </c>
      <c r="Y30" s="2469" t="s">
        <v>1323</v>
      </c>
      <c r="Z30" s="2430"/>
      <c r="AA30" s="2431"/>
      <c r="AB30" s="2061"/>
      <c r="AC30" s="2478" t="str">
        <f t="shared" si="18"/>
        <v>Metais ferrosos</v>
      </c>
      <c r="AD30" s="2447">
        <f t="shared" ref="AD30:AK30" si="25">+AD10*$S$7/1000*(-1)</f>
        <v>-1149.7791999999999</v>
      </c>
      <c r="AE30" s="2447">
        <f t="shared" si="25"/>
        <v>-5461.4512000000004</v>
      </c>
      <c r="AF30" s="2447">
        <f t="shared" si="25"/>
        <v>-5461.4512000000004</v>
      </c>
      <c r="AG30" s="2447">
        <f t="shared" si="25"/>
        <v>-5461.4512000000004</v>
      </c>
      <c r="AH30" s="2447">
        <f t="shared" si="25"/>
        <v>-5461.4512000000004</v>
      </c>
      <c r="AI30" s="2447">
        <f t="shared" si="25"/>
        <v>-5461.4512000000004</v>
      </c>
      <c r="AJ30" s="2447">
        <f t="shared" si="25"/>
        <v>-5461.4512000000004</v>
      </c>
      <c r="AK30" s="2447">
        <f t="shared" si="25"/>
        <v>-5461.4512000000004</v>
      </c>
    </row>
    <row r="31" spans="1:37" ht="18" customHeight="1" x14ac:dyDescent="0.2">
      <c r="A31" s="2061"/>
      <c r="B31" s="2446" t="s">
        <v>1286</v>
      </c>
      <c r="C31" s="2444">
        <v>11.5</v>
      </c>
      <c r="D31" s="2060" t="s">
        <v>1337</v>
      </c>
      <c r="E31" s="2061"/>
      <c r="F31" s="2061"/>
      <c r="G31" s="2061"/>
      <c r="H31" s="2061"/>
      <c r="I31" s="2061"/>
      <c r="J31" s="2061"/>
      <c r="K31" s="2061"/>
      <c r="L31" s="2061"/>
      <c r="M31" s="2429"/>
      <c r="N31" s="1985" t="s">
        <v>1341</v>
      </c>
      <c r="O31" s="1986"/>
      <c r="P31" s="2195"/>
      <c r="Q31" s="2482"/>
      <c r="R31" s="2061"/>
      <c r="S31" s="2061"/>
      <c r="T31" s="2061"/>
      <c r="U31" s="2061"/>
      <c r="V31" s="2061"/>
      <c r="W31" s="2061"/>
      <c r="X31" s="2061"/>
      <c r="Y31" s="2061"/>
      <c r="Z31" s="2430"/>
      <c r="AA31" s="2431"/>
      <c r="AB31" s="2061"/>
      <c r="AC31" s="2478" t="str">
        <f t="shared" si="18"/>
        <v>Alumínio</v>
      </c>
      <c r="AD31" s="2447">
        <f t="shared" ref="AD31:AK31" si="26">+AD11*$T$7/1000*(-1)</f>
        <v>-1730.9760000000003</v>
      </c>
      <c r="AE31" s="2447">
        <f t="shared" si="26"/>
        <v>-8222.1359999999986</v>
      </c>
      <c r="AF31" s="2447">
        <f t="shared" si="26"/>
        <v>-8222.1359999999986</v>
      </c>
      <c r="AG31" s="2447">
        <f t="shared" si="26"/>
        <v>-8222.1359999999986</v>
      </c>
      <c r="AH31" s="2447">
        <f t="shared" si="26"/>
        <v>-8222.1359999999986</v>
      </c>
      <c r="AI31" s="2447">
        <f t="shared" si="26"/>
        <v>-8222.1359999999986</v>
      </c>
      <c r="AJ31" s="2447">
        <f t="shared" si="26"/>
        <v>-8222.1359999999986</v>
      </c>
      <c r="AK31" s="2447">
        <f t="shared" si="26"/>
        <v>-8222.1359999999986</v>
      </c>
    </row>
    <row r="32" spans="1:37" ht="18" customHeight="1" x14ac:dyDescent="0.2">
      <c r="A32" s="2061"/>
      <c r="B32" s="2446" t="s">
        <v>1111</v>
      </c>
      <c r="C32" s="2444">
        <v>31.5</v>
      </c>
      <c r="D32" s="2060" t="s">
        <v>1337</v>
      </c>
      <c r="E32" s="2061"/>
      <c r="F32" s="2061"/>
      <c r="G32" s="2061"/>
      <c r="H32" s="2061"/>
      <c r="I32" s="2061"/>
      <c r="J32" s="2061"/>
      <c r="K32" s="2061"/>
      <c r="L32" s="2061"/>
      <c r="M32" s="2429"/>
      <c r="N32" s="2485" t="s">
        <v>1342</v>
      </c>
      <c r="O32" s="2462"/>
      <c r="P32" s="2470"/>
      <c r="Q32" s="2480">
        <f>+Q27*'CO2 - Destinação'!E28</f>
        <v>34.644959347974371</v>
      </c>
      <c r="R32" s="2480">
        <f>+R27*'CO2 - Destinação'!G28</f>
        <v>34.359387736974867</v>
      </c>
      <c r="S32" s="2480">
        <f>+S27*'CO2 - Destinação'!H28</f>
        <v>34.359387736974867</v>
      </c>
      <c r="T32" s="2480">
        <f>+T27*'CO2 - Destinação'!I28</f>
        <v>34.359387736974867</v>
      </c>
      <c r="U32" s="2480">
        <f>+U27*'CO2 - Destinação'!J28</f>
        <v>34.359387736974867</v>
      </c>
      <c r="V32" s="2480">
        <f>+V27*'CO2 - Destinação'!K28</f>
        <v>34.359387736974867</v>
      </c>
      <c r="W32" s="2480">
        <f>+W27*'CO2 - Destinação'!L28</f>
        <v>34.359387736974867</v>
      </c>
      <c r="X32" s="2480">
        <f>+X27*'CO2 - Destinação'!M28</f>
        <v>34.359387736974867</v>
      </c>
      <c r="Y32" s="2486" t="s">
        <v>1333</v>
      </c>
      <c r="Z32" s="2430"/>
      <c r="AA32" s="2431"/>
      <c r="AB32" s="2061"/>
      <c r="AC32" s="2478" t="str">
        <f t="shared" si="18"/>
        <v>Têxteis</v>
      </c>
      <c r="AD32" s="2447">
        <f t="shared" ref="AD32:AK32" si="27">+AD12*$V$7/1000*(-1)</f>
        <v>0</v>
      </c>
      <c r="AE32" s="2447">
        <f t="shared" si="27"/>
        <v>0</v>
      </c>
      <c r="AF32" s="2447">
        <f t="shared" si="27"/>
        <v>0</v>
      </c>
      <c r="AG32" s="2447">
        <f t="shared" si="27"/>
        <v>0</v>
      </c>
      <c r="AH32" s="2447">
        <f t="shared" si="27"/>
        <v>0</v>
      </c>
      <c r="AI32" s="2447">
        <f t="shared" si="27"/>
        <v>0</v>
      </c>
      <c r="AJ32" s="2447">
        <f t="shared" si="27"/>
        <v>0</v>
      </c>
      <c r="AK32" s="2447">
        <f t="shared" si="27"/>
        <v>0</v>
      </c>
    </row>
    <row r="33" spans="1:37" ht="18" customHeight="1" x14ac:dyDescent="0.2">
      <c r="A33" s="2061"/>
      <c r="B33" s="2446" t="s">
        <v>50</v>
      </c>
      <c r="C33" s="2444">
        <v>0</v>
      </c>
      <c r="D33" s="2060" t="s">
        <v>1337</v>
      </c>
      <c r="E33" s="2061"/>
      <c r="F33" s="2061"/>
      <c r="G33" s="2061"/>
      <c r="H33" s="2061"/>
      <c r="I33" s="2061"/>
      <c r="J33" s="2061"/>
      <c r="K33" s="2061"/>
      <c r="L33" s="2061"/>
      <c r="M33" s="2429"/>
      <c r="N33" s="2485" t="s">
        <v>1343</v>
      </c>
      <c r="O33" s="2462"/>
      <c r="P33" s="2470"/>
      <c r="Q33" s="2480">
        <f>+Q32*'CO2 - Destinação'!E32</f>
        <v>0</v>
      </c>
      <c r="R33" s="2480">
        <f>+R32*'CO2 - Destinação'!G32</f>
        <v>0</v>
      </c>
      <c r="S33" s="2480">
        <f>+S32*'CO2 - Destinação'!H32</f>
        <v>0</v>
      </c>
      <c r="T33" s="2480">
        <f>+T32*'CO2 - Destinação'!I32</f>
        <v>0</v>
      </c>
      <c r="U33" s="2480">
        <f>+U32*'CO2 - Destinação'!J32</f>
        <v>0</v>
      </c>
      <c r="V33" s="2480">
        <f>+V32*'CO2 - Destinação'!K32</f>
        <v>0</v>
      </c>
      <c r="W33" s="2480">
        <f>+W32*'CO2 - Destinação'!L32</f>
        <v>0</v>
      </c>
      <c r="X33" s="2480">
        <f>+X32*'CO2 - Destinação'!M32</f>
        <v>0</v>
      </c>
      <c r="Y33" s="2486" t="s">
        <v>1333</v>
      </c>
      <c r="Z33" s="2430"/>
      <c r="AA33" s="2431"/>
      <c r="AB33" s="2061"/>
      <c r="AC33" s="1975" t="s">
        <v>1254</v>
      </c>
      <c r="AD33" s="2469" t="s">
        <v>1316</v>
      </c>
      <c r="AE33" s="2060"/>
      <c r="AF33" s="2060"/>
      <c r="AG33" s="2060"/>
      <c r="AH33" s="2060"/>
      <c r="AI33" s="2060"/>
      <c r="AJ33" s="2060"/>
      <c r="AK33" s="2060"/>
    </row>
    <row r="34" spans="1:37" ht="18" customHeight="1" x14ac:dyDescent="0.2">
      <c r="A34" s="2061"/>
      <c r="B34" s="2446" t="s">
        <v>51</v>
      </c>
      <c r="C34" s="2444">
        <v>0</v>
      </c>
      <c r="D34" s="2060" t="s">
        <v>1337</v>
      </c>
      <c r="E34" s="2061"/>
      <c r="F34" s="2061"/>
      <c r="G34" s="2061"/>
      <c r="H34" s="2061"/>
      <c r="I34" s="2061"/>
      <c r="J34" s="2061"/>
      <c r="K34" s="2061"/>
      <c r="L34" s="2061"/>
      <c r="M34" s="2429"/>
      <c r="N34" s="2485" t="s">
        <v>1344</v>
      </c>
      <c r="O34" s="2462"/>
      <c r="P34" s="2470"/>
      <c r="Q34" s="2480">
        <f>+Q27*(1-'CO2 - Destinação'!E28)*$Q$26</f>
        <v>65.632950764773682</v>
      </c>
      <c r="R34" s="2480">
        <f>+R27*(1-'CO2 - Destinação'!G28)*$Q$26</f>
        <v>65.091951212824611</v>
      </c>
      <c r="S34" s="2480">
        <f>+S27*(1-'CO2 - Destinação'!H28)*$Q$26</f>
        <v>65.091951212824611</v>
      </c>
      <c r="T34" s="2480">
        <f>+T27*(1-'CO2 - Destinação'!I28)*$Q$26</f>
        <v>65.091951212824611</v>
      </c>
      <c r="U34" s="2480">
        <f>+U27*(1-'CO2 - Destinação'!J28)*$Q$26</f>
        <v>65.091951212824611</v>
      </c>
      <c r="V34" s="2480">
        <f>+V27*(1-'CO2 - Destinação'!K28)*$Q$26</f>
        <v>65.091951212824611</v>
      </c>
      <c r="W34" s="2480">
        <f>+W27*(1-'CO2 - Destinação'!L28)*$Q$26</f>
        <v>65.091951212824611</v>
      </c>
      <c r="X34" s="2480">
        <f>+X27*(1-'CO2 - Destinação'!M28)*$Q$26</f>
        <v>65.091951212824611</v>
      </c>
      <c r="Y34" s="2486" t="s">
        <v>1345</v>
      </c>
      <c r="Z34" s="2430"/>
      <c r="AA34" s="2431"/>
      <c r="AB34" s="2061"/>
      <c r="AC34" s="2478" t="str">
        <f t="shared" ref="AC34:AC41" si="28">+$AC5</f>
        <v>Resíduos de alimentos</v>
      </c>
      <c r="AD34" s="2447">
        <f t="shared" ref="AD34:AK41" si="29">+AD16+AD25</f>
        <v>0</v>
      </c>
      <c r="AE34" s="2447">
        <f t="shared" si="29"/>
        <v>0</v>
      </c>
      <c r="AF34" s="2447">
        <f t="shared" si="29"/>
        <v>0</v>
      </c>
      <c r="AG34" s="2447">
        <f t="shared" si="29"/>
        <v>0</v>
      </c>
      <c r="AH34" s="2447">
        <f t="shared" si="29"/>
        <v>0</v>
      </c>
      <c r="AI34" s="2447">
        <f t="shared" si="29"/>
        <v>0</v>
      </c>
      <c r="AJ34" s="2447">
        <f t="shared" si="29"/>
        <v>0</v>
      </c>
      <c r="AK34" s="2447">
        <f t="shared" si="29"/>
        <v>0</v>
      </c>
    </row>
    <row r="35" spans="1:37" ht="18" customHeight="1" x14ac:dyDescent="0.2">
      <c r="A35" s="2061"/>
      <c r="B35" s="2446" t="s">
        <v>1346</v>
      </c>
      <c r="C35" s="2444">
        <v>14.6</v>
      </c>
      <c r="D35" s="2060" t="s">
        <v>1337</v>
      </c>
      <c r="E35" s="2061"/>
      <c r="F35" s="2061"/>
      <c r="G35" s="2061"/>
      <c r="H35" s="2061"/>
      <c r="I35" s="2061"/>
      <c r="J35" s="2061"/>
      <c r="K35" s="2061"/>
      <c r="L35" s="2061"/>
      <c r="M35" s="2429"/>
      <c r="N35" s="2485" t="s">
        <v>1347</v>
      </c>
      <c r="O35" s="2462"/>
      <c r="P35" s="2470"/>
      <c r="Q35" s="2480">
        <f>+Q34*'CO2 - Destinação'!E40</f>
        <v>6.5632950764773685</v>
      </c>
      <c r="R35" s="2480">
        <f>+R34*'CO2 - Destinação'!G40</f>
        <v>6.5091951212824615</v>
      </c>
      <c r="S35" s="2480">
        <f>+S34*'CO2 - Destinação'!H40</f>
        <v>6.5091951212824615</v>
      </c>
      <c r="T35" s="2480">
        <f>+T34*'CO2 - Destinação'!I40</f>
        <v>6.5091951212824615</v>
      </c>
      <c r="U35" s="2480">
        <f>+U34*'CO2 - Destinação'!J40</f>
        <v>6.5091951212824615</v>
      </c>
      <c r="V35" s="2480">
        <f>+V34*'CO2 - Destinação'!K40</f>
        <v>6.5091951212824615</v>
      </c>
      <c r="W35" s="2480">
        <f>+W34*'CO2 - Destinação'!L40</f>
        <v>6.5091951212824615</v>
      </c>
      <c r="X35" s="2480">
        <f>+X34*'CO2 - Destinação'!M40</f>
        <v>6.5091951212824615</v>
      </c>
      <c r="Y35" s="2486" t="s">
        <v>1345</v>
      </c>
      <c r="Z35" s="2430"/>
      <c r="AA35" s="2431"/>
      <c r="AB35" s="2061"/>
      <c r="AC35" s="2478" t="str">
        <f t="shared" si="28"/>
        <v>Resíduos de jardins e parques</v>
      </c>
      <c r="AD35" s="2447">
        <f t="shared" si="29"/>
        <v>0</v>
      </c>
      <c r="AE35" s="2447">
        <f t="shared" si="29"/>
        <v>0</v>
      </c>
      <c r="AF35" s="2447">
        <f t="shared" si="29"/>
        <v>0</v>
      </c>
      <c r="AG35" s="2447">
        <f t="shared" si="29"/>
        <v>0</v>
      </c>
      <c r="AH35" s="2447">
        <f t="shared" si="29"/>
        <v>0</v>
      </c>
      <c r="AI35" s="2447">
        <f t="shared" si="29"/>
        <v>0</v>
      </c>
      <c r="AJ35" s="2447">
        <f t="shared" si="29"/>
        <v>0</v>
      </c>
      <c r="AK35" s="2447">
        <f t="shared" si="29"/>
        <v>0</v>
      </c>
    </row>
    <row r="36" spans="1:37" ht="18" customHeight="1" x14ac:dyDescent="0.2">
      <c r="A36" s="2061"/>
      <c r="B36" s="2446" t="s">
        <v>1117</v>
      </c>
      <c r="C36" s="2444">
        <v>15</v>
      </c>
      <c r="D36" s="2060" t="s">
        <v>1337</v>
      </c>
      <c r="E36" s="2061"/>
      <c r="F36" s="2061"/>
      <c r="G36" s="2061"/>
      <c r="H36" s="2061"/>
      <c r="I36" s="2061"/>
      <c r="J36" s="2061"/>
      <c r="K36" s="2061"/>
      <c r="L36" s="2061"/>
      <c r="M36" s="2429"/>
      <c r="N36" s="2485" t="s">
        <v>1348</v>
      </c>
      <c r="O36" s="2462"/>
      <c r="P36" s="2470"/>
      <c r="Q36" s="2480">
        <f>+(Q33*Q26+(Q34-Q35))*16/22.4</f>
        <v>42.192611205925942</v>
      </c>
      <c r="R36" s="2480">
        <f>+(R33*R26+(R34-R35))*16/22.4</f>
        <v>41.844825779672966</v>
      </c>
      <c r="S36" s="2480">
        <f>+(S33*S26+(S34-S35))*16/22.4</f>
        <v>41.844825779672966</v>
      </c>
      <c r="T36" s="2480">
        <f>+(T33*T26+(T34-T35))*16/22.4</f>
        <v>41.844825779672966</v>
      </c>
      <c r="U36" s="2480">
        <f t="shared" ref="U36:X36" si="30">+(U33*U26+(U34-U35))*16/22.4</f>
        <v>41.844825779672966</v>
      </c>
      <c r="V36" s="2480">
        <f t="shared" si="30"/>
        <v>41.844825779672966</v>
      </c>
      <c r="W36" s="2480">
        <f t="shared" si="30"/>
        <v>41.844825779672966</v>
      </c>
      <c r="X36" s="2480">
        <f t="shared" si="30"/>
        <v>41.844825779672966</v>
      </c>
      <c r="Y36" s="2486" t="s">
        <v>1349</v>
      </c>
      <c r="Z36" s="2430"/>
      <c r="AA36" s="2431"/>
      <c r="AB36" s="2061"/>
      <c r="AC36" s="2478" t="str">
        <f t="shared" si="28"/>
        <v>Papel, papelão</v>
      </c>
      <c r="AD36" s="2447">
        <f t="shared" si="29"/>
        <v>-558.47920000000022</v>
      </c>
      <c r="AE36" s="2447">
        <f t="shared" si="29"/>
        <v>-1859.7357360000005</v>
      </c>
      <c r="AF36" s="2447">
        <f t="shared" si="29"/>
        <v>-1859.7357360000005</v>
      </c>
      <c r="AG36" s="2447">
        <f t="shared" si="29"/>
        <v>-1859.7357360000005</v>
      </c>
      <c r="AH36" s="2447">
        <f t="shared" si="29"/>
        <v>-1859.7357360000005</v>
      </c>
      <c r="AI36" s="2447">
        <f t="shared" si="29"/>
        <v>-1859.7357360000005</v>
      </c>
      <c r="AJ36" s="2447">
        <f t="shared" si="29"/>
        <v>-1859.7357360000005</v>
      </c>
      <c r="AK36" s="2447">
        <f t="shared" si="29"/>
        <v>-1859.7357360000005</v>
      </c>
    </row>
    <row r="37" spans="1:37" ht="18" customHeight="1" x14ac:dyDescent="0.2">
      <c r="A37" s="2061"/>
      <c r="B37" s="2446" t="s">
        <v>1118</v>
      </c>
      <c r="C37" s="2444">
        <v>0</v>
      </c>
      <c r="D37" s="2060" t="s">
        <v>1337</v>
      </c>
      <c r="E37" s="2061"/>
      <c r="F37" s="2061"/>
      <c r="G37" s="2061"/>
      <c r="H37" s="2061"/>
      <c r="I37" s="2061"/>
      <c r="J37" s="2061"/>
      <c r="K37" s="2061"/>
      <c r="L37" s="2061"/>
      <c r="M37" s="2429"/>
      <c r="N37" s="2485" t="s">
        <v>1350</v>
      </c>
      <c r="O37" s="2462"/>
      <c r="P37" s="2470"/>
      <c r="Q37" s="2480">
        <f t="shared" ref="Q37:X37" si="31">Q36*28</f>
        <v>1181.3931137659265</v>
      </c>
      <c r="R37" s="2480">
        <f t="shared" si="31"/>
        <v>1171.655121830843</v>
      </c>
      <c r="S37" s="2480">
        <f t="shared" si="31"/>
        <v>1171.655121830843</v>
      </c>
      <c r="T37" s="2480">
        <f t="shared" si="31"/>
        <v>1171.655121830843</v>
      </c>
      <c r="U37" s="2480">
        <f t="shared" si="31"/>
        <v>1171.655121830843</v>
      </c>
      <c r="V37" s="2480">
        <f t="shared" si="31"/>
        <v>1171.655121830843</v>
      </c>
      <c r="W37" s="2480">
        <f t="shared" si="31"/>
        <v>1171.655121830843</v>
      </c>
      <c r="X37" s="2480">
        <f t="shared" si="31"/>
        <v>1171.655121830843</v>
      </c>
      <c r="Y37" s="2486" t="s">
        <v>1351</v>
      </c>
      <c r="Z37" s="2430"/>
      <c r="AA37" s="2431"/>
      <c r="AB37" s="2061"/>
      <c r="AC37" s="2478" t="str">
        <f t="shared" si="28"/>
        <v>Plásticos</v>
      </c>
      <c r="AD37" s="2447">
        <f t="shared" si="29"/>
        <v>-2956.1057999999998</v>
      </c>
      <c r="AE37" s="2447">
        <f t="shared" si="29"/>
        <v>-6503.4327599999997</v>
      </c>
      <c r="AF37" s="2447">
        <f t="shared" si="29"/>
        <v>-6503.4327599999997</v>
      </c>
      <c r="AG37" s="2447">
        <f t="shared" si="29"/>
        <v>-6503.4327599999997</v>
      </c>
      <c r="AH37" s="2447">
        <f t="shared" si="29"/>
        <v>-6503.4327599999997</v>
      </c>
      <c r="AI37" s="2447">
        <f t="shared" si="29"/>
        <v>-6503.4327599999997</v>
      </c>
      <c r="AJ37" s="2447">
        <f t="shared" si="29"/>
        <v>-6503.4327599999997</v>
      </c>
      <c r="AK37" s="2447">
        <f t="shared" si="29"/>
        <v>-6503.4327599999997</v>
      </c>
    </row>
    <row r="38" spans="1:37" ht="18" customHeight="1" x14ac:dyDescent="0.2">
      <c r="A38" s="2061"/>
      <c r="B38" s="2446" t="s">
        <v>1352</v>
      </c>
      <c r="C38" s="2444">
        <v>8.4</v>
      </c>
      <c r="D38" s="2060" t="s">
        <v>1337</v>
      </c>
      <c r="E38" s="2061"/>
      <c r="F38" s="2061"/>
      <c r="G38" s="2061"/>
      <c r="H38" s="2061"/>
      <c r="I38" s="2061"/>
      <c r="J38" s="2061"/>
      <c r="K38" s="2061"/>
      <c r="L38" s="2061"/>
      <c r="M38" s="2429"/>
      <c r="N38" s="2485" t="s">
        <v>1353</v>
      </c>
      <c r="O38" s="2462"/>
      <c r="P38" s="2470"/>
      <c r="Q38" s="2480">
        <f>+Q32*'CO2 - Destinação'!E33</f>
        <v>34.644959347974371</v>
      </c>
      <c r="R38" s="2480">
        <f>+R32*'CO2 - Destinação'!G33</f>
        <v>34.359387736974867</v>
      </c>
      <c r="S38" s="2480">
        <f>+S32*'CO2 - Destinação'!H33</f>
        <v>34.359387736974867</v>
      </c>
      <c r="T38" s="2480">
        <f>+T32*'CO2 - Destinação'!I33</f>
        <v>34.359387736974867</v>
      </c>
      <c r="U38" s="2480">
        <f>+U32*'CO2 - Destinação'!J33</f>
        <v>34.359387736974867</v>
      </c>
      <c r="V38" s="2480">
        <f>+V32*'CO2 - Destinação'!K33</f>
        <v>34.359387736974867</v>
      </c>
      <c r="W38" s="2480">
        <f>+W32*'CO2 - Destinação'!L33</f>
        <v>34.359387736974867</v>
      </c>
      <c r="X38" s="2480">
        <f>+X32*'CO2 - Destinação'!M33</f>
        <v>34.359387736974867</v>
      </c>
      <c r="Y38" s="2486" t="s">
        <v>1333</v>
      </c>
      <c r="Z38" s="2430"/>
      <c r="AA38" s="2431"/>
      <c r="AB38" s="2061"/>
      <c r="AC38" s="2478" t="str">
        <f t="shared" si="28"/>
        <v>Vidros</v>
      </c>
      <c r="AD38" s="2447">
        <f t="shared" si="29"/>
        <v>0</v>
      </c>
      <c r="AE38" s="2447">
        <f t="shared" si="29"/>
        <v>0</v>
      </c>
      <c r="AF38" s="2447">
        <f t="shared" si="29"/>
        <v>0</v>
      </c>
      <c r="AG38" s="2447">
        <f t="shared" si="29"/>
        <v>0</v>
      </c>
      <c r="AH38" s="2447">
        <f t="shared" si="29"/>
        <v>0</v>
      </c>
      <c r="AI38" s="2447">
        <f t="shared" si="29"/>
        <v>0</v>
      </c>
      <c r="AJ38" s="2447">
        <f t="shared" si="29"/>
        <v>0</v>
      </c>
      <c r="AK38" s="2447">
        <f t="shared" si="29"/>
        <v>0</v>
      </c>
    </row>
    <row r="39" spans="1:37" ht="18" customHeight="1" x14ac:dyDescent="0.2">
      <c r="A39" s="2061"/>
      <c r="B39" s="2446" t="s">
        <v>1354</v>
      </c>
      <c r="C39" s="2444">
        <v>5</v>
      </c>
      <c r="D39" s="2060" t="s">
        <v>1337</v>
      </c>
      <c r="E39" s="2061"/>
      <c r="F39" s="2061"/>
      <c r="G39" s="2061"/>
      <c r="H39" s="2061"/>
      <c r="I39" s="2061"/>
      <c r="J39" s="2061"/>
      <c r="K39" s="2061"/>
      <c r="L39" s="2061"/>
      <c r="M39" s="2429"/>
      <c r="N39" s="2485" t="s">
        <v>1355</v>
      </c>
      <c r="O39" s="2462"/>
      <c r="P39" s="2470"/>
      <c r="Q39" s="2480">
        <f>+Q32*'CO2 - Destinação'!E34</f>
        <v>0</v>
      </c>
      <c r="R39" s="2480">
        <f>+R32*'CO2 - Destinação'!G34</f>
        <v>0</v>
      </c>
      <c r="S39" s="2480">
        <f>+S32*'CO2 - Destinação'!H34</f>
        <v>0</v>
      </c>
      <c r="T39" s="2480">
        <f>+T32*'CO2 - Destinação'!I34</f>
        <v>0</v>
      </c>
      <c r="U39" s="2480">
        <f>+U32*'CO2 - Destinação'!J34</f>
        <v>0</v>
      </c>
      <c r="V39" s="2480">
        <f>+V32*'CO2 - Destinação'!K34</f>
        <v>0</v>
      </c>
      <c r="W39" s="2480">
        <f>+W32*'CO2 - Destinação'!L34</f>
        <v>0</v>
      </c>
      <c r="X39" s="2480">
        <f>+X32*'CO2 - Destinação'!M34</f>
        <v>0</v>
      </c>
      <c r="Y39" s="2486" t="s">
        <v>1333</v>
      </c>
      <c r="Z39" s="2430"/>
      <c r="AA39" s="2431"/>
      <c r="AB39" s="2061"/>
      <c r="AC39" s="2478" t="str">
        <f t="shared" si="28"/>
        <v>Metais ferrosos</v>
      </c>
      <c r="AD39" s="2447">
        <f t="shared" si="29"/>
        <v>-1106.7967999999998</v>
      </c>
      <c r="AE39" s="2447">
        <f t="shared" si="29"/>
        <v>-5257.2848000000004</v>
      </c>
      <c r="AF39" s="2447">
        <f t="shared" si="29"/>
        <v>-5257.2848000000004</v>
      </c>
      <c r="AG39" s="2447">
        <f t="shared" si="29"/>
        <v>-5257.2848000000004</v>
      </c>
      <c r="AH39" s="2447">
        <f t="shared" si="29"/>
        <v>-5257.2848000000004</v>
      </c>
      <c r="AI39" s="2447">
        <f t="shared" si="29"/>
        <v>-5257.2848000000004</v>
      </c>
      <c r="AJ39" s="2447">
        <f t="shared" si="29"/>
        <v>-5257.2848000000004</v>
      </c>
      <c r="AK39" s="2447">
        <f t="shared" si="29"/>
        <v>-5257.2848000000004</v>
      </c>
    </row>
    <row r="40" spans="1:37" ht="18" customHeight="1" x14ac:dyDescent="0.2">
      <c r="A40" s="2061"/>
      <c r="B40" s="2061"/>
      <c r="C40" s="2061"/>
      <c r="D40" s="2061"/>
      <c r="E40" s="2061"/>
      <c r="F40" s="2061"/>
      <c r="G40" s="2061"/>
      <c r="H40" s="2061"/>
      <c r="I40" s="2061"/>
      <c r="J40" s="2061"/>
      <c r="K40" s="2061"/>
      <c r="L40" s="2061"/>
      <c r="M40" s="2429"/>
      <c r="N40" s="2485" t="s">
        <v>1356</v>
      </c>
      <c r="O40" s="2487"/>
      <c r="P40" s="2470"/>
      <c r="Q40" s="2480">
        <f>+Q32*'CO2 - Destinação'!$E$35</f>
        <v>0</v>
      </c>
      <c r="R40" s="2480">
        <f>+R32*'CO2 - Destinação'!G35</f>
        <v>0</v>
      </c>
      <c r="S40" s="2480">
        <f>+S32*'CO2 - Destinação'!H35</f>
        <v>0</v>
      </c>
      <c r="T40" s="2480">
        <f>+T32*'CO2 - Destinação'!I35</f>
        <v>0</v>
      </c>
      <c r="U40" s="2480">
        <f>+U32*'CO2 - Destinação'!J35</f>
        <v>0</v>
      </c>
      <c r="V40" s="2480">
        <f>+V32*'CO2 - Destinação'!K35</f>
        <v>0</v>
      </c>
      <c r="W40" s="2480">
        <f>+W32*'CO2 - Destinação'!L35</f>
        <v>0</v>
      </c>
      <c r="X40" s="2480">
        <f>+X32*'CO2 - Destinação'!M35</f>
        <v>0</v>
      </c>
      <c r="Y40" s="2486" t="s">
        <v>1333</v>
      </c>
      <c r="Z40" s="2430"/>
      <c r="AA40" s="2431"/>
      <c r="AB40" s="2061"/>
      <c r="AC40" s="2478" t="str">
        <f t="shared" si="28"/>
        <v>Alumínio</v>
      </c>
      <c r="AD40" s="2447">
        <f t="shared" si="29"/>
        <v>-1608.8616000000004</v>
      </c>
      <c r="AE40" s="2447">
        <f t="shared" si="29"/>
        <v>-7642.092599999999</v>
      </c>
      <c r="AF40" s="2447">
        <f t="shared" si="29"/>
        <v>-7642.092599999999</v>
      </c>
      <c r="AG40" s="2447">
        <f t="shared" si="29"/>
        <v>-7642.092599999999</v>
      </c>
      <c r="AH40" s="2447">
        <f t="shared" si="29"/>
        <v>-7642.092599999999</v>
      </c>
      <c r="AI40" s="2447">
        <f t="shared" si="29"/>
        <v>-7642.092599999999</v>
      </c>
      <c r="AJ40" s="2447">
        <f t="shared" si="29"/>
        <v>-7642.092599999999</v>
      </c>
      <c r="AK40" s="2447">
        <f t="shared" si="29"/>
        <v>-7642.092599999999</v>
      </c>
    </row>
    <row r="41" spans="1:37" ht="18" customHeight="1" x14ac:dyDescent="0.2">
      <c r="A41" s="2425" t="s">
        <v>1357</v>
      </c>
      <c r="B41" s="2426"/>
      <c r="C41" s="2426"/>
      <c r="D41" s="2426"/>
      <c r="E41" s="2426"/>
      <c r="F41" s="2426"/>
      <c r="G41" s="2426"/>
      <c r="H41" s="2426"/>
      <c r="I41" s="2426"/>
      <c r="J41" s="2426"/>
      <c r="K41" s="2426"/>
      <c r="L41" s="2453"/>
      <c r="M41" s="2429"/>
      <c r="N41" s="2488"/>
      <c r="O41" s="2489" t="s">
        <v>1358</v>
      </c>
      <c r="P41" s="2490"/>
      <c r="Q41" s="2491" t="str">
        <f>+IF((Q33+Q38+Q39+Q40)=Q32,"correto","errado")</f>
        <v>correto</v>
      </c>
      <c r="R41" s="2491" t="str">
        <f t="shared" ref="R41:X41" si="32">+IF((R33+R38+R39+R40)=R32,"correto","errado")</f>
        <v>correto</v>
      </c>
      <c r="S41" s="2491" t="str">
        <f t="shared" si="32"/>
        <v>correto</v>
      </c>
      <c r="T41" s="2491" t="str">
        <f t="shared" si="32"/>
        <v>correto</v>
      </c>
      <c r="U41" s="2491" t="str">
        <f t="shared" si="32"/>
        <v>correto</v>
      </c>
      <c r="V41" s="2491" t="str">
        <f t="shared" si="32"/>
        <v>correto</v>
      </c>
      <c r="W41" s="2491" t="str">
        <f t="shared" si="32"/>
        <v>correto</v>
      </c>
      <c r="X41" s="2491" t="str">
        <f t="shared" si="32"/>
        <v>correto</v>
      </c>
      <c r="Y41" s="2492"/>
      <c r="Z41" s="2430"/>
      <c r="AA41" s="2431"/>
      <c r="AB41" s="2061"/>
      <c r="AC41" s="2478" t="str">
        <f t="shared" si="28"/>
        <v>Têxteis</v>
      </c>
      <c r="AD41" s="2447">
        <f t="shared" si="29"/>
        <v>0</v>
      </c>
      <c r="AE41" s="2447">
        <f t="shared" si="29"/>
        <v>0</v>
      </c>
      <c r="AF41" s="2447">
        <f t="shared" si="29"/>
        <v>0</v>
      </c>
      <c r="AG41" s="2447">
        <f t="shared" si="29"/>
        <v>0</v>
      </c>
      <c r="AH41" s="2447">
        <f t="shared" si="29"/>
        <v>0</v>
      </c>
      <c r="AI41" s="2447">
        <f t="shared" si="29"/>
        <v>0</v>
      </c>
      <c r="AJ41" s="2447">
        <f t="shared" si="29"/>
        <v>0</v>
      </c>
      <c r="AK41" s="2447">
        <f t="shared" si="29"/>
        <v>0</v>
      </c>
    </row>
    <row r="42" spans="1:37" ht="18" customHeight="1" x14ac:dyDescent="0.2">
      <c r="A42" s="2435"/>
      <c r="B42" s="2061"/>
      <c r="C42" s="2061"/>
      <c r="D42" s="2061"/>
      <c r="E42" s="2061"/>
      <c r="F42" s="2061"/>
      <c r="G42" s="2061"/>
      <c r="H42" s="2061"/>
      <c r="I42" s="2061"/>
      <c r="J42" s="2061"/>
      <c r="K42" s="2061"/>
      <c r="L42" s="2493"/>
      <c r="M42" s="2429"/>
      <c r="N42" s="1985" t="s">
        <v>1312</v>
      </c>
      <c r="O42" s="2072"/>
      <c r="P42" s="2072"/>
      <c r="Q42" s="2480">
        <f t="shared" ref="Q42:X42" si="33">+Q39*Q26*10*$R$12</f>
        <v>0</v>
      </c>
      <c r="R42" s="2480">
        <f t="shared" si="33"/>
        <v>0</v>
      </c>
      <c r="S42" s="2480">
        <f t="shared" si="33"/>
        <v>0</v>
      </c>
      <c r="T42" s="2480">
        <f t="shared" si="33"/>
        <v>0</v>
      </c>
      <c r="U42" s="2480">
        <f t="shared" si="33"/>
        <v>0</v>
      </c>
      <c r="V42" s="2480">
        <f t="shared" si="33"/>
        <v>0</v>
      </c>
      <c r="W42" s="2480">
        <f t="shared" si="33"/>
        <v>0</v>
      </c>
      <c r="X42" s="2480">
        <f t="shared" si="33"/>
        <v>0</v>
      </c>
      <c r="Y42" s="2060" t="s">
        <v>1359</v>
      </c>
      <c r="Z42" s="2061"/>
      <c r="AA42" s="2431"/>
      <c r="AB42" s="2061"/>
      <c r="AC42" s="2436"/>
      <c r="AD42" s="2494"/>
      <c r="AE42" s="2060"/>
      <c r="AF42" s="2060"/>
      <c r="AG42" s="2060"/>
      <c r="AH42" s="2060"/>
      <c r="AI42" s="2060"/>
      <c r="AJ42" s="2060"/>
      <c r="AK42" s="2060"/>
    </row>
    <row r="43" spans="1:37" ht="18" customHeight="1" x14ac:dyDescent="0.2">
      <c r="A43" s="2435"/>
      <c r="B43" s="2061"/>
      <c r="C43" s="2495" t="s">
        <v>1305</v>
      </c>
      <c r="D43" s="2496" t="s">
        <v>1360</v>
      </c>
      <c r="E43" s="2493"/>
      <c r="F43" s="2493"/>
      <c r="G43" s="2493"/>
      <c r="H43" s="2493"/>
      <c r="I43" s="2493"/>
      <c r="J43" s="2493"/>
      <c r="K43" s="2493"/>
      <c r="L43" s="2493"/>
      <c r="M43" s="2429"/>
      <c r="N43" s="2158" t="s">
        <v>1361</v>
      </c>
      <c r="O43" s="2480">
        <f>7.2/3.6</f>
        <v>2</v>
      </c>
      <c r="P43" s="2158" t="s">
        <v>1362</v>
      </c>
      <c r="Q43" s="2480">
        <f t="shared" ref="Q43:X43" si="34">+$O$43*$C$3/1000</f>
        <v>0.15180000000000002</v>
      </c>
      <c r="R43" s="2480">
        <f t="shared" si="34"/>
        <v>0.15180000000000002</v>
      </c>
      <c r="S43" s="2480">
        <f t="shared" si="34"/>
        <v>0.15180000000000002</v>
      </c>
      <c r="T43" s="2480">
        <f t="shared" si="34"/>
        <v>0.15180000000000002</v>
      </c>
      <c r="U43" s="2480">
        <f t="shared" si="34"/>
        <v>0.15180000000000002</v>
      </c>
      <c r="V43" s="2480">
        <f t="shared" si="34"/>
        <v>0.15180000000000002</v>
      </c>
      <c r="W43" s="2480">
        <f t="shared" si="34"/>
        <v>0.15180000000000002</v>
      </c>
      <c r="X43" s="2480">
        <f t="shared" si="34"/>
        <v>0.15180000000000002</v>
      </c>
      <c r="Y43" s="2060" t="s">
        <v>1323</v>
      </c>
      <c r="Z43" s="2061"/>
      <c r="AA43" s="2431"/>
      <c r="AB43" s="2425" t="s">
        <v>1363</v>
      </c>
      <c r="AC43" s="2432"/>
      <c r="AD43" s="2433"/>
      <c r="AE43" s="2433"/>
      <c r="AF43" s="2433"/>
      <c r="AG43" s="2433"/>
      <c r="AH43" s="2433"/>
      <c r="AI43" s="2433"/>
      <c r="AJ43" s="2433"/>
      <c r="AK43" s="2433"/>
    </row>
    <row r="44" spans="1:37" ht="18" customHeight="1" x14ac:dyDescent="0.2">
      <c r="A44" s="2435"/>
      <c r="B44" s="2302" t="s">
        <v>1084</v>
      </c>
      <c r="C44" s="2328"/>
      <c r="D44" s="2328">
        <f>+'CO2 - Início'!J24</f>
        <v>146000</v>
      </c>
      <c r="E44" s="2497"/>
      <c r="F44" s="2497"/>
      <c r="G44" s="2497"/>
      <c r="H44" s="2497"/>
      <c r="I44" s="2497"/>
      <c r="J44" s="2497"/>
      <c r="K44" s="2497"/>
      <c r="L44" s="2493"/>
      <c r="M44" s="2429"/>
      <c r="N44" s="2158" t="s">
        <v>1364</v>
      </c>
      <c r="O44" s="2480">
        <f>1.4573/3.6*0</f>
        <v>0</v>
      </c>
      <c r="P44" s="2158" t="s">
        <v>1362</v>
      </c>
      <c r="Q44" s="2480">
        <f t="shared" ref="Q44:X44" si="35">+$O$44*$C$4/1000</f>
        <v>0</v>
      </c>
      <c r="R44" s="2480">
        <f t="shared" si="35"/>
        <v>0</v>
      </c>
      <c r="S44" s="2480">
        <f t="shared" si="35"/>
        <v>0</v>
      </c>
      <c r="T44" s="2480">
        <f t="shared" si="35"/>
        <v>0</v>
      </c>
      <c r="U44" s="2480">
        <f t="shared" si="35"/>
        <v>0</v>
      </c>
      <c r="V44" s="2480">
        <f t="shared" si="35"/>
        <v>0</v>
      </c>
      <c r="W44" s="2480">
        <f t="shared" si="35"/>
        <v>0</v>
      </c>
      <c r="X44" s="2480">
        <f t="shared" si="35"/>
        <v>0</v>
      </c>
      <c r="Y44" s="2060" t="s">
        <v>1323</v>
      </c>
      <c r="Z44" s="2061"/>
      <c r="AA44" s="2431"/>
      <c r="AB44" s="2435"/>
      <c r="AC44" s="2436"/>
      <c r="AD44" s="2060"/>
      <c r="AE44" s="2060"/>
      <c r="AF44" s="2060"/>
      <c r="AG44" s="2060"/>
      <c r="AH44" s="2060"/>
      <c r="AI44" s="2060"/>
      <c r="AJ44" s="2060"/>
      <c r="AK44" s="2060"/>
    </row>
    <row r="45" spans="1:37" ht="18" customHeight="1" x14ac:dyDescent="0.2">
      <c r="A45" s="2435"/>
      <c r="B45" s="2498" t="s">
        <v>1365</v>
      </c>
      <c r="C45" s="2468"/>
      <c r="D45" s="2499"/>
      <c r="E45" s="2061"/>
      <c r="F45" s="2061"/>
      <c r="G45" s="2061"/>
      <c r="H45" s="2061"/>
      <c r="I45" s="2061"/>
      <c r="J45" s="2061"/>
      <c r="K45" s="2061"/>
      <c r="L45" s="2493"/>
      <c r="M45" s="2429"/>
      <c r="N45" s="2158" t="s">
        <v>1366</v>
      </c>
      <c r="O45" s="2480">
        <f>10.994/3.6</f>
        <v>3.0538888888888889</v>
      </c>
      <c r="P45" s="2158" t="s">
        <v>1362</v>
      </c>
      <c r="Q45" s="2480">
        <f t="shared" ref="Q45:X45" si="36">+$O$45*$C$5/1000</f>
        <v>3.0867304029626488</v>
      </c>
      <c r="R45" s="2480">
        <f t="shared" si="36"/>
        <v>3.0867304029626488</v>
      </c>
      <c r="S45" s="2480">
        <f t="shared" si="36"/>
        <v>3.0867304029626488</v>
      </c>
      <c r="T45" s="2480">
        <f t="shared" si="36"/>
        <v>3.0867304029626488</v>
      </c>
      <c r="U45" s="2480">
        <f t="shared" si="36"/>
        <v>3.0867304029626488</v>
      </c>
      <c r="V45" s="2480">
        <f t="shared" si="36"/>
        <v>3.0867304029626488</v>
      </c>
      <c r="W45" s="2480">
        <f t="shared" si="36"/>
        <v>3.0867304029626488</v>
      </c>
      <c r="X45" s="2480">
        <f t="shared" si="36"/>
        <v>3.0867304029626488</v>
      </c>
      <c r="Y45" s="2060" t="s">
        <v>1323</v>
      </c>
      <c r="Z45" s="2061"/>
      <c r="AA45" s="2431"/>
      <c r="AB45" s="2061"/>
      <c r="AC45" s="2500"/>
      <c r="AD45" s="2075" t="str">
        <f t="shared" ref="AD45:AK45" si="37">+D72</f>
        <v>Cenário-Base</v>
      </c>
      <c r="AE45" s="2075" t="str">
        <f t="shared" si="37"/>
        <v>Biodigestão RT1A + CDR TM</v>
      </c>
      <c r="AF45" s="2075" t="str">
        <f t="shared" si="37"/>
        <v>Biodigestão RT1B + CDR TM</v>
      </c>
      <c r="AG45" s="2075" t="str">
        <f t="shared" si="37"/>
        <v>Biodigestão RT1C + CDR TM</v>
      </c>
      <c r="AH45" s="2075" t="str">
        <f t="shared" si="37"/>
        <v>Compostagem + CDR TM</v>
      </c>
      <c r="AI45" s="2075" t="str">
        <f t="shared" si="37"/>
        <v xml:space="preserve">Biosecagem + CDR TMB </v>
      </c>
      <c r="AJ45" s="2075" t="str">
        <f t="shared" si="37"/>
        <v>Incineração Mass Burning</v>
      </c>
      <c r="AK45" s="2075" t="str">
        <f t="shared" si="37"/>
        <v>Incineração Mass Burn. Descentralizada</v>
      </c>
    </row>
    <row r="46" spans="1:37" ht="18" customHeight="1" x14ac:dyDescent="0.2">
      <c r="A46" s="2435"/>
      <c r="B46" s="2446" t="s">
        <v>1108</v>
      </c>
      <c r="C46" s="2501">
        <f>+'CO2 - Início'!E35</f>
        <v>0.48399999999999999</v>
      </c>
      <c r="D46" s="2447">
        <f>+$D$44*C46</f>
        <v>70664</v>
      </c>
      <c r="E46" s="2061"/>
      <c r="F46" s="2061"/>
      <c r="G46" s="2061"/>
      <c r="H46" s="2061"/>
      <c r="I46" s="2061"/>
      <c r="J46" s="2061"/>
      <c r="K46" s="2061"/>
      <c r="L46" s="2493"/>
      <c r="M46" s="2429"/>
      <c r="N46" s="1985" t="s">
        <v>1367</v>
      </c>
      <c r="O46" s="2072"/>
      <c r="P46" s="2502"/>
      <c r="Q46" s="2503">
        <f t="shared" ref="Q46:X46" si="38">+Q37+$Q$43+$Q$44+$Q$45</f>
        <v>1184.6316441688894</v>
      </c>
      <c r="R46" s="2503">
        <f t="shared" si="38"/>
        <v>1174.8936522338058</v>
      </c>
      <c r="S46" s="2503">
        <f t="shared" si="38"/>
        <v>1174.8936522338058</v>
      </c>
      <c r="T46" s="2503">
        <f t="shared" si="38"/>
        <v>1174.8936522338058</v>
      </c>
      <c r="U46" s="2503">
        <f t="shared" si="38"/>
        <v>1174.8936522338058</v>
      </c>
      <c r="V46" s="2503">
        <f t="shared" si="38"/>
        <v>1174.8936522338058</v>
      </c>
      <c r="W46" s="2503">
        <f t="shared" si="38"/>
        <v>1174.8936522338058</v>
      </c>
      <c r="X46" s="2503">
        <f t="shared" si="38"/>
        <v>1174.8936522338058</v>
      </c>
      <c r="Y46" s="2504" t="s">
        <v>1323</v>
      </c>
      <c r="Z46" s="2061"/>
      <c r="AA46" s="2431"/>
      <c r="AB46" s="2061"/>
      <c r="AC46" s="2505" t="s">
        <v>1288</v>
      </c>
      <c r="AD46" s="2443" t="s">
        <v>1289</v>
      </c>
      <c r="AE46" s="2444"/>
      <c r="AF46" s="2444"/>
      <c r="AG46" s="2444"/>
      <c r="AH46" s="2444"/>
      <c r="AI46" s="2444"/>
      <c r="AJ46" s="2444"/>
      <c r="AK46" s="2444"/>
    </row>
    <row r="47" spans="1:37" ht="18" customHeight="1" x14ac:dyDescent="0.2">
      <c r="A47" s="2435"/>
      <c r="B47" s="2446" t="s">
        <v>1109</v>
      </c>
      <c r="C47" s="2501">
        <f>+'CO2 - Início'!E36</f>
        <v>0.03</v>
      </c>
      <c r="D47" s="2447">
        <f>+$D$44*C47</f>
        <v>4380</v>
      </c>
      <c r="E47" s="2061"/>
      <c r="F47" s="2061"/>
      <c r="G47" s="2061"/>
      <c r="H47" s="2061"/>
      <c r="I47" s="2061"/>
      <c r="J47" s="2061"/>
      <c r="K47" s="2061"/>
      <c r="L47" s="2493"/>
      <c r="M47" s="2429"/>
      <c r="N47" s="2302" t="s">
        <v>1368</v>
      </c>
      <c r="O47" s="2506"/>
      <c r="P47" s="2506"/>
      <c r="Q47" s="2503">
        <f t="shared" ref="Q47:X47" si="39">((+Q42*$C$3)+(Q40*Q26*10*$C$6))/1000</f>
        <v>0</v>
      </c>
      <c r="R47" s="2503">
        <f t="shared" si="39"/>
        <v>0</v>
      </c>
      <c r="S47" s="2503">
        <f t="shared" si="39"/>
        <v>0</v>
      </c>
      <c r="T47" s="2503">
        <f t="shared" si="39"/>
        <v>0</v>
      </c>
      <c r="U47" s="2503">
        <f t="shared" si="39"/>
        <v>0</v>
      </c>
      <c r="V47" s="2503">
        <f t="shared" si="39"/>
        <v>0</v>
      </c>
      <c r="W47" s="2503">
        <f t="shared" si="39"/>
        <v>0</v>
      </c>
      <c r="X47" s="2503">
        <f t="shared" si="39"/>
        <v>0</v>
      </c>
      <c r="Y47" s="2504" t="s">
        <v>1323</v>
      </c>
      <c r="Z47" s="2061"/>
      <c r="AA47" s="2431"/>
      <c r="AB47" s="2061"/>
      <c r="AC47" s="2507" t="s">
        <v>1243</v>
      </c>
      <c r="AD47" s="2447">
        <f>+D$97*'CO2 - Destinação'!E7</f>
        <v>0</v>
      </c>
      <c r="AE47" s="2447">
        <f>+E$97*'CO2 - Destinação'!G7</f>
        <v>0</v>
      </c>
      <c r="AF47" s="2447">
        <f>+F$97*'CO2 - Destinação'!H7</f>
        <v>0</v>
      </c>
      <c r="AG47" s="2447">
        <f>+G$97*'CO2 - Destinação'!I7</f>
        <v>0</v>
      </c>
      <c r="AH47" s="2447">
        <f>+H$97*'CO2 - Destinação'!J7</f>
        <v>0</v>
      </c>
      <c r="AI47" s="2447">
        <f>+I$97*'CO2 - Destinação'!K7</f>
        <v>0</v>
      </c>
      <c r="AJ47" s="2447">
        <f>+J$97*'CO2 - Destinação'!L7</f>
        <v>0</v>
      </c>
      <c r="AK47" s="2447">
        <f>+K$97*'CO2 - Destinação'!M7</f>
        <v>0</v>
      </c>
    </row>
    <row r="48" spans="1:37" ht="18" customHeight="1" x14ac:dyDescent="0.2">
      <c r="A48" s="2435"/>
      <c r="B48" s="2446" t="s">
        <v>1110</v>
      </c>
      <c r="C48" s="2501">
        <f>+'CO2 - Início'!E37</f>
        <v>0.13100000000000001</v>
      </c>
      <c r="D48" s="2447">
        <f t="shared" ref="D48:D58" si="40">+$D$44*C48</f>
        <v>19126</v>
      </c>
      <c r="E48" s="2061"/>
      <c r="F48" s="2061"/>
      <c r="G48" s="2061"/>
      <c r="H48" s="2061"/>
      <c r="I48" s="2061"/>
      <c r="J48" s="2061"/>
      <c r="K48" s="2061"/>
      <c r="L48" s="2493"/>
      <c r="M48" s="2429"/>
      <c r="N48" s="2435"/>
      <c r="O48" s="2435"/>
      <c r="P48" s="2435"/>
      <c r="Q48" s="2435"/>
      <c r="R48" s="2508"/>
      <c r="S48" s="2508"/>
      <c r="T48" s="2508"/>
      <c r="U48" s="2508"/>
      <c r="V48" s="2435"/>
      <c r="W48" s="2435"/>
      <c r="X48" s="2435"/>
      <c r="Y48" s="2061"/>
      <c r="Z48" s="2061"/>
      <c r="AA48" s="2431"/>
      <c r="AB48" s="2061"/>
      <c r="AC48" s="2507" t="s">
        <v>1244</v>
      </c>
      <c r="AD48" s="2447">
        <f>+D$97*'CO2 - Destinação'!E8</f>
        <v>0</v>
      </c>
      <c r="AE48" s="2447">
        <f>+E$97*'CO2 - Destinação'!G8</f>
        <v>0</v>
      </c>
      <c r="AF48" s="2447">
        <f>+F$97*'CO2 - Destinação'!H8</f>
        <v>0</v>
      </c>
      <c r="AG48" s="2447">
        <f>+G$97*'CO2 - Destinação'!I8</f>
        <v>0</v>
      </c>
      <c r="AH48" s="2447">
        <f>+H$97*'CO2 - Destinação'!J8</f>
        <v>0</v>
      </c>
      <c r="AI48" s="2447">
        <f>+I$97*'CO2 - Destinação'!K8</f>
        <v>0</v>
      </c>
      <c r="AJ48" s="2447">
        <f>+J$97*'CO2 - Destinação'!L8</f>
        <v>0</v>
      </c>
      <c r="AK48" s="2447">
        <f>+K$97*'CO2 - Destinação'!M8</f>
        <v>0</v>
      </c>
    </row>
    <row r="49" spans="1:37" ht="18" customHeight="1" x14ac:dyDescent="0.2">
      <c r="A49" s="2435"/>
      <c r="B49" s="2446" t="s">
        <v>1111</v>
      </c>
      <c r="C49" s="2501">
        <f>+'CO2 - Início'!E38</f>
        <v>0.13500000000000001</v>
      </c>
      <c r="D49" s="2447">
        <f t="shared" si="40"/>
        <v>19710</v>
      </c>
      <c r="E49" s="2061"/>
      <c r="F49" s="2061"/>
      <c r="G49" s="2061"/>
      <c r="H49" s="2061"/>
      <c r="I49" s="2061"/>
      <c r="J49" s="2061"/>
      <c r="K49" s="2061"/>
      <c r="L49" s="2493"/>
      <c r="M49" s="2429"/>
      <c r="N49" s="2509" t="s">
        <v>1369</v>
      </c>
      <c r="O49" s="2510"/>
      <c r="P49" s="2510"/>
      <c r="Q49" s="2061"/>
      <c r="R49" s="2061"/>
      <c r="S49" s="2061"/>
      <c r="T49" s="2061"/>
      <c r="U49" s="2061"/>
      <c r="V49" s="2061"/>
      <c r="W49" s="2061"/>
      <c r="X49" s="2061"/>
      <c r="Y49" s="2061"/>
      <c r="Z49" s="2061"/>
      <c r="AA49" s="2431"/>
      <c r="AB49" s="2061"/>
      <c r="AC49" s="2507" t="s">
        <v>1245</v>
      </c>
      <c r="AD49" s="2447">
        <f>+D$97*'CO2 - Destinação'!E10</f>
        <v>0</v>
      </c>
      <c r="AE49" s="2447">
        <f>+E$97*'CO2 - Destinação'!G10</f>
        <v>0</v>
      </c>
      <c r="AF49" s="2447">
        <f>+F$97*'CO2 - Destinação'!H10</f>
        <v>0</v>
      </c>
      <c r="AG49" s="2447">
        <f>+G$97*'CO2 - Destinação'!I10</f>
        <v>0</v>
      </c>
      <c r="AH49" s="2447">
        <f>+H$97*'CO2 - Destinação'!J10</f>
        <v>0</v>
      </c>
      <c r="AI49" s="2447">
        <f>+I$97*'CO2 - Destinação'!K10</f>
        <v>0</v>
      </c>
      <c r="AJ49" s="2447">
        <f>+J$97*'CO2 - Destinação'!L10</f>
        <v>0</v>
      </c>
      <c r="AK49" s="2447">
        <f>+K$97*'CO2 - Destinação'!M10</f>
        <v>0</v>
      </c>
    </row>
    <row r="50" spans="1:37" ht="18" customHeight="1" x14ac:dyDescent="0.2">
      <c r="A50" s="2435"/>
      <c r="B50" s="2446" t="s">
        <v>50</v>
      </c>
      <c r="C50" s="2501">
        <f>+'CO2 - Início'!E39</f>
        <v>2.4E-2</v>
      </c>
      <c r="D50" s="2447">
        <f t="shared" si="40"/>
        <v>3504</v>
      </c>
      <c r="E50" s="2061"/>
      <c r="F50" s="2061"/>
      <c r="G50" s="2061"/>
      <c r="H50" s="2061"/>
      <c r="I50" s="2061"/>
      <c r="J50" s="2061"/>
      <c r="K50" s="2061"/>
      <c r="L50" s="2493"/>
      <c r="M50" s="2429"/>
      <c r="N50" s="2511" t="s">
        <v>1370</v>
      </c>
      <c r="O50" s="2512"/>
      <c r="P50" s="2513"/>
      <c r="Q50" s="2061"/>
      <c r="R50" s="2061"/>
      <c r="S50" s="2061"/>
      <c r="T50" s="2061"/>
      <c r="U50" s="2061"/>
      <c r="V50" s="2061"/>
      <c r="W50" s="2061"/>
      <c r="X50" s="2061"/>
      <c r="Y50" s="2061"/>
      <c r="Z50" s="2061"/>
      <c r="AA50" s="2431"/>
      <c r="AB50" s="2061"/>
      <c r="AC50" s="2507" t="s">
        <v>1246</v>
      </c>
      <c r="AD50" s="2447">
        <f>+D$97*'CO2 - Destinação'!E11</f>
        <v>0</v>
      </c>
      <c r="AE50" s="2447">
        <f>+E$97*'CO2 - Destinação'!G11</f>
        <v>0</v>
      </c>
      <c r="AF50" s="2447">
        <f>+F$97*'CO2 - Destinação'!H11</f>
        <v>0</v>
      </c>
      <c r="AG50" s="2447">
        <f>+G$97*'CO2 - Destinação'!I11</f>
        <v>0</v>
      </c>
      <c r="AH50" s="2447">
        <f>+H$97*'CO2 - Destinação'!J11</f>
        <v>0</v>
      </c>
      <c r="AI50" s="2447">
        <f>+I$97*'CO2 - Destinação'!K11</f>
        <v>39381.762599999995</v>
      </c>
      <c r="AJ50" s="2447">
        <f>+J$97*'CO2 - Destinação'!L11</f>
        <v>19690.881299999997</v>
      </c>
      <c r="AK50" s="2447">
        <f>+K$97*'CO2 - Destinação'!M11</f>
        <v>19690.881299999997</v>
      </c>
    </row>
    <row r="51" spans="1:37" ht="18" customHeight="1" x14ac:dyDescent="0.2">
      <c r="A51" s="2435"/>
      <c r="B51" s="2446" t="s">
        <v>1112</v>
      </c>
      <c r="C51" s="2501">
        <f>+'CO2 - Início'!E40</f>
        <v>2.3E-2</v>
      </c>
      <c r="D51" s="2447">
        <f t="shared" si="40"/>
        <v>3358</v>
      </c>
      <c r="E51" s="2061"/>
      <c r="F51" s="2061"/>
      <c r="G51" s="2061"/>
      <c r="H51" s="2061"/>
      <c r="I51" s="2061"/>
      <c r="J51" s="2061"/>
      <c r="K51" s="2061"/>
      <c r="L51" s="2493"/>
      <c r="M51" s="2429"/>
      <c r="N51" s="2511" t="s">
        <v>1371</v>
      </c>
      <c r="O51" s="2514"/>
      <c r="P51" s="2515"/>
      <c r="Q51" s="2516">
        <f t="shared" ref="Q51:X51" si="41">D120</f>
        <v>0.10246513642000825</v>
      </c>
      <c r="R51" s="2516">
        <f t="shared" si="41"/>
        <v>9.6614717142294707E-2</v>
      </c>
      <c r="S51" s="2516">
        <f t="shared" si="41"/>
        <v>9.6614717142294707E-2</v>
      </c>
      <c r="T51" s="2516">
        <f t="shared" si="41"/>
        <v>9.6614717142294707E-2</v>
      </c>
      <c r="U51" s="2516">
        <f t="shared" si="41"/>
        <v>9.6614717142294707E-2</v>
      </c>
      <c r="V51" s="2516">
        <f t="shared" si="41"/>
        <v>9.6614717142294707E-2</v>
      </c>
      <c r="W51" s="2516">
        <f t="shared" si="41"/>
        <v>9.6614717142294707E-2</v>
      </c>
      <c r="X51" s="2516">
        <f t="shared" si="41"/>
        <v>9.6614717142294707E-2</v>
      </c>
      <c r="Y51" s="2060" t="s">
        <v>194</v>
      </c>
      <c r="Z51" s="2061"/>
      <c r="AA51" s="2431"/>
      <c r="AB51" s="2061"/>
      <c r="AC51" s="2507" t="s">
        <v>64</v>
      </c>
      <c r="AD51" s="2447">
        <f>+D$97*'CO2 - Destinação'!E12</f>
        <v>141269.6</v>
      </c>
      <c r="AE51" s="2447">
        <f>+E$97*'CO2 - Destinação'!G12</f>
        <v>45945.389699999992</v>
      </c>
      <c r="AF51" s="2447">
        <f>+F$97*'CO2 - Destinação'!H12</f>
        <v>45945.389699999992</v>
      </c>
      <c r="AG51" s="2447">
        <f>+G$97*'CO2 - Destinação'!I12</f>
        <v>45945.389699999992</v>
      </c>
      <c r="AH51" s="2447">
        <f>+H$97*'CO2 - Destinação'!J12</f>
        <v>49227.203249999991</v>
      </c>
      <c r="AI51" s="2447">
        <f>+I$97*'CO2 - Destinação'!K12</f>
        <v>0</v>
      </c>
      <c r="AJ51" s="2447">
        <f>+J$97*'CO2 - Destinação'!L12</f>
        <v>0</v>
      </c>
      <c r="AK51" s="2447">
        <f>+K$97*'CO2 - Destinação'!M12</f>
        <v>0</v>
      </c>
    </row>
    <row r="52" spans="1:37" ht="18" customHeight="1" x14ac:dyDescent="0.2">
      <c r="A52" s="2435"/>
      <c r="B52" s="2446" t="s">
        <v>1113</v>
      </c>
      <c r="C52" s="2501">
        <f>+'CO2 - Início'!E41</f>
        <v>6.0000000000000001E-3</v>
      </c>
      <c r="D52" s="2447">
        <f t="shared" si="40"/>
        <v>876</v>
      </c>
      <c r="E52" s="2061"/>
      <c r="F52" s="2061"/>
      <c r="G52" s="2061"/>
      <c r="H52" s="2061"/>
      <c r="I52" s="2061"/>
      <c r="J52" s="2061"/>
      <c r="K52" s="2061"/>
      <c r="L52" s="2493"/>
      <c r="M52" s="2429"/>
      <c r="N52" s="2517" t="s">
        <v>1372</v>
      </c>
      <c r="O52" s="2518"/>
      <c r="P52" s="2519"/>
      <c r="Q52" s="2520">
        <f t="shared" ref="Q52:X52" si="42">1000*Q51*44/12</f>
        <v>375.70550020669697</v>
      </c>
      <c r="R52" s="2520">
        <f t="shared" si="42"/>
        <v>354.2539628550806</v>
      </c>
      <c r="S52" s="2520">
        <f t="shared" si="42"/>
        <v>354.2539628550806</v>
      </c>
      <c r="T52" s="2520">
        <f t="shared" si="42"/>
        <v>354.2539628550806</v>
      </c>
      <c r="U52" s="2520">
        <f t="shared" si="42"/>
        <v>354.2539628550806</v>
      </c>
      <c r="V52" s="2520">
        <f t="shared" si="42"/>
        <v>354.2539628550806</v>
      </c>
      <c r="W52" s="2520">
        <f t="shared" si="42"/>
        <v>354.2539628550806</v>
      </c>
      <c r="X52" s="2520">
        <f t="shared" si="42"/>
        <v>354.2539628550806</v>
      </c>
      <c r="Y52" s="2469" t="s">
        <v>1373</v>
      </c>
      <c r="Z52" s="2061"/>
      <c r="AA52" s="2431"/>
      <c r="AB52" s="2061"/>
      <c r="AC52" s="2507" t="s">
        <v>1247</v>
      </c>
      <c r="AD52" s="2447">
        <f>+D$97*'CO2 - Destinação'!E14</f>
        <v>0</v>
      </c>
      <c r="AE52" s="2447">
        <f>+E$97*'CO2 - Destinação'!G14</f>
        <v>0</v>
      </c>
      <c r="AF52" s="2447">
        <f>+F$97*'CO2 - Destinação'!H14</f>
        <v>0</v>
      </c>
      <c r="AG52" s="2447">
        <f>+G$97*'CO2 - Destinação'!I14</f>
        <v>0</v>
      </c>
      <c r="AH52" s="2447">
        <f>+H$97*'CO2 - Destinação'!J14</f>
        <v>82045.338749999995</v>
      </c>
      <c r="AI52" s="2447">
        <f>+I$97*'CO2 - Destinação'!K14</f>
        <v>0</v>
      </c>
      <c r="AJ52" s="2447">
        <f>+J$97*'CO2 - Destinação'!L14</f>
        <v>0</v>
      </c>
      <c r="AK52" s="2447">
        <f>+K$97*'CO2 - Destinação'!M14</f>
        <v>0</v>
      </c>
    </row>
    <row r="53" spans="1:37" ht="18" customHeight="1" x14ac:dyDescent="0.2">
      <c r="A53" s="2435"/>
      <c r="B53" s="2446" t="s">
        <v>1114</v>
      </c>
      <c r="C53" s="2501">
        <f>+'CO2 - Início'!E42</f>
        <v>4.4500000000000005E-2</v>
      </c>
      <c r="D53" s="2447">
        <f t="shared" si="40"/>
        <v>6497.0000000000009</v>
      </c>
      <c r="E53" s="2061"/>
      <c r="F53" s="2061"/>
      <c r="G53" s="2061"/>
      <c r="H53" s="2061"/>
      <c r="I53" s="2061"/>
      <c r="J53" s="2061"/>
      <c r="K53" s="2061"/>
      <c r="L53" s="2493"/>
      <c r="M53" s="2429"/>
      <c r="N53" s="2511" t="s">
        <v>1374</v>
      </c>
      <c r="O53" s="2512"/>
      <c r="P53" s="2513"/>
      <c r="Q53" s="2521">
        <f t="shared" ref="Q53:X53" si="43">+(D124+D125)/3.6*1000</f>
        <v>2303.0809333517063</v>
      </c>
      <c r="R53" s="2521">
        <f t="shared" si="43"/>
        <v>2212.3760974070779</v>
      </c>
      <c r="S53" s="2521">
        <f t="shared" si="43"/>
        <v>2212.3760974070779</v>
      </c>
      <c r="T53" s="2521">
        <f t="shared" si="43"/>
        <v>2212.3760974070779</v>
      </c>
      <c r="U53" s="2521">
        <f t="shared" si="43"/>
        <v>2212.3760974070779</v>
      </c>
      <c r="V53" s="2521">
        <f t="shared" si="43"/>
        <v>2212.3760974070779</v>
      </c>
      <c r="W53" s="2521">
        <f t="shared" si="43"/>
        <v>2212.3760974070779</v>
      </c>
      <c r="X53" s="2521">
        <f t="shared" si="43"/>
        <v>2212.3760974070779</v>
      </c>
      <c r="Y53" s="2060" t="s">
        <v>1359</v>
      </c>
      <c r="Z53" s="2061"/>
      <c r="AA53" s="2431"/>
      <c r="AB53" s="2061"/>
      <c r="AC53" s="2507" t="s">
        <v>1248</v>
      </c>
      <c r="AD53" s="2447">
        <f>+D$97*'CO2 - Destinação'!E15</f>
        <v>0</v>
      </c>
      <c r="AE53" s="2447">
        <f>+E$97*'CO2 - Destinação'!G15</f>
        <v>16409.067749999998</v>
      </c>
      <c r="AF53" s="2447">
        <f>+F$97*'CO2 - Destinação'!H15</f>
        <v>16409.067749999998</v>
      </c>
      <c r="AG53" s="2447">
        <f>+G$97*'CO2 - Destinação'!I15</f>
        <v>16409.067749999998</v>
      </c>
      <c r="AH53" s="2447">
        <f>+H$97*'CO2 - Destinação'!J15</f>
        <v>0</v>
      </c>
      <c r="AI53" s="2447">
        <f>+I$97*'CO2 - Destinação'!K15</f>
        <v>0</v>
      </c>
      <c r="AJ53" s="2447">
        <f>+J$97*'CO2 - Destinação'!L15</f>
        <v>0</v>
      </c>
      <c r="AK53" s="2447">
        <f>+K$97*'CO2 - Destinação'!M15</f>
        <v>0</v>
      </c>
    </row>
    <row r="54" spans="1:37" ht="18" customHeight="1" x14ac:dyDescent="0.2">
      <c r="A54" s="2435"/>
      <c r="B54" s="2446" t="s">
        <v>1375</v>
      </c>
      <c r="C54" s="2501">
        <f>+'CO2 - Início'!E43</f>
        <v>9.5999999999999992E-3</v>
      </c>
      <c r="D54" s="2447">
        <f t="shared" si="40"/>
        <v>1401.6</v>
      </c>
      <c r="E54" s="2061"/>
      <c r="F54" s="2061"/>
      <c r="G54" s="2061"/>
      <c r="H54" s="2061"/>
      <c r="I54" s="2061"/>
      <c r="J54" s="2061"/>
      <c r="K54" s="2061"/>
      <c r="L54" s="2493"/>
      <c r="M54" s="2429"/>
      <c r="N54" s="2511" t="s">
        <v>1376</v>
      </c>
      <c r="O54" s="2512"/>
      <c r="P54" s="2513"/>
      <c r="Q54" s="2522">
        <f>+Q53*'CO2 - Destinação'!E58</f>
        <v>345.46214000275592</v>
      </c>
      <c r="R54" s="2522">
        <f>+R53*'CO2 - Destinação'!G58</f>
        <v>331.85641461106167</v>
      </c>
      <c r="S54" s="2522">
        <f>+S53*'CO2 - Destinação'!H58</f>
        <v>331.85641461106167</v>
      </c>
      <c r="T54" s="2522">
        <f>+T53*'CO2 - Destinação'!I58</f>
        <v>331.85641461106167</v>
      </c>
      <c r="U54" s="2522">
        <f>+U53*'CO2 - Destinação'!J58</f>
        <v>331.85641461106167</v>
      </c>
      <c r="V54" s="2522">
        <f>+V53*'CO2 - Destinação'!K58</f>
        <v>331.85641461106167</v>
      </c>
      <c r="W54" s="2522">
        <f>+W53*'CO2 - Destinação'!L58</f>
        <v>331.85641461106167</v>
      </c>
      <c r="X54" s="2522">
        <f>+X53*'CO2 - Destinação'!M58</f>
        <v>331.85641461106167</v>
      </c>
      <c r="Y54" s="2060" t="s">
        <v>1359</v>
      </c>
      <c r="Z54" s="2061"/>
      <c r="AA54" s="2431"/>
      <c r="AB54" s="2061"/>
      <c r="AC54" s="2507" t="s">
        <v>1249</v>
      </c>
      <c r="AD54" s="2447">
        <f>+D$97*'CO2 - Destinação'!E16</f>
        <v>0</v>
      </c>
      <c r="AE54" s="2447">
        <f>+E$97*'CO2 - Destinação'!G16</f>
        <v>68918.08455</v>
      </c>
      <c r="AF54" s="2447">
        <f>+F$97*'CO2 - Destinação'!H16</f>
        <v>68918.08455</v>
      </c>
      <c r="AG54" s="2447">
        <f>+G$97*'CO2 - Destinação'!I16</f>
        <v>68918.08455</v>
      </c>
      <c r="AH54" s="2447">
        <f>+H$97*'CO2 - Destinação'!J16</f>
        <v>0</v>
      </c>
      <c r="AI54" s="2447">
        <f>+I$97*'CO2 - Destinação'!K16</f>
        <v>0</v>
      </c>
      <c r="AJ54" s="2447">
        <f>+J$97*'CO2 - Destinação'!L16</f>
        <v>0</v>
      </c>
      <c r="AK54" s="2447">
        <f>+K$97*'CO2 - Destinação'!M16</f>
        <v>0</v>
      </c>
    </row>
    <row r="55" spans="1:37" ht="18" customHeight="1" x14ac:dyDescent="0.2">
      <c r="A55" s="2435"/>
      <c r="B55" s="2446" t="s">
        <v>1321</v>
      </c>
      <c r="C55" s="2501">
        <f>+'CO2 - Início'!E44</f>
        <v>0.04</v>
      </c>
      <c r="D55" s="2447">
        <f t="shared" si="40"/>
        <v>5840</v>
      </c>
      <c r="E55" s="2061"/>
      <c r="F55" s="2061"/>
      <c r="G55" s="2061"/>
      <c r="H55" s="2061"/>
      <c r="I55" s="2061"/>
      <c r="J55" s="2061"/>
      <c r="K55" s="2061"/>
      <c r="L55" s="2493"/>
      <c r="M55" s="2429"/>
      <c r="N55" s="2511" t="s">
        <v>1377</v>
      </c>
      <c r="O55" s="2512"/>
      <c r="P55" s="2513"/>
      <c r="Q55" s="2522">
        <f t="shared" ref="Q55:X55" si="44">+Q54*$C$3/1000</f>
        <v>26.220576426209178</v>
      </c>
      <c r="R55" s="2522">
        <f t="shared" si="44"/>
        <v>25.18790186897958</v>
      </c>
      <c r="S55" s="2522">
        <f t="shared" si="44"/>
        <v>25.18790186897958</v>
      </c>
      <c r="T55" s="2522">
        <f t="shared" si="44"/>
        <v>25.18790186897958</v>
      </c>
      <c r="U55" s="2522">
        <f t="shared" si="44"/>
        <v>25.18790186897958</v>
      </c>
      <c r="V55" s="2522">
        <f t="shared" si="44"/>
        <v>25.18790186897958</v>
      </c>
      <c r="W55" s="2522">
        <f t="shared" si="44"/>
        <v>25.18790186897958</v>
      </c>
      <c r="X55" s="2522">
        <f t="shared" si="44"/>
        <v>25.18790186897958</v>
      </c>
      <c r="Y55" s="2060" t="s">
        <v>1323</v>
      </c>
      <c r="Z55" s="2061"/>
      <c r="AA55" s="2431"/>
      <c r="AB55" s="2060"/>
      <c r="AC55" s="2507" t="s">
        <v>1250</v>
      </c>
      <c r="AD55" s="2447">
        <f>+D$97*'CO2 - Destinação'!E17</f>
        <v>0</v>
      </c>
      <c r="AE55" s="2447">
        <f>+E$97*'CO2 - Destinação'!G17</f>
        <v>0</v>
      </c>
      <c r="AF55" s="2447">
        <f>+F$97*'CO2 - Destinação'!H17</f>
        <v>0</v>
      </c>
      <c r="AG55" s="2447">
        <f>+G$97*'CO2 - Destinação'!I17</f>
        <v>0</v>
      </c>
      <c r="AH55" s="2447">
        <f>+H$97*'CO2 - Destinação'!J17</f>
        <v>0</v>
      </c>
      <c r="AI55" s="2447">
        <f>+I$97*'CO2 - Destinação'!K17</f>
        <v>91890.779399999985</v>
      </c>
      <c r="AJ55" s="2447">
        <f>+J$97*'CO2 - Destinação'!L17</f>
        <v>0</v>
      </c>
      <c r="AK55" s="2447">
        <f>+K$97*'CO2 - Destinação'!M17</f>
        <v>0</v>
      </c>
    </row>
    <row r="56" spans="1:37" ht="18" customHeight="1" x14ac:dyDescent="0.2">
      <c r="A56" s="2435"/>
      <c r="B56" s="2446" t="s">
        <v>1117</v>
      </c>
      <c r="C56" s="2501">
        <f>+'CO2 - Início'!E45</f>
        <v>7.3000000000000001E-3</v>
      </c>
      <c r="D56" s="2447">
        <f t="shared" si="40"/>
        <v>1065.8</v>
      </c>
      <c r="E56" s="2061"/>
      <c r="F56" s="2061"/>
      <c r="G56" s="2061"/>
      <c r="H56" s="2061"/>
      <c r="I56" s="2061"/>
      <c r="J56" s="2061"/>
      <c r="K56" s="2061"/>
      <c r="L56" s="2493"/>
      <c r="M56" s="2429"/>
      <c r="N56" s="2511" t="s">
        <v>1378</v>
      </c>
      <c r="O56" s="2523"/>
      <c r="P56" s="2513"/>
      <c r="Q56" s="2522">
        <f>+Q53*'CO2 - Destinação'!E59</f>
        <v>0</v>
      </c>
      <c r="R56" s="2522">
        <f>+R53*'CO2 - Destinação'!G59</f>
        <v>0</v>
      </c>
      <c r="S56" s="2522">
        <f>+S53*'CO2 - Destinação'!H59</f>
        <v>0</v>
      </c>
      <c r="T56" s="2522">
        <f>+T53*'CO2 - Destinação'!I59</f>
        <v>0</v>
      </c>
      <c r="U56" s="2522">
        <f>+U53*'CO2 - Destinação'!J59</f>
        <v>0</v>
      </c>
      <c r="V56" s="2522">
        <f>+V53*'CO2 - Destinação'!K59</f>
        <v>0</v>
      </c>
      <c r="W56" s="2522">
        <f>+W53*'CO2 - Destinação'!L59</f>
        <v>0</v>
      </c>
      <c r="X56" s="2522">
        <f>+X53*'CO2 - Destinação'!M59</f>
        <v>0</v>
      </c>
      <c r="Y56" s="2060" t="s">
        <v>1359</v>
      </c>
      <c r="Z56" s="2061"/>
      <c r="AA56" s="2431"/>
      <c r="AB56" s="2061"/>
      <c r="AC56" s="2507" t="s">
        <v>63</v>
      </c>
      <c r="AD56" s="2447">
        <f>+D$97*'CO2 - Destinação'!E19</f>
        <v>0</v>
      </c>
      <c r="AE56" s="2447">
        <f>+E$97*'CO2 - Destinação'!G19</f>
        <v>0</v>
      </c>
      <c r="AF56" s="2447">
        <f>+F$97*'CO2 - Destinação'!H19</f>
        <v>0</v>
      </c>
      <c r="AG56" s="2447">
        <f>+G$97*'CO2 - Destinação'!I19</f>
        <v>0</v>
      </c>
      <c r="AH56" s="2447">
        <f>+H$97*'CO2 - Destinação'!J19</f>
        <v>0</v>
      </c>
      <c r="AI56" s="2447">
        <f>+I$97*'CO2 - Destinação'!K19</f>
        <v>0</v>
      </c>
      <c r="AJ56" s="2447">
        <f>+J$97*'CO2 - Destinação'!L19</f>
        <v>111581.66069999998</v>
      </c>
      <c r="AK56" s="2447">
        <f>+K$97*'CO2 - Destinação'!M19</f>
        <v>111581.66069999998</v>
      </c>
    </row>
    <row r="57" spans="1:37" ht="18" customHeight="1" x14ac:dyDescent="0.2">
      <c r="A57" s="2435"/>
      <c r="B57" s="2446" t="s">
        <v>1118</v>
      </c>
      <c r="C57" s="2501">
        <f>+'CO2 - Início'!E46</f>
        <v>0</v>
      </c>
      <c r="D57" s="2447">
        <f t="shared" si="40"/>
        <v>0</v>
      </c>
      <c r="E57" s="2061"/>
      <c r="F57" s="2061"/>
      <c r="G57" s="2061"/>
      <c r="H57" s="2061"/>
      <c r="I57" s="2061"/>
      <c r="J57" s="2061"/>
      <c r="K57" s="2061"/>
      <c r="L57" s="2493"/>
      <c r="M57" s="2429"/>
      <c r="N57" s="2511" t="s">
        <v>1379</v>
      </c>
      <c r="O57" s="2512"/>
      <c r="P57" s="2513"/>
      <c r="Q57" s="2522">
        <f t="shared" ref="Q57:X57" si="45">+Q56*$C$4/1000</f>
        <v>0</v>
      </c>
      <c r="R57" s="2522">
        <f t="shared" si="45"/>
        <v>0</v>
      </c>
      <c r="S57" s="2522">
        <f t="shared" si="45"/>
        <v>0</v>
      </c>
      <c r="T57" s="2522">
        <f t="shared" si="45"/>
        <v>0</v>
      </c>
      <c r="U57" s="2522">
        <f t="shared" si="45"/>
        <v>0</v>
      </c>
      <c r="V57" s="2522">
        <f t="shared" si="45"/>
        <v>0</v>
      </c>
      <c r="W57" s="2522">
        <f t="shared" si="45"/>
        <v>0</v>
      </c>
      <c r="X57" s="2522">
        <f t="shared" si="45"/>
        <v>0</v>
      </c>
      <c r="Y57" s="2060" t="s">
        <v>1323</v>
      </c>
      <c r="Z57" s="2061"/>
      <c r="AA57" s="2431"/>
      <c r="AB57" s="2061"/>
      <c r="AC57" s="2505" t="s">
        <v>1380</v>
      </c>
      <c r="AD57" s="2373">
        <f t="shared" ref="AD57:AJ57" si="46">SUM(AD47:AD56)</f>
        <v>141269.6</v>
      </c>
      <c r="AE57" s="2373">
        <f t="shared" si="46"/>
        <v>131272.54199999999</v>
      </c>
      <c r="AF57" s="2373">
        <f t="shared" ref="AF57" si="47">SUM(AF47:AF56)</f>
        <v>131272.54199999999</v>
      </c>
      <c r="AG57" s="2373">
        <f t="shared" si="46"/>
        <v>131272.54199999999</v>
      </c>
      <c r="AH57" s="2373">
        <f t="shared" si="46"/>
        <v>131272.54199999999</v>
      </c>
      <c r="AI57" s="2373">
        <f t="shared" si="46"/>
        <v>131272.54199999999</v>
      </c>
      <c r="AJ57" s="2373">
        <f t="shared" si="46"/>
        <v>131272.54199999999</v>
      </c>
      <c r="AK57" s="2373">
        <f t="shared" ref="AK57" si="48">SUM(AK47:AK56)</f>
        <v>131272.54199999999</v>
      </c>
    </row>
    <row r="58" spans="1:37" ht="18" customHeight="1" x14ac:dyDescent="0.2">
      <c r="A58" s="2435"/>
      <c r="B58" s="2446" t="s">
        <v>1119</v>
      </c>
      <c r="C58" s="2501">
        <f>+'CO2 - Início'!E47</f>
        <v>6.5600000000000019E-2</v>
      </c>
      <c r="D58" s="2447">
        <f t="shared" si="40"/>
        <v>9577.6000000000022</v>
      </c>
      <c r="E58" s="2061"/>
      <c r="F58" s="2061"/>
      <c r="G58" s="2061"/>
      <c r="H58" s="2061"/>
      <c r="I58" s="2061"/>
      <c r="J58" s="2061"/>
      <c r="K58" s="2061"/>
      <c r="L58" s="2493"/>
      <c r="M58" s="2429"/>
      <c r="N58" s="2524" t="s">
        <v>1381</v>
      </c>
      <c r="O58" s="2512"/>
      <c r="P58" s="2513"/>
      <c r="Q58" s="2520">
        <f t="shared" ref="Q58:X58" si="49">+Q55+Q57</f>
        <v>26.220576426209178</v>
      </c>
      <c r="R58" s="2520">
        <f t="shared" si="49"/>
        <v>25.18790186897958</v>
      </c>
      <c r="S58" s="2520">
        <f t="shared" si="49"/>
        <v>25.18790186897958</v>
      </c>
      <c r="T58" s="2520">
        <f t="shared" si="49"/>
        <v>25.18790186897958</v>
      </c>
      <c r="U58" s="2520">
        <f t="shared" si="49"/>
        <v>25.18790186897958</v>
      </c>
      <c r="V58" s="2520">
        <f t="shared" si="49"/>
        <v>25.18790186897958</v>
      </c>
      <c r="W58" s="2520">
        <f t="shared" si="49"/>
        <v>25.18790186897958</v>
      </c>
      <c r="X58" s="2520">
        <f t="shared" si="49"/>
        <v>25.18790186897958</v>
      </c>
      <c r="Y58" s="2469" t="s">
        <v>1323</v>
      </c>
      <c r="Z58" s="2061"/>
      <c r="AA58" s="2431"/>
      <c r="AB58" s="2061"/>
      <c r="AC58" s="2525" t="s">
        <v>1382</v>
      </c>
      <c r="AD58" s="2526">
        <f t="shared" ref="AD58:AK58" si="50">+AD57+AD13</f>
        <v>146000</v>
      </c>
      <c r="AE58" s="2526">
        <f t="shared" si="50"/>
        <v>146000</v>
      </c>
      <c r="AF58" s="2526">
        <f t="shared" si="50"/>
        <v>146000</v>
      </c>
      <c r="AG58" s="2526">
        <f t="shared" si="50"/>
        <v>146000</v>
      </c>
      <c r="AH58" s="2526">
        <f t="shared" si="50"/>
        <v>146000</v>
      </c>
      <c r="AI58" s="2526">
        <f t="shared" si="50"/>
        <v>146000</v>
      </c>
      <c r="AJ58" s="2526">
        <f t="shared" si="50"/>
        <v>146000</v>
      </c>
      <c r="AK58" s="2526">
        <f t="shared" si="50"/>
        <v>146000</v>
      </c>
    </row>
    <row r="59" spans="1:37" ht="18" customHeight="1" x14ac:dyDescent="0.2">
      <c r="A59" s="2435"/>
      <c r="B59" s="2527" t="s">
        <v>1383</v>
      </c>
      <c r="C59" s="2528">
        <f>SUM(C46:C58)</f>
        <v>1.0000000000000002</v>
      </c>
      <c r="D59" s="2303">
        <f>SUM(D46:D58)</f>
        <v>146000</v>
      </c>
      <c r="E59" s="2061"/>
      <c r="F59" s="2061"/>
      <c r="G59" s="2061"/>
      <c r="H59" s="2061"/>
      <c r="I59" s="2061"/>
      <c r="J59" s="2061"/>
      <c r="K59" s="2061"/>
      <c r="L59" s="2493"/>
      <c r="M59" s="2429"/>
      <c r="N59" s="2061"/>
      <c r="O59" s="2061"/>
      <c r="P59" s="2061"/>
      <c r="Q59" s="2061"/>
      <c r="R59" s="2061"/>
      <c r="S59" s="2061"/>
      <c r="T59" s="2061"/>
      <c r="U59" s="2061"/>
      <c r="V59" s="2061"/>
      <c r="W59" s="2061"/>
      <c r="X59" s="2061"/>
      <c r="Y59" s="2061"/>
      <c r="Z59" s="2061"/>
      <c r="AA59" s="2431"/>
      <c r="AB59" s="2061"/>
      <c r="AC59" s="2529"/>
      <c r="AD59" s="2530" t="str">
        <f t="shared" ref="AD59:AK59" si="51">IF(AD58=$D$44,"correto","errado")</f>
        <v>correto</v>
      </c>
      <c r="AE59" s="2530" t="str">
        <f t="shared" si="51"/>
        <v>correto</v>
      </c>
      <c r="AF59" s="2530" t="str">
        <f t="shared" si="51"/>
        <v>correto</v>
      </c>
      <c r="AG59" s="2530" t="str">
        <f t="shared" si="51"/>
        <v>correto</v>
      </c>
      <c r="AH59" s="2530" t="str">
        <f t="shared" si="51"/>
        <v>correto</v>
      </c>
      <c r="AI59" s="2530" t="str">
        <f t="shared" si="51"/>
        <v>correto</v>
      </c>
      <c r="AJ59" s="2530" t="str">
        <f t="shared" si="51"/>
        <v>correto</v>
      </c>
      <c r="AK59" s="2530" t="str">
        <f t="shared" si="51"/>
        <v>correto</v>
      </c>
    </row>
    <row r="60" spans="1:37" ht="18" customHeight="1" x14ac:dyDescent="0.2">
      <c r="A60" s="2435"/>
      <c r="B60" s="2061"/>
      <c r="C60" s="2061"/>
      <c r="D60" s="2061"/>
      <c r="E60" s="2061"/>
      <c r="F60" s="2061"/>
      <c r="G60" s="2061"/>
      <c r="H60" s="2061"/>
      <c r="I60" s="2061"/>
      <c r="J60" s="2061"/>
      <c r="K60" s="2061"/>
      <c r="L60" s="2493"/>
      <c r="M60" s="2429"/>
      <c r="N60" s="2531" t="s">
        <v>1202</v>
      </c>
      <c r="O60" s="2532"/>
      <c r="P60" s="2533"/>
      <c r="Q60" s="2061"/>
      <c r="R60" s="2061"/>
      <c r="S60" s="2061"/>
      <c r="T60" s="2061"/>
      <c r="U60" s="2061"/>
      <c r="V60" s="2061"/>
      <c r="W60" s="2061"/>
      <c r="X60" s="2061"/>
      <c r="Y60" s="2061"/>
      <c r="Z60" s="2061"/>
      <c r="AA60" s="2431"/>
      <c r="AB60" s="2061"/>
      <c r="AC60" s="2534" t="s">
        <v>1252</v>
      </c>
      <c r="AD60" s="2469" t="s">
        <v>1316</v>
      </c>
      <c r="AE60" s="2060"/>
      <c r="AF60" s="2060"/>
      <c r="AG60" s="2060"/>
      <c r="AH60" s="2060"/>
      <c r="AI60" s="2060"/>
      <c r="AJ60" s="2060"/>
      <c r="AK60" s="2060"/>
    </row>
    <row r="61" spans="1:37" ht="18" customHeight="1" x14ac:dyDescent="0.2">
      <c r="A61" s="2435"/>
      <c r="B61" s="2527" t="s">
        <v>1384</v>
      </c>
      <c r="C61" s="2195"/>
      <c r="D61" s="2061"/>
      <c r="E61" s="2061"/>
      <c r="F61" s="2061"/>
      <c r="G61" s="2061"/>
      <c r="H61" s="2061"/>
      <c r="I61" s="2061"/>
      <c r="J61" s="2061"/>
      <c r="K61" s="2061"/>
      <c r="L61" s="2493"/>
      <c r="M61" s="2429"/>
      <c r="N61" s="2535" t="s">
        <v>1385</v>
      </c>
      <c r="O61" s="2536"/>
      <c r="P61" s="2537"/>
      <c r="Q61" s="2060"/>
      <c r="R61" s="2060"/>
      <c r="S61" s="2060"/>
      <c r="T61" s="2060"/>
      <c r="U61" s="2060"/>
      <c r="V61" s="2060"/>
      <c r="W61" s="2060"/>
      <c r="X61" s="2060"/>
      <c r="Y61" s="2060"/>
      <c r="Z61" s="2060"/>
      <c r="AA61" s="2431"/>
      <c r="AB61" s="2061"/>
      <c r="AC61" s="2446" t="str">
        <f>+AC47</f>
        <v>Resíduos dispersos</v>
      </c>
      <c r="AD61" s="2447">
        <v>0</v>
      </c>
      <c r="AE61" s="2447">
        <v>0</v>
      </c>
      <c r="AF61" s="2447">
        <v>0</v>
      </c>
      <c r="AG61" s="2447">
        <v>0</v>
      </c>
      <c r="AH61" s="2447">
        <v>0</v>
      </c>
      <c r="AI61" s="2447">
        <v>0</v>
      </c>
      <c r="AJ61" s="2447">
        <v>0</v>
      </c>
      <c r="AK61" s="2447">
        <v>0</v>
      </c>
    </row>
    <row r="62" spans="1:37" ht="18" customHeight="1" x14ac:dyDescent="0.2">
      <c r="A62" s="2435"/>
      <c r="B62" s="2446" t="s">
        <v>1386</v>
      </c>
      <c r="C62" s="2472">
        <f>+C46*C11+C47*C12+C48*C13+C49*C14+C50*C15+C51*C16+C52*C17+C53*C18+C54*C19+C55*C20+C56*C21+C57*C22+C58*C23</f>
        <v>0.27421050000000002</v>
      </c>
      <c r="D62" s="2060" t="s">
        <v>1305</v>
      </c>
      <c r="E62" s="2061"/>
      <c r="F62" s="2061"/>
      <c r="G62" s="2061"/>
      <c r="H62" s="2061"/>
      <c r="I62" s="2061"/>
      <c r="J62" s="2061"/>
      <c r="K62" s="2061"/>
      <c r="L62" s="2493"/>
      <c r="M62" s="2429"/>
      <c r="N62" s="2538" t="s">
        <v>1387</v>
      </c>
      <c r="O62" s="2539"/>
      <c r="P62" s="2537"/>
      <c r="Q62" s="2540">
        <v>0.35</v>
      </c>
      <c r="R62" s="2540">
        <v>0.35</v>
      </c>
      <c r="S62" s="2540">
        <v>0.35</v>
      </c>
      <c r="T62" s="2540">
        <v>0.35</v>
      </c>
      <c r="U62" s="2540">
        <v>0.35</v>
      </c>
      <c r="V62" s="2540">
        <v>0.35</v>
      </c>
      <c r="W62" s="2540">
        <v>0.35</v>
      </c>
      <c r="X62" s="2540">
        <v>0.35</v>
      </c>
      <c r="Y62" s="2060" t="s">
        <v>1329</v>
      </c>
      <c r="Z62" s="2061"/>
      <c r="AA62" s="2431"/>
      <c r="AB62" s="2061"/>
      <c r="AC62" s="2446" t="str">
        <f>+AC48</f>
        <v>Queima a céu aberto</v>
      </c>
      <c r="AD62" s="2447">
        <f>+AD48*Q20/1000</f>
        <v>0</v>
      </c>
      <c r="AE62" s="2447">
        <f>+AE48*R20/1000</f>
        <v>0</v>
      </c>
      <c r="AF62" s="2447">
        <f>+AF48*T20/1000</f>
        <v>0</v>
      </c>
      <c r="AG62" s="2447">
        <f>+AG48*U20/1000</f>
        <v>0</v>
      </c>
      <c r="AH62" s="2447">
        <f>+AH48*U20/1000</f>
        <v>0</v>
      </c>
      <c r="AI62" s="2447">
        <f>+AI48*V20/1000</f>
        <v>0</v>
      </c>
      <c r="AJ62" s="2447">
        <f>+AJ48*W20/1000</f>
        <v>0</v>
      </c>
      <c r="AK62" s="2447">
        <f>+AK48*X20/1000</f>
        <v>0</v>
      </c>
    </row>
    <row r="63" spans="1:37" ht="18" customHeight="1" x14ac:dyDescent="0.2">
      <c r="A63" s="2435"/>
      <c r="B63" s="2446" t="s">
        <v>1388</v>
      </c>
      <c r="C63" s="2472">
        <f>+C46*C11*D11+C47*C12*D12+C48*C13*D13+C49*C14*D14+C50*C15*D15+C51*C16*D16+C52*C17*D17+C53*C18*D18+C54*C19*D19+C55*C20*D20+C56*C21*D21+C57*C22*D22+C58*C23*D23</f>
        <v>0.10932450000000002</v>
      </c>
      <c r="D63" s="2060" t="s">
        <v>1305</v>
      </c>
      <c r="E63" s="2061"/>
      <c r="F63" s="2061"/>
      <c r="G63" s="2061"/>
      <c r="H63" s="2061"/>
      <c r="I63" s="2061"/>
      <c r="J63" s="2061"/>
      <c r="K63" s="2061"/>
      <c r="L63" s="2493"/>
      <c r="M63" s="2429"/>
      <c r="N63" s="2538" t="s">
        <v>1389</v>
      </c>
      <c r="O63" s="2532"/>
      <c r="P63" s="2533"/>
      <c r="Q63" s="2541">
        <f t="shared" ref="Q63:X63" si="52">0.82*28+0.045*265</f>
        <v>34.884999999999998</v>
      </c>
      <c r="R63" s="2541">
        <f t="shared" si="52"/>
        <v>34.884999999999998</v>
      </c>
      <c r="S63" s="2541">
        <f t="shared" si="52"/>
        <v>34.884999999999998</v>
      </c>
      <c r="T63" s="2541">
        <f t="shared" si="52"/>
        <v>34.884999999999998</v>
      </c>
      <c r="U63" s="2541">
        <f t="shared" si="52"/>
        <v>34.884999999999998</v>
      </c>
      <c r="V63" s="2541">
        <f t="shared" si="52"/>
        <v>34.884999999999998</v>
      </c>
      <c r="W63" s="2541">
        <f t="shared" si="52"/>
        <v>34.884999999999998</v>
      </c>
      <c r="X63" s="2541">
        <f t="shared" si="52"/>
        <v>34.884999999999998</v>
      </c>
      <c r="Y63" s="2060" t="s">
        <v>1323</v>
      </c>
      <c r="Z63" s="2060"/>
      <c r="AA63" s="2431"/>
      <c r="AB63" s="2061"/>
      <c r="AC63" s="2446" t="str">
        <f>+AC49</f>
        <v>Lixão não controlado</v>
      </c>
      <c r="AD63" s="2447">
        <f>+AD49*Q30/1000*0.4</f>
        <v>0</v>
      </c>
      <c r="AE63" s="2447">
        <f>+AE49*R30/1000*0.4</f>
        <v>0</v>
      </c>
      <c r="AF63" s="2447">
        <f>+AF49*T30/1000*0.4</f>
        <v>0</v>
      </c>
      <c r="AG63" s="2447">
        <f>+AG49*U30/1000*0.4</f>
        <v>0</v>
      </c>
      <c r="AH63" s="2447">
        <f>+AH49*U30/1000*0.4</f>
        <v>0</v>
      </c>
      <c r="AI63" s="2447">
        <f>+AI49*V30/1000*0.4</f>
        <v>0</v>
      </c>
      <c r="AJ63" s="2447">
        <f>+AJ49*W30/1000*0.4</f>
        <v>0</v>
      </c>
      <c r="AK63" s="2447">
        <f>+AK49*X30/1000*0.4</f>
        <v>0</v>
      </c>
    </row>
    <row r="64" spans="1:37" ht="18" customHeight="1" x14ac:dyDescent="0.2">
      <c r="A64" s="2435"/>
      <c r="B64" s="2446" t="s">
        <v>1390</v>
      </c>
      <c r="C64" s="2463">
        <f>+C62-C63</f>
        <v>0.164886</v>
      </c>
      <c r="D64" s="2060" t="s">
        <v>1305</v>
      </c>
      <c r="E64" s="2061"/>
      <c r="F64" s="2061"/>
      <c r="G64" s="2061"/>
      <c r="H64" s="2061"/>
      <c r="I64" s="2061"/>
      <c r="J64" s="2061"/>
      <c r="K64" s="2061"/>
      <c r="L64" s="2493"/>
      <c r="M64" s="2429"/>
      <c r="N64" s="2538" t="s">
        <v>1391</v>
      </c>
      <c r="O64" s="2539"/>
      <c r="P64" s="2537"/>
      <c r="Q64" s="2542">
        <v>5</v>
      </c>
      <c r="R64" s="2542">
        <v>5</v>
      </c>
      <c r="S64" s="2542">
        <v>5</v>
      </c>
      <c r="T64" s="2542">
        <v>5</v>
      </c>
      <c r="U64" s="2542">
        <v>5</v>
      </c>
      <c r="V64" s="2542">
        <v>5</v>
      </c>
      <c r="W64" s="2542">
        <v>5</v>
      </c>
      <c r="X64" s="2542">
        <v>5</v>
      </c>
      <c r="Y64" s="2060" t="s">
        <v>1392</v>
      </c>
      <c r="Z64" s="2061"/>
      <c r="AA64" s="2431"/>
      <c r="AB64" s="2061"/>
      <c r="AC64" s="2446" t="str">
        <f>+AC50</f>
        <v>Aterro controlado</v>
      </c>
      <c r="AD64" s="2447">
        <f>+AD50*Q30/1000*0.8</f>
        <v>0</v>
      </c>
      <c r="AE64" s="2447">
        <f>+AE50*R30/1000*0.8</f>
        <v>0</v>
      </c>
      <c r="AF64" s="2447">
        <f>+AF50*T30/1000*0.8</f>
        <v>0</v>
      </c>
      <c r="AG64" s="2447">
        <f>+AG50*U30/1000*0.8</f>
        <v>0</v>
      </c>
      <c r="AH64" s="2447">
        <f>+AH50*U30/1000*0.8</f>
        <v>0</v>
      </c>
      <c r="AI64" s="2447">
        <f>+AI50*V30/1000*0.8</f>
        <v>52922.54492561012</v>
      </c>
      <c r="AJ64" s="2447">
        <f>+AJ50*W30/1000*0.8</f>
        <v>26461.27246280506</v>
      </c>
      <c r="AK64" s="2447">
        <f>+AK50*X30/1000*0.8</f>
        <v>26461.27246280506</v>
      </c>
    </row>
    <row r="65" spans="1:37" ht="18" customHeight="1" x14ac:dyDescent="0.2">
      <c r="A65" s="2435"/>
      <c r="B65" s="2061"/>
      <c r="C65" s="2061"/>
      <c r="D65" s="2061"/>
      <c r="E65" s="2061"/>
      <c r="F65" s="2061"/>
      <c r="G65" s="2061"/>
      <c r="H65" s="2061"/>
      <c r="I65" s="2061"/>
      <c r="J65" s="2061"/>
      <c r="K65" s="2061"/>
      <c r="L65" s="2493"/>
      <c r="M65" s="2429"/>
      <c r="N65" s="2538" t="s">
        <v>1393</v>
      </c>
      <c r="O65" s="2543"/>
      <c r="P65" s="2537"/>
      <c r="Q65" s="2542">
        <f>+Q64*$C$3/1000</f>
        <v>0.3795</v>
      </c>
      <c r="R65" s="2542">
        <f t="shared" ref="R65:X65" si="53">+R64*$C$3/1000</f>
        <v>0.3795</v>
      </c>
      <c r="S65" s="2542">
        <f t="shared" si="53"/>
        <v>0.3795</v>
      </c>
      <c r="T65" s="2542">
        <f t="shared" si="53"/>
        <v>0.3795</v>
      </c>
      <c r="U65" s="2542">
        <f t="shared" si="53"/>
        <v>0.3795</v>
      </c>
      <c r="V65" s="2542">
        <f t="shared" si="53"/>
        <v>0.3795</v>
      </c>
      <c r="W65" s="2542">
        <f t="shared" si="53"/>
        <v>0.3795</v>
      </c>
      <c r="X65" s="2542">
        <f t="shared" si="53"/>
        <v>0.3795</v>
      </c>
      <c r="Y65" s="2060" t="s">
        <v>1323</v>
      </c>
      <c r="Z65" s="2060"/>
      <c r="AA65" s="2431"/>
      <c r="AB65" s="2061"/>
      <c r="AC65" s="2446" t="str">
        <f>+AC51</f>
        <v>Aterro sanitário</v>
      </c>
      <c r="AD65" s="2447">
        <f>+AD51*Q46/1000</f>
        <v>167352.43851908133</v>
      </c>
      <c r="AE65" s="2447">
        <f>+AE51*R46/1000</f>
        <v>53980.946707938478</v>
      </c>
      <c r="AF65" s="2447">
        <f>+AF51*T46/1000</f>
        <v>53980.946707938478</v>
      </c>
      <c r="AG65" s="2447">
        <f>+AG51*U46/1000</f>
        <v>53980.946707938478</v>
      </c>
      <c r="AH65" s="2447">
        <f>+AH51*U46/1000</f>
        <v>57836.728615648368</v>
      </c>
      <c r="AI65" s="2447">
        <f>+AI51*V46/1000</f>
        <v>0</v>
      </c>
      <c r="AJ65" s="2447">
        <f>+AJ51*W46/1000</f>
        <v>0</v>
      </c>
      <c r="AK65" s="2447">
        <f>+AK51*X46/1000</f>
        <v>0</v>
      </c>
    </row>
    <row r="66" spans="1:37" ht="18" customHeight="1" x14ac:dyDescent="0.2">
      <c r="A66" s="2061"/>
      <c r="B66" s="2527" t="s">
        <v>1394</v>
      </c>
      <c r="C66" s="2195"/>
      <c r="D66" s="2061"/>
      <c r="E66" s="2061"/>
      <c r="F66" s="2061"/>
      <c r="G66" s="2061"/>
      <c r="H66" s="2061"/>
      <c r="I66" s="2061"/>
      <c r="J66" s="2061"/>
      <c r="K66" s="2061"/>
      <c r="L66" s="2061"/>
      <c r="M66" s="2429"/>
      <c r="N66" s="2538" t="s">
        <v>1395</v>
      </c>
      <c r="O66" s="2539"/>
      <c r="P66" s="2537"/>
      <c r="Q66" s="2542">
        <f>Q63+Q65</f>
        <v>35.264499999999998</v>
      </c>
      <c r="R66" s="2542">
        <f t="shared" ref="R66:X66" si="54">R63+R65</f>
        <v>35.264499999999998</v>
      </c>
      <c r="S66" s="2542">
        <f t="shared" si="54"/>
        <v>35.264499999999998</v>
      </c>
      <c r="T66" s="2542">
        <f t="shared" si="54"/>
        <v>35.264499999999998</v>
      </c>
      <c r="U66" s="2542">
        <f t="shared" si="54"/>
        <v>35.264499999999998</v>
      </c>
      <c r="V66" s="2542">
        <f t="shared" si="54"/>
        <v>35.264499999999998</v>
      </c>
      <c r="W66" s="2542">
        <f t="shared" si="54"/>
        <v>35.264499999999998</v>
      </c>
      <c r="X66" s="2542">
        <f t="shared" si="54"/>
        <v>35.264499999999998</v>
      </c>
      <c r="Y66" s="2060" t="s">
        <v>1323</v>
      </c>
      <c r="Z66" s="2060"/>
      <c r="AA66" s="2431"/>
      <c r="AB66" s="2061"/>
      <c r="AC66" s="2446" t="str">
        <f t="shared" ref="AC66:AC69" si="55">+AC52</f>
        <v>Trat. biol + cobertura at.</v>
      </c>
      <c r="AD66" s="2447">
        <f>+AD52*Q86/1000</f>
        <v>0</v>
      </c>
      <c r="AE66" s="2447">
        <f>+AE52*R86/1000</f>
        <v>0</v>
      </c>
      <c r="AF66" s="2447">
        <f>+AF52*T86/1000</f>
        <v>0</v>
      </c>
      <c r="AG66" s="2447">
        <f>+AG52*U86/1000</f>
        <v>0</v>
      </c>
      <c r="AH66" s="2447">
        <f>+AH52*U86/1000</f>
        <v>2893.2878483493746</v>
      </c>
      <c r="AI66" s="2447">
        <f>+AI52*V86/1000</f>
        <v>0</v>
      </c>
      <c r="AJ66" s="2447">
        <f>+AJ52*W86/1000</f>
        <v>0</v>
      </c>
      <c r="AK66" s="2447">
        <f>+AK52*X86/1000</f>
        <v>0</v>
      </c>
    </row>
    <row r="67" spans="1:37" ht="18" customHeight="1" x14ac:dyDescent="0.2">
      <c r="A67" s="2061"/>
      <c r="B67" s="2446" t="s">
        <v>1396</v>
      </c>
      <c r="C67" s="2544">
        <f>+((C46+C47)*$C$29+C48*$C$31+C49*$C$32+C50*$C$33+(C51+C52)*$C$34+(C53+C54+C55)*$C$35+C56*$C$36+C57*$C$37+C58*$C$38)*'CO2 - Início'!$E$55</f>
        <v>0</v>
      </c>
      <c r="D67" s="2060" t="s">
        <v>1397</v>
      </c>
      <c r="E67" s="2061"/>
      <c r="F67" s="2061"/>
      <c r="G67" s="2061"/>
      <c r="H67" s="2061"/>
      <c r="I67" s="2061"/>
      <c r="J67" s="2061"/>
      <c r="K67" s="2061"/>
      <c r="L67" s="2061"/>
      <c r="M67" s="2429"/>
      <c r="N67" s="2535" t="s">
        <v>1398</v>
      </c>
      <c r="O67" s="2539"/>
      <c r="P67" s="2537"/>
      <c r="Q67" s="2545"/>
      <c r="R67" s="2545"/>
      <c r="S67" s="2545"/>
      <c r="T67" s="2545"/>
      <c r="U67" s="2545"/>
      <c r="V67" s="2545"/>
      <c r="W67" s="2545"/>
      <c r="X67" s="2545"/>
      <c r="Y67" s="2060"/>
      <c r="Z67" s="2060"/>
      <c r="AA67" s="2431"/>
      <c r="AB67" s="2061"/>
      <c r="AC67" s="2446" t="str">
        <f t="shared" si="55"/>
        <v>CDR seco + rejeito aterro</v>
      </c>
      <c r="AD67" s="2447">
        <f>+AD53*Q96/1000</f>
        <v>0</v>
      </c>
      <c r="AE67" s="2447">
        <f>+AE53*R96/1000</f>
        <v>9878.871077030024</v>
      </c>
      <c r="AF67" s="2447">
        <f>+AF53*T96/1000</f>
        <v>9878.871077030024</v>
      </c>
      <c r="AG67" s="2447">
        <f>+AG53*U96/1000</f>
        <v>9878.871077030024</v>
      </c>
      <c r="AH67" s="2447">
        <f>+AH53*U96/1000</f>
        <v>0</v>
      </c>
      <c r="AI67" s="2447">
        <f>+AI53*V96/1000</f>
        <v>0</v>
      </c>
      <c r="AJ67" s="2447">
        <f>+AJ53*W96/1000</f>
        <v>0</v>
      </c>
      <c r="AK67" s="2447">
        <f>+AK53*X96/1000</f>
        <v>0</v>
      </c>
    </row>
    <row r="68" spans="1:37" ht="18" customHeight="1" x14ac:dyDescent="0.2">
      <c r="A68" s="2061"/>
      <c r="B68" s="2446" t="s">
        <v>1399</v>
      </c>
      <c r="C68" s="2444">
        <f>+((C46+C47)*$C$30+C48*$C$31+C49*$C$32+C50*$C$33+C51*$C$34+(C53+C54+C55)*$C$35+C56*$C$36+C57*$C$37+C58*$C$39)*'CO2 - Início'!$E$56</f>
        <v>8.5983600000000013</v>
      </c>
      <c r="D68" s="2060" t="s">
        <v>1397</v>
      </c>
      <c r="E68" s="2061"/>
      <c r="F68" s="2061"/>
      <c r="G68" s="2061"/>
      <c r="H68" s="2061"/>
      <c r="I68" s="2061"/>
      <c r="J68" s="2061"/>
      <c r="K68" s="2061"/>
      <c r="L68" s="2061"/>
      <c r="M68" s="2429"/>
      <c r="N68" s="2538" t="s">
        <v>1400</v>
      </c>
      <c r="O68" s="2539"/>
      <c r="P68" s="2537"/>
      <c r="Q68" s="2540">
        <f>Q62</f>
        <v>0.35</v>
      </c>
      <c r="R68" s="2540">
        <f t="shared" ref="R68:X68" si="56">R62</f>
        <v>0.35</v>
      </c>
      <c r="S68" s="2540">
        <f t="shared" si="56"/>
        <v>0.35</v>
      </c>
      <c r="T68" s="2540">
        <f t="shared" si="56"/>
        <v>0.35</v>
      </c>
      <c r="U68" s="2540">
        <f t="shared" si="56"/>
        <v>0.35</v>
      </c>
      <c r="V68" s="2540">
        <f t="shared" si="56"/>
        <v>0.35</v>
      </c>
      <c r="W68" s="2540">
        <f t="shared" si="56"/>
        <v>0.35</v>
      </c>
      <c r="X68" s="2540">
        <f t="shared" si="56"/>
        <v>0.35</v>
      </c>
      <c r="Y68" s="2060" t="s">
        <v>1329</v>
      </c>
      <c r="Z68" s="2060"/>
      <c r="AA68" s="2431"/>
      <c r="AB68" s="2061"/>
      <c r="AC68" s="2446" t="str">
        <f t="shared" si="55"/>
        <v>CDR seco + trat. biol.</v>
      </c>
      <c r="AD68" s="2447">
        <f>+AD54*Q131/1000</f>
        <v>0</v>
      </c>
      <c r="AE68" s="2447">
        <f>+AE54*R131/1000</f>
        <v>7289.5189941719445</v>
      </c>
      <c r="AF68" s="2447">
        <f>+AF54*T131/1000</f>
        <v>7289.5189941719445</v>
      </c>
      <c r="AG68" s="2447">
        <f>+AG54*U131/1000</f>
        <v>6937.3741446002377</v>
      </c>
      <c r="AH68" s="2447">
        <f>+AH54*U131/1000</f>
        <v>0</v>
      </c>
      <c r="AI68" s="2447">
        <f>+AI54*V131/1000</f>
        <v>0</v>
      </c>
      <c r="AJ68" s="2447">
        <f>+AJ54*W131/1000</f>
        <v>0</v>
      </c>
      <c r="AK68" s="2447">
        <f>+AK54*X131/1000</f>
        <v>0</v>
      </c>
    </row>
    <row r="69" spans="1:37" ht="18" customHeight="1" x14ac:dyDescent="0.2">
      <c r="A69" s="2061"/>
      <c r="B69" s="2061"/>
      <c r="C69" s="2061"/>
      <c r="D69" s="2061"/>
      <c r="E69" s="2061"/>
      <c r="F69" s="2061"/>
      <c r="G69" s="2061"/>
      <c r="H69" s="2061"/>
      <c r="I69" s="2061"/>
      <c r="J69" s="2061"/>
      <c r="K69" s="2061"/>
      <c r="L69" s="2061"/>
      <c r="M69" s="2429"/>
      <c r="N69" s="2538" t="s">
        <v>1401</v>
      </c>
      <c r="O69" s="2539"/>
      <c r="P69" s="2537"/>
      <c r="Q69" s="2546">
        <f>$Q$24*Q68*1868</f>
        <v>107.78431797147582</v>
      </c>
      <c r="R69" s="2546">
        <f>$R$24*R68*1868</f>
        <v>106.89587295947733</v>
      </c>
      <c r="S69" s="2546">
        <f>$R$24*S68*1868</f>
        <v>106.89587295947733</v>
      </c>
      <c r="T69" s="2546">
        <f>$R$24*T68*1868</f>
        <v>106.89587295947733</v>
      </c>
      <c r="U69" s="2546">
        <f>$U$24*U68*1868</f>
        <v>106.89587295947733</v>
      </c>
      <c r="V69" s="2546">
        <f>$V$24*V68*1868</f>
        <v>106.89587295947733</v>
      </c>
      <c r="W69" s="2546">
        <f>$V$24*W68*1868</f>
        <v>106.89587295947733</v>
      </c>
      <c r="X69" s="2546">
        <f>$V$24*X68*1868</f>
        <v>106.89587295947733</v>
      </c>
      <c r="Y69" s="2060" t="s">
        <v>1402</v>
      </c>
      <c r="Z69" s="2060"/>
      <c r="AA69" s="2431"/>
      <c r="AB69" s="2060"/>
      <c r="AC69" s="2446" t="str">
        <f t="shared" si="55"/>
        <v>CDR seco + CDR org.</v>
      </c>
      <c r="AD69" s="2447">
        <f>+AD55*Q151/1000</f>
        <v>0</v>
      </c>
      <c r="AE69" s="2447">
        <f>+AE55*R151/1000</f>
        <v>0</v>
      </c>
      <c r="AF69" s="2447">
        <f>+AF55*T151/1000</f>
        <v>0</v>
      </c>
      <c r="AG69" s="2447">
        <f>+AG55*U151/1000</f>
        <v>0</v>
      </c>
      <c r="AH69" s="2447">
        <f>+AH55*U151/1000</f>
        <v>0</v>
      </c>
      <c r="AI69" s="2447">
        <f>+AI55*V151/1000</f>
        <v>14297.711968001611</v>
      </c>
      <c r="AJ69" s="2447">
        <f>+AJ55*W151/1000</f>
        <v>0</v>
      </c>
      <c r="AK69" s="2447">
        <f>+AK55*X151/1000</f>
        <v>0</v>
      </c>
    </row>
    <row r="70" spans="1:37" ht="18" customHeight="1" x14ac:dyDescent="0.2">
      <c r="A70" s="2425" t="s">
        <v>1403</v>
      </c>
      <c r="B70" s="2426"/>
      <c r="C70" s="2426"/>
      <c r="D70" s="2426"/>
      <c r="E70" s="2426"/>
      <c r="F70" s="2426"/>
      <c r="G70" s="2426"/>
      <c r="H70" s="2426"/>
      <c r="I70" s="2426"/>
      <c r="J70" s="2426"/>
      <c r="K70" s="2426"/>
      <c r="L70" s="2453"/>
      <c r="M70" s="2429"/>
      <c r="N70" s="2538" t="s">
        <v>1404</v>
      </c>
      <c r="O70" s="2539"/>
      <c r="P70" s="2537"/>
      <c r="Q70" s="2540">
        <v>0.6</v>
      </c>
      <c r="R70" s="2540">
        <v>0.6</v>
      </c>
      <c r="S70" s="2540">
        <v>0.6</v>
      </c>
      <c r="T70" s="2540">
        <v>0.6</v>
      </c>
      <c r="U70" s="2540">
        <v>0.6</v>
      </c>
      <c r="V70" s="2540">
        <v>0.6</v>
      </c>
      <c r="W70" s="2540">
        <v>0.6</v>
      </c>
      <c r="X70" s="2540">
        <v>0.6</v>
      </c>
      <c r="Y70" s="2060" t="s">
        <v>1405</v>
      </c>
      <c r="Z70" s="2060"/>
      <c r="AA70" s="2431"/>
      <c r="AB70" s="2061"/>
      <c r="AC70" s="2446" t="str">
        <f>+AC56</f>
        <v>Incineração</v>
      </c>
      <c r="AD70" s="2447">
        <f>+AD56*Q52/1000</f>
        <v>0</v>
      </c>
      <c r="AE70" s="2447">
        <f>+AE56*R52/1000</f>
        <v>0</v>
      </c>
      <c r="AF70" s="2447">
        <f>+AF56*T52/1000</f>
        <v>0</v>
      </c>
      <c r="AG70" s="2447">
        <f>+AG56*U52/1000</f>
        <v>0</v>
      </c>
      <c r="AH70" s="2447">
        <f>+AH56*U52/1000</f>
        <v>0</v>
      </c>
      <c r="AI70" s="2447">
        <f>+AI56*V52/1000</f>
        <v>0</v>
      </c>
      <c r="AJ70" s="2447">
        <f>+AJ56*W52/1000</f>
        <v>39528.245484926003</v>
      </c>
      <c r="AK70" s="2447">
        <f>+AK56*X52/1000</f>
        <v>39528.245484926003</v>
      </c>
    </row>
    <row r="71" spans="1:37" ht="18" customHeight="1" x14ac:dyDescent="0.2">
      <c r="A71" s="2435"/>
      <c r="B71" s="2061"/>
      <c r="C71" s="2061"/>
      <c r="D71" s="2061"/>
      <c r="E71" s="2061"/>
      <c r="F71" s="2061"/>
      <c r="G71" s="2061"/>
      <c r="H71" s="2061"/>
      <c r="I71" s="2061"/>
      <c r="J71" s="2061"/>
      <c r="K71" s="2061"/>
      <c r="L71" s="2493"/>
      <c r="M71" s="2429"/>
      <c r="N71" s="2538" t="s">
        <v>1406</v>
      </c>
      <c r="O71" s="2539"/>
      <c r="P71" s="2537"/>
      <c r="Q71" s="2542">
        <f>Q69*'CO2 - Destinação'!$E$46</f>
        <v>0</v>
      </c>
      <c r="R71" s="2542">
        <f>R69*'CO2 - Destinação'!$G$46</f>
        <v>0</v>
      </c>
      <c r="S71" s="2542">
        <f>S69*'CO2 - Destinação'!$H$46</f>
        <v>0</v>
      </c>
      <c r="T71" s="2542">
        <f>T69*'CO2 - Destinação'!$I$46</f>
        <v>0</v>
      </c>
      <c r="U71" s="2542">
        <f>U69*'CO2 - Destinação'!$J$46</f>
        <v>0</v>
      </c>
      <c r="V71" s="2542">
        <f>V69*'CO2 - Destinação'!$K$46</f>
        <v>0</v>
      </c>
      <c r="W71" s="2542">
        <f>W69*'CO2 - Destinação'!$K$46</f>
        <v>0</v>
      </c>
      <c r="X71" s="2542">
        <f>X69*'CO2 - Destinação'!$M$46</f>
        <v>0</v>
      </c>
      <c r="Y71" s="2060" t="s">
        <v>1402</v>
      </c>
      <c r="Z71" s="2060"/>
      <c r="AA71" s="2431"/>
      <c r="AB71" s="2061"/>
      <c r="AC71" s="2534" t="s">
        <v>1253</v>
      </c>
      <c r="AD71" s="2469" t="s">
        <v>1316</v>
      </c>
      <c r="AE71" s="2060"/>
      <c r="AF71" s="2060"/>
      <c r="AG71" s="2060"/>
      <c r="AH71" s="2060"/>
      <c r="AI71" s="2060"/>
      <c r="AJ71" s="2060"/>
      <c r="AK71" s="2060"/>
    </row>
    <row r="72" spans="1:37" ht="18" customHeight="1" x14ac:dyDescent="0.2">
      <c r="A72" s="2435"/>
      <c r="B72" s="2527" t="s">
        <v>1407</v>
      </c>
      <c r="C72" s="2195"/>
      <c r="D72" s="2075" t="str">
        <f>+'CO2 - Reciclagem'!E8</f>
        <v>Cenário-Base</v>
      </c>
      <c r="E72" s="2075" t="str">
        <f>+'CO2 - Reciclagem'!G8</f>
        <v>Biodigestão RT1A + CDR TM</v>
      </c>
      <c r="F72" s="2075" t="str">
        <f>+'CO2 - Reciclagem'!H8</f>
        <v>Biodigestão RT1B + CDR TM</v>
      </c>
      <c r="G72" s="2075" t="str">
        <f>+'CO2 - Reciclagem'!I8</f>
        <v>Biodigestão RT1C + CDR TM</v>
      </c>
      <c r="H72" s="2075" t="str">
        <f>+'CO2 - Reciclagem'!J8</f>
        <v>Compostagem + CDR TM</v>
      </c>
      <c r="I72" s="2075" t="str">
        <f>+'CO2 - Reciclagem'!K8</f>
        <v xml:space="preserve">Biosecagem + CDR TMB </v>
      </c>
      <c r="J72" s="2075" t="str">
        <f>+'CO2 - Reciclagem'!L8</f>
        <v>Incineração Mass Burning</v>
      </c>
      <c r="K72" s="2075" t="str">
        <f>+'CO2 - Reciclagem'!M8</f>
        <v>Incineração Mass Burn. Descentralizada</v>
      </c>
      <c r="L72" s="2493"/>
      <c r="M72" s="2429"/>
      <c r="N72" s="2538" t="s">
        <v>1408</v>
      </c>
      <c r="O72" s="2539"/>
      <c r="P72" s="2537"/>
      <c r="Q72" s="2542">
        <f>Q69*'CO2 - Destinação'!$E$47</f>
        <v>0</v>
      </c>
      <c r="R72" s="2542">
        <f>R69*'CO2 - Destinação'!$G$47</f>
        <v>0</v>
      </c>
      <c r="S72" s="2542">
        <f>S69*'CO2 - Destinação'!$H$47</f>
        <v>0</v>
      </c>
      <c r="T72" s="2542">
        <f>T69*'CO2 - Destinação'!$I$47</f>
        <v>0</v>
      </c>
      <c r="U72" s="2542">
        <f>U69*'CO2 - Destinação'!$J$47</f>
        <v>0</v>
      </c>
      <c r="V72" s="2542">
        <f>V69*'CO2 - Destinação'!$K$47</f>
        <v>0</v>
      </c>
      <c r="W72" s="2542">
        <f>W69*'CO2 - Destinação'!$K$47</f>
        <v>0</v>
      </c>
      <c r="X72" s="2542">
        <f>X69*'CO2 - Destinação'!$M$47</f>
        <v>0</v>
      </c>
      <c r="Y72" s="2060" t="s">
        <v>1402</v>
      </c>
      <c r="Z72" s="2060"/>
      <c r="AA72" s="2431"/>
      <c r="AB72" s="2061"/>
      <c r="AC72" s="2446" t="str">
        <f>+AC47</f>
        <v>Resíduos dispersos</v>
      </c>
      <c r="AD72" s="2447">
        <v>0</v>
      </c>
      <c r="AE72" s="2447">
        <v>0</v>
      </c>
      <c r="AF72" s="2447">
        <v>0</v>
      </c>
      <c r="AG72" s="2447">
        <v>0</v>
      </c>
      <c r="AH72" s="2447">
        <v>0</v>
      </c>
      <c r="AI72" s="2447">
        <v>0</v>
      </c>
      <c r="AJ72" s="2447">
        <v>0</v>
      </c>
      <c r="AK72" s="2447">
        <v>0</v>
      </c>
    </row>
    <row r="73" spans="1:37" ht="18" customHeight="1" x14ac:dyDescent="0.2">
      <c r="A73" s="2435"/>
      <c r="B73" s="2547" t="s">
        <v>1108</v>
      </c>
      <c r="C73" s="2470"/>
      <c r="D73" s="2548">
        <f>+$D$46*'CO2 - Reciclagem'!E24</f>
        <v>0</v>
      </c>
      <c r="E73" s="2548">
        <f>+$D$46*'CO2 - Reciclagem'!G24</f>
        <v>0</v>
      </c>
      <c r="F73" s="2548">
        <f>+$D$46*'CO2 - Reciclagem'!H24</f>
        <v>0</v>
      </c>
      <c r="G73" s="2548">
        <f>+$D$46*'CO2 - Reciclagem'!I24</f>
        <v>0</v>
      </c>
      <c r="H73" s="2548">
        <f>+$D$46*'CO2 - Reciclagem'!J24</f>
        <v>0</v>
      </c>
      <c r="I73" s="2548">
        <f>+$D$46*'CO2 - Reciclagem'!K24</f>
        <v>0</v>
      </c>
      <c r="J73" s="2548">
        <f>+$D$46*'CO2 - Reciclagem'!L24</f>
        <v>0</v>
      </c>
      <c r="K73" s="2548">
        <f>+$D$46*'CO2 - Reciclagem'!M24</f>
        <v>0</v>
      </c>
      <c r="L73" s="2437" t="s">
        <v>1087</v>
      </c>
      <c r="M73" s="2429"/>
      <c r="N73" s="2538" t="s">
        <v>1409</v>
      </c>
      <c r="O73" s="2539"/>
      <c r="P73" s="2537"/>
      <c r="Q73" s="2542">
        <f t="shared" ref="Q73:X73" si="57">+Q71*Q70*10*$R$12</f>
        <v>0</v>
      </c>
      <c r="R73" s="2542">
        <f t="shared" si="57"/>
        <v>0</v>
      </c>
      <c r="S73" s="2542">
        <f t="shared" si="57"/>
        <v>0</v>
      </c>
      <c r="T73" s="2542">
        <f t="shared" si="57"/>
        <v>0</v>
      </c>
      <c r="U73" s="2542">
        <f t="shared" si="57"/>
        <v>0</v>
      </c>
      <c r="V73" s="2542">
        <f t="shared" si="57"/>
        <v>0</v>
      </c>
      <c r="W73" s="2542">
        <f t="shared" si="57"/>
        <v>0</v>
      </c>
      <c r="X73" s="2542">
        <f t="shared" si="57"/>
        <v>0</v>
      </c>
      <c r="Y73" s="2060" t="s">
        <v>1392</v>
      </c>
      <c r="Z73" s="2060"/>
      <c r="AA73" s="2431"/>
      <c r="AB73" s="2061"/>
      <c r="AC73" s="2446" t="str">
        <f>+AC48</f>
        <v>Queima a céu aberto</v>
      </c>
      <c r="AD73" s="2447">
        <v>0</v>
      </c>
      <c r="AE73" s="2447">
        <v>0</v>
      </c>
      <c r="AF73" s="2447">
        <v>0</v>
      </c>
      <c r="AG73" s="2447">
        <v>0</v>
      </c>
      <c r="AH73" s="2447">
        <v>0</v>
      </c>
      <c r="AI73" s="2447">
        <v>0</v>
      </c>
      <c r="AJ73" s="2447">
        <v>0</v>
      </c>
      <c r="AK73" s="2447">
        <v>0</v>
      </c>
    </row>
    <row r="74" spans="1:37" ht="18" customHeight="1" x14ac:dyDescent="0.2">
      <c r="A74" s="2435"/>
      <c r="B74" s="2547" t="s">
        <v>1109</v>
      </c>
      <c r="C74" s="2470"/>
      <c r="D74" s="2548">
        <f>+$D$47*'CO2 - Reciclagem'!E25</f>
        <v>0</v>
      </c>
      <c r="E74" s="2548">
        <f>+$D$47*'CO2 - Reciclagem'!G25</f>
        <v>0</v>
      </c>
      <c r="F74" s="2548">
        <f>+$D$47*'CO2 - Reciclagem'!H25</f>
        <v>0</v>
      </c>
      <c r="G74" s="2548">
        <f>+$D$47*'CO2 - Reciclagem'!I25</f>
        <v>0</v>
      </c>
      <c r="H74" s="2548">
        <f>+$D$47*'CO2 - Reciclagem'!J25</f>
        <v>0</v>
      </c>
      <c r="I74" s="2548">
        <f>+$D$47*'CO2 - Reciclagem'!K25</f>
        <v>0</v>
      </c>
      <c r="J74" s="2548">
        <f>+$D$47*'CO2 - Reciclagem'!L25</f>
        <v>0</v>
      </c>
      <c r="K74" s="2548">
        <f>+$D$47*'CO2 - Reciclagem'!M25</f>
        <v>0</v>
      </c>
      <c r="L74" s="2437" t="s">
        <v>1087</v>
      </c>
      <c r="M74" s="2429"/>
      <c r="N74" s="2538" t="s">
        <v>1221</v>
      </c>
      <c r="O74" s="2539"/>
      <c r="P74" s="2537"/>
      <c r="Q74" s="2542">
        <f>Q72*Q70*10</f>
        <v>0</v>
      </c>
      <c r="R74" s="2542">
        <f t="shared" ref="R74:X74" si="58">R72*R70*10</f>
        <v>0</v>
      </c>
      <c r="S74" s="2542">
        <f t="shared" si="58"/>
        <v>0</v>
      </c>
      <c r="T74" s="2542">
        <f t="shared" si="58"/>
        <v>0</v>
      </c>
      <c r="U74" s="2542">
        <f t="shared" si="58"/>
        <v>0</v>
      </c>
      <c r="V74" s="2542">
        <f t="shared" si="58"/>
        <v>0</v>
      </c>
      <c r="W74" s="2542">
        <f t="shared" si="58"/>
        <v>0</v>
      </c>
      <c r="X74" s="2542">
        <f t="shared" si="58"/>
        <v>0</v>
      </c>
      <c r="Y74" s="2060" t="s">
        <v>1392</v>
      </c>
      <c r="Z74" s="2060"/>
      <c r="AA74" s="2431"/>
      <c r="AB74" s="2061"/>
      <c r="AC74" s="2446" t="str">
        <f>+AC49</f>
        <v>Lixão não controlado</v>
      </c>
      <c r="AD74" s="2447">
        <v>0</v>
      </c>
      <c r="AE74" s="2447">
        <v>0</v>
      </c>
      <c r="AF74" s="2447">
        <v>0</v>
      </c>
      <c r="AG74" s="2447">
        <v>0</v>
      </c>
      <c r="AH74" s="2447">
        <v>0</v>
      </c>
      <c r="AI74" s="2447">
        <v>0</v>
      </c>
      <c r="AJ74" s="2447">
        <v>0</v>
      </c>
      <c r="AK74" s="2447">
        <v>0</v>
      </c>
    </row>
    <row r="75" spans="1:37" ht="18" customHeight="1" x14ac:dyDescent="0.2">
      <c r="A75" s="2435"/>
      <c r="B75" s="2547" t="s">
        <v>1110</v>
      </c>
      <c r="C75" s="2470"/>
      <c r="D75" s="2548">
        <f>+$D$48*'CO2 - Reciclagem'!E13</f>
        <v>1912.6000000000001</v>
      </c>
      <c r="E75" s="2548">
        <f>+$D$48*'CO2 - Reciclagem'!G13</f>
        <v>6368.9580000000005</v>
      </c>
      <c r="F75" s="2548">
        <f>+$D$48*'CO2 - Reciclagem'!H13</f>
        <v>6368.9580000000005</v>
      </c>
      <c r="G75" s="2548">
        <f>+$D$48*'CO2 - Reciclagem'!I13</f>
        <v>6368.9580000000005</v>
      </c>
      <c r="H75" s="2548">
        <f>+$D$48*'CO2 - Reciclagem'!J13</f>
        <v>6368.9580000000005</v>
      </c>
      <c r="I75" s="2548">
        <f>+$D$48*'CO2 - Reciclagem'!K13</f>
        <v>6368.9580000000005</v>
      </c>
      <c r="J75" s="2548">
        <f>+$D$48*'CO2 - Reciclagem'!L13</f>
        <v>6368.9580000000005</v>
      </c>
      <c r="K75" s="2548">
        <f>+$D$48*'CO2 - Reciclagem'!M13</f>
        <v>6368.9580000000005</v>
      </c>
      <c r="L75" s="2437" t="s">
        <v>1087</v>
      </c>
      <c r="M75" s="2429"/>
      <c r="N75" s="2538" t="s">
        <v>1410</v>
      </c>
      <c r="O75" s="2539"/>
      <c r="P75" s="2537"/>
      <c r="Q75" s="2541">
        <f t="shared" ref="Q75:X75" si="59">0.82*28+0.045*265</f>
        <v>34.884999999999998</v>
      </c>
      <c r="R75" s="2541">
        <f t="shared" si="59"/>
        <v>34.884999999999998</v>
      </c>
      <c r="S75" s="2541">
        <f t="shared" si="59"/>
        <v>34.884999999999998</v>
      </c>
      <c r="T75" s="2541">
        <f t="shared" si="59"/>
        <v>34.884999999999998</v>
      </c>
      <c r="U75" s="2541">
        <f t="shared" si="59"/>
        <v>34.884999999999998</v>
      </c>
      <c r="V75" s="2541">
        <f t="shared" si="59"/>
        <v>34.884999999999998</v>
      </c>
      <c r="W75" s="2541">
        <f t="shared" si="59"/>
        <v>34.884999999999998</v>
      </c>
      <c r="X75" s="2541">
        <f t="shared" si="59"/>
        <v>34.884999999999998</v>
      </c>
      <c r="Y75" s="2060" t="s">
        <v>1323</v>
      </c>
      <c r="Z75" s="2060"/>
      <c r="AA75" s="2431"/>
      <c r="AB75" s="2061"/>
      <c r="AC75" s="2446" t="str">
        <f>+AC50</f>
        <v>Aterro controlado</v>
      </c>
      <c r="AD75" s="2447">
        <v>0</v>
      </c>
      <c r="AE75" s="2447">
        <v>0</v>
      </c>
      <c r="AF75" s="2447">
        <v>0</v>
      </c>
      <c r="AG75" s="2447">
        <v>0</v>
      </c>
      <c r="AH75" s="2447">
        <v>0</v>
      </c>
      <c r="AI75" s="2447">
        <v>0</v>
      </c>
      <c r="AJ75" s="2447">
        <v>0</v>
      </c>
      <c r="AK75" s="2447">
        <v>0</v>
      </c>
    </row>
    <row r="76" spans="1:37" ht="18" customHeight="1" x14ac:dyDescent="0.2">
      <c r="A76" s="2435"/>
      <c r="B76" s="2547" t="s">
        <v>1111</v>
      </c>
      <c r="C76" s="2470"/>
      <c r="D76" s="2548">
        <f>+$D$49*'CO2 - Reciclagem'!E14</f>
        <v>1971</v>
      </c>
      <c r="E76" s="2548">
        <f>+$D$49*'CO2 - Reciclagem'!G14</f>
        <v>4336.2</v>
      </c>
      <c r="F76" s="2548">
        <f>+$D$49*'CO2 - Reciclagem'!H14</f>
        <v>4336.2</v>
      </c>
      <c r="G76" s="2548">
        <f>+$D$49*'CO2 - Reciclagem'!I14</f>
        <v>4336.2</v>
      </c>
      <c r="H76" s="2548">
        <f>+$D$49*'CO2 - Reciclagem'!J14</f>
        <v>4336.2</v>
      </c>
      <c r="I76" s="2548">
        <f>+$D$49*'CO2 - Reciclagem'!K14</f>
        <v>4336.2</v>
      </c>
      <c r="J76" s="2548">
        <f>+$D$49*'CO2 - Reciclagem'!L14</f>
        <v>4336.2</v>
      </c>
      <c r="K76" s="2548">
        <f>+$D$49*'CO2 - Reciclagem'!M14</f>
        <v>4336.2</v>
      </c>
      <c r="L76" s="2437" t="s">
        <v>1087</v>
      </c>
      <c r="M76" s="2429"/>
      <c r="N76" s="2538" t="s">
        <v>1411</v>
      </c>
      <c r="O76" s="2539"/>
      <c r="P76" s="2537"/>
      <c r="Q76" s="2549">
        <v>100</v>
      </c>
      <c r="R76" s="2549">
        <v>100</v>
      </c>
      <c r="S76" s="2549">
        <v>100</v>
      </c>
      <c r="T76" s="2549">
        <v>100</v>
      </c>
      <c r="U76" s="2549">
        <v>100</v>
      </c>
      <c r="V76" s="2549">
        <v>100</v>
      </c>
      <c r="W76" s="2549">
        <v>100</v>
      </c>
      <c r="X76" s="2549">
        <v>100</v>
      </c>
      <c r="Y76" s="2060" t="s">
        <v>1392</v>
      </c>
      <c r="Z76" s="2060"/>
      <c r="AA76" s="2431"/>
      <c r="AB76" s="2061"/>
      <c r="AC76" s="2446" t="str">
        <f>+AC51</f>
        <v>Aterro sanitário</v>
      </c>
      <c r="AD76" s="2447">
        <f>+AD51*Q47/1000*(-1)</f>
        <v>0</v>
      </c>
      <c r="AE76" s="2447">
        <f>+AE51*R47/1000*(-1)</f>
        <v>0</v>
      </c>
      <c r="AF76" s="2447">
        <f>+AF51*T47/1000*(-1)</f>
        <v>0</v>
      </c>
      <c r="AG76" s="2447">
        <f>+AG51*U47/1000*(-1)</f>
        <v>0</v>
      </c>
      <c r="AH76" s="2447">
        <f>+AH51*U47/1000*(-1)</f>
        <v>0</v>
      </c>
      <c r="AI76" s="2447">
        <f>+AI51*V47/1000*(-1)</f>
        <v>0</v>
      </c>
      <c r="AJ76" s="2447">
        <f>+AJ51*W47/1000*(-1)</f>
        <v>0</v>
      </c>
      <c r="AK76" s="2447">
        <f>+AK51*X47/1000*(-1)</f>
        <v>0</v>
      </c>
    </row>
    <row r="77" spans="1:37" ht="18" customHeight="1" x14ac:dyDescent="0.2">
      <c r="A77" s="2435"/>
      <c r="B77" s="2547" t="s">
        <v>50</v>
      </c>
      <c r="C77" s="2470"/>
      <c r="D77" s="2548">
        <f>+$D$50*'CO2 - Reciclagem'!E15</f>
        <v>0</v>
      </c>
      <c r="E77" s="2548">
        <f>+$D$50*'CO2 - Reciclagem'!G15</f>
        <v>0</v>
      </c>
      <c r="F77" s="2548">
        <f>+$D$50*'CO2 - Reciclagem'!H15</f>
        <v>0</v>
      </c>
      <c r="G77" s="2548">
        <f>+$D$50*'CO2 - Reciclagem'!I15</f>
        <v>0</v>
      </c>
      <c r="H77" s="2548">
        <f>+$D$50*'CO2 - Reciclagem'!J15</f>
        <v>0</v>
      </c>
      <c r="I77" s="2548">
        <f>+$D$50*'CO2 - Reciclagem'!K15</f>
        <v>0</v>
      </c>
      <c r="J77" s="2548">
        <f>+$D$50*'CO2 - Reciclagem'!L15</f>
        <v>0</v>
      </c>
      <c r="K77" s="2548">
        <f>+$D$50*'CO2 - Reciclagem'!M15</f>
        <v>0</v>
      </c>
      <c r="L77" s="2437" t="s">
        <v>1087</v>
      </c>
      <c r="M77" s="2429"/>
      <c r="N77" s="2538" t="s">
        <v>1412</v>
      </c>
      <c r="O77" s="2539"/>
      <c r="P77" s="2537"/>
      <c r="Q77" s="2542">
        <f>Q76*$C$3/1000</f>
        <v>7.5900000000000007</v>
      </c>
      <c r="R77" s="2542">
        <f t="shared" ref="R77:X77" si="60">R76*$C$3/1000</f>
        <v>7.5900000000000007</v>
      </c>
      <c r="S77" s="2542">
        <f t="shared" si="60"/>
        <v>7.5900000000000007</v>
      </c>
      <c r="T77" s="2542">
        <f t="shared" si="60"/>
        <v>7.5900000000000007</v>
      </c>
      <c r="U77" s="2542">
        <f t="shared" si="60"/>
        <v>7.5900000000000007</v>
      </c>
      <c r="V77" s="2542">
        <f t="shared" si="60"/>
        <v>7.5900000000000007</v>
      </c>
      <c r="W77" s="2542">
        <f t="shared" si="60"/>
        <v>7.5900000000000007</v>
      </c>
      <c r="X77" s="2542">
        <f t="shared" si="60"/>
        <v>7.5900000000000007</v>
      </c>
      <c r="Y77" s="2486" t="s">
        <v>1323</v>
      </c>
      <c r="Z77" s="2060"/>
      <c r="AA77" s="2431"/>
      <c r="AB77" s="2061"/>
      <c r="AC77" s="2446" t="str">
        <f t="shared" ref="AC77:AC80" si="61">+AC52</f>
        <v>Trat. biol + cobertura at.</v>
      </c>
      <c r="AD77" s="2447">
        <f>+AD52*Q87/1000*(-1)</f>
        <v>0</v>
      </c>
      <c r="AE77" s="2447">
        <f>+AE52*R87/1000*(-1)</f>
        <v>0</v>
      </c>
      <c r="AF77" s="2447">
        <f>+AF52*T87/1000*(-1)</f>
        <v>0</v>
      </c>
      <c r="AG77" s="2447">
        <f>+AG52*U87/1000*(-1)</f>
        <v>0</v>
      </c>
      <c r="AH77" s="2447">
        <f>+AH52*U87/1000*(-1)</f>
        <v>0</v>
      </c>
      <c r="AI77" s="2447">
        <f>+AI52*V87/1000*(-1)</f>
        <v>0</v>
      </c>
      <c r="AJ77" s="2447">
        <f>+AJ52*W87/1000*(-1)</f>
        <v>0</v>
      </c>
      <c r="AK77" s="2447">
        <f>+AK52*X87/1000*(-1)</f>
        <v>0</v>
      </c>
    </row>
    <row r="78" spans="1:37" ht="18" customHeight="1" x14ac:dyDescent="0.2">
      <c r="A78" s="2435"/>
      <c r="B78" s="2547" t="s">
        <v>1112</v>
      </c>
      <c r="C78" s="2470"/>
      <c r="D78" s="2548">
        <f>+$D$51*'CO2 - Reciclagem'!E16</f>
        <v>671.6</v>
      </c>
      <c r="E78" s="2548">
        <f>+$D$51*'CO2 - Reciclagem'!G16</f>
        <v>3190.1</v>
      </c>
      <c r="F78" s="2548">
        <f>+$D$51*'CO2 - Reciclagem'!H16</f>
        <v>3190.1</v>
      </c>
      <c r="G78" s="2548">
        <f>+$D$51*'CO2 - Reciclagem'!I16</f>
        <v>3190.1</v>
      </c>
      <c r="H78" s="2548">
        <f>+$D$51*'CO2 - Reciclagem'!J16</f>
        <v>3190.1</v>
      </c>
      <c r="I78" s="2548">
        <f>+$D$51*'CO2 - Reciclagem'!K16</f>
        <v>3190.1</v>
      </c>
      <c r="J78" s="2548">
        <f>+$D$51*'CO2 - Reciclagem'!L16</f>
        <v>3190.1</v>
      </c>
      <c r="K78" s="2548">
        <f>+$D$51*'CO2 - Reciclagem'!M16</f>
        <v>3190.1</v>
      </c>
      <c r="L78" s="2437" t="s">
        <v>1087</v>
      </c>
      <c r="M78" s="2429"/>
      <c r="N78" s="2538" t="s">
        <v>1413</v>
      </c>
      <c r="O78" s="2539"/>
      <c r="P78" s="2537"/>
      <c r="Q78" s="2542">
        <f>Q75+Q77</f>
        <v>42.475000000000001</v>
      </c>
      <c r="R78" s="2542">
        <f t="shared" ref="R78:X78" si="62">R75+R77</f>
        <v>42.475000000000001</v>
      </c>
      <c r="S78" s="2542">
        <f t="shared" si="62"/>
        <v>42.475000000000001</v>
      </c>
      <c r="T78" s="2542">
        <f t="shared" si="62"/>
        <v>42.475000000000001</v>
      </c>
      <c r="U78" s="2542">
        <f t="shared" si="62"/>
        <v>42.475000000000001</v>
      </c>
      <c r="V78" s="2542">
        <f t="shared" si="62"/>
        <v>42.475000000000001</v>
      </c>
      <c r="W78" s="2542">
        <f t="shared" si="62"/>
        <v>42.475000000000001</v>
      </c>
      <c r="X78" s="2542">
        <f t="shared" si="62"/>
        <v>42.475000000000001</v>
      </c>
      <c r="Y78" s="2486" t="s">
        <v>1323</v>
      </c>
      <c r="Z78" s="2060"/>
      <c r="AA78" s="2431"/>
      <c r="AB78" s="2061"/>
      <c r="AC78" s="2446" t="str">
        <f t="shared" si="61"/>
        <v>CDR seco + rejeito aterro</v>
      </c>
      <c r="AD78" s="2447">
        <f>+AD53*Q102/1000*(-1)</f>
        <v>0</v>
      </c>
      <c r="AE78" s="2447">
        <f>+AE53*R102/1000*(-1)</f>
        <v>-8213.3557915298534</v>
      </c>
      <c r="AF78" s="2447">
        <f>+AF53*T102/1000*(-1)</f>
        <v>-8213.3557915298534</v>
      </c>
      <c r="AG78" s="2447">
        <f>+AG53*U102/1000*(-1)</f>
        <v>-8213.3557915298534</v>
      </c>
      <c r="AH78" s="2447">
        <f>+AH53*U102/1000*(-1)</f>
        <v>0</v>
      </c>
      <c r="AI78" s="2447">
        <f>+AI53*V102/1000*(-1)</f>
        <v>0</v>
      </c>
      <c r="AJ78" s="2447">
        <f>+AJ53*W102/1000*(-1)</f>
        <v>0</v>
      </c>
      <c r="AK78" s="2447">
        <f>+AK53*X102/1000*(-1)</f>
        <v>0</v>
      </c>
    </row>
    <row r="79" spans="1:37" ht="18" customHeight="1" x14ac:dyDescent="0.2">
      <c r="A79" s="2435"/>
      <c r="B79" s="2547" t="s">
        <v>1113</v>
      </c>
      <c r="C79" s="2470"/>
      <c r="D79" s="2548">
        <f>+$D$52*'CO2 - Reciclagem'!E17</f>
        <v>175.20000000000002</v>
      </c>
      <c r="E79" s="2548">
        <f>+$D$52*'CO2 - Reciclagem'!G17</f>
        <v>832.19999999999993</v>
      </c>
      <c r="F79" s="2548">
        <f>+$D$52*'CO2 - Reciclagem'!H17</f>
        <v>832.19999999999993</v>
      </c>
      <c r="G79" s="2548">
        <f>+$D$52*'CO2 - Reciclagem'!I17</f>
        <v>832.19999999999993</v>
      </c>
      <c r="H79" s="2548">
        <f>+$D$52*'CO2 - Reciclagem'!J17</f>
        <v>832.19999999999993</v>
      </c>
      <c r="I79" s="2548">
        <f>+$D$52*'CO2 - Reciclagem'!K17</f>
        <v>832.19999999999993</v>
      </c>
      <c r="J79" s="2548">
        <f>+$D$52*'CO2 - Reciclagem'!L17</f>
        <v>832.19999999999993</v>
      </c>
      <c r="K79" s="2548">
        <f>+$D$52*'CO2 - Reciclagem'!M17</f>
        <v>832.19999999999993</v>
      </c>
      <c r="L79" s="2437" t="s">
        <v>1087</v>
      </c>
      <c r="M79" s="2429"/>
      <c r="N79" s="2535" t="s">
        <v>1414</v>
      </c>
      <c r="O79" s="2539"/>
      <c r="P79" s="2537"/>
      <c r="Q79" s="2550"/>
      <c r="R79" s="2549"/>
      <c r="S79" s="2549"/>
      <c r="T79" s="2549"/>
      <c r="U79" s="2549"/>
      <c r="V79" s="2549"/>
      <c r="W79" s="2549"/>
      <c r="X79" s="2549"/>
      <c r="Y79" s="2486"/>
      <c r="Z79" s="2060" t="s">
        <v>1415</v>
      </c>
      <c r="AA79" s="2431"/>
      <c r="AB79" s="2061"/>
      <c r="AC79" s="2446" t="str">
        <f t="shared" si="61"/>
        <v>CDR seco + trat. biol.</v>
      </c>
      <c r="AD79" s="2447">
        <f>+AD54*Q135/1000*(-1)</f>
        <v>0</v>
      </c>
      <c r="AE79" s="2447">
        <f>+AE54*R135/1000*(-1)</f>
        <v>-34946.287241831815</v>
      </c>
      <c r="AF79" s="2447">
        <f>+AF54*T135/1000*(-1)</f>
        <v>-41186.708432916232</v>
      </c>
      <c r="AG79" s="2447">
        <f>+AG54*U135/1000*(-1)</f>
        <v>-34496.094324425387</v>
      </c>
      <c r="AH79" s="2447">
        <f>+AH54*U135/1000*(-1)</f>
        <v>0</v>
      </c>
      <c r="AI79" s="2447">
        <f>+AI54*V135/1000*(-1)</f>
        <v>0</v>
      </c>
      <c r="AJ79" s="2447">
        <f>+AJ54*W135/1000*(-1)</f>
        <v>0</v>
      </c>
      <c r="AK79" s="2447">
        <f>+AK54*X135/1000*(-1)</f>
        <v>0</v>
      </c>
    </row>
    <row r="80" spans="1:37" ht="18" customHeight="1" x14ac:dyDescent="0.2">
      <c r="A80" s="2435"/>
      <c r="B80" s="2547" t="s">
        <v>1114</v>
      </c>
      <c r="C80" s="2470"/>
      <c r="D80" s="2548">
        <f>+$D$53*'CO2 - Reciclagem'!E18</f>
        <v>0</v>
      </c>
      <c r="E80" s="2548">
        <f>+$D$53*'CO2 - Reciclagem'!G18</f>
        <v>0</v>
      </c>
      <c r="F80" s="2548">
        <f>+$D$53*'CO2 - Reciclagem'!H18</f>
        <v>0</v>
      </c>
      <c r="G80" s="2548">
        <f>+$D$53*'CO2 - Reciclagem'!I18</f>
        <v>0</v>
      </c>
      <c r="H80" s="2548">
        <f>+$D$53*'CO2 - Reciclagem'!J18</f>
        <v>0</v>
      </c>
      <c r="I80" s="2548">
        <f>+$D$53*'CO2 - Reciclagem'!K18</f>
        <v>0</v>
      </c>
      <c r="J80" s="2548">
        <f>+$D$53*'CO2 - Reciclagem'!L18</f>
        <v>0</v>
      </c>
      <c r="K80" s="2548">
        <f>+$D$53*'CO2 - Reciclagem'!M18</f>
        <v>0</v>
      </c>
      <c r="L80" s="2437" t="s">
        <v>1087</v>
      </c>
      <c r="M80" s="2429"/>
      <c r="N80" s="2538" t="s">
        <v>1416</v>
      </c>
      <c r="O80" s="2543"/>
      <c r="P80" s="2537"/>
      <c r="Q80" s="2551">
        <f>$Q$43+$Q$44+$Q$45</f>
        <v>3.2385304029626489</v>
      </c>
      <c r="R80" s="2551">
        <f>$R$43+$R$44+$R$45</f>
        <v>3.2385304029626489</v>
      </c>
      <c r="S80" s="2551">
        <f>$R$43+$R$44+$R$45</f>
        <v>3.2385304029626489</v>
      </c>
      <c r="T80" s="2551">
        <f>$R$43+$R$44+$R$45</f>
        <v>3.2385304029626489</v>
      </c>
      <c r="U80" s="2551">
        <f>$U$43+$U$44+$U$45</f>
        <v>3.2385304029626489</v>
      </c>
      <c r="V80" s="2551">
        <f>$V$43+$V$44+$V$45</f>
        <v>3.2385304029626489</v>
      </c>
      <c r="W80" s="2551">
        <f>$V$43+$V$44+$V$45</f>
        <v>3.2385304029626489</v>
      </c>
      <c r="X80" s="2551">
        <f>$V$43+$V$44+$V$45</f>
        <v>3.2385304029626489</v>
      </c>
      <c r="Y80" s="2552" t="s">
        <v>1323</v>
      </c>
      <c r="Z80" s="2060" t="s">
        <v>1415</v>
      </c>
      <c r="AA80" s="2431"/>
      <c r="AB80" s="2060"/>
      <c r="AC80" s="2446" t="str">
        <f t="shared" si="61"/>
        <v>CDR seco + CDR org.</v>
      </c>
      <c r="AD80" s="2447">
        <f>+AD55*Q154/1000*(-1)</f>
        <v>0</v>
      </c>
      <c r="AE80" s="2447">
        <f>+AE55*R154/1000*(-1)</f>
        <v>0</v>
      </c>
      <c r="AF80" s="2447">
        <f>+AF55*T154/1000*(-1)</f>
        <v>0</v>
      </c>
      <c r="AG80" s="2447">
        <f>+AG55*U154/1000*(-1)</f>
        <v>0</v>
      </c>
      <c r="AH80" s="2447">
        <f>+AH55*U154/1000*(-1)</f>
        <v>0</v>
      </c>
      <c r="AI80" s="2447">
        <f>+AI55*V154/1000*(-1)</f>
        <v>-80794.489341582099</v>
      </c>
      <c r="AJ80" s="2447">
        <f>+AJ55*W154/1000*(-1)</f>
        <v>0</v>
      </c>
      <c r="AK80" s="2447">
        <f>+AK55*X154/1000*(-1)</f>
        <v>0</v>
      </c>
    </row>
    <row r="81" spans="1:37" ht="18" customHeight="1" x14ac:dyDescent="0.2">
      <c r="A81" s="2435"/>
      <c r="B81" s="2527" t="s">
        <v>52</v>
      </c>
      <c r="C81" s="2502"/>
      <c r="D81" s="2373">
        <f t="shared" ref="D81:J81" si="63">SUM(D73:D80)</f>
        <v>4730.4000000000005</v>
      </c>
      <c r="E81" s="2373">
        <f t="shared" si="63"/>
        <v>14727.458000000001</v>
      </c>
      <c r="F81" s="2373">
        <f t="shared" ref="F81" si="64">SUM(F73:F80)</f>
        <v>14727.458000000001</v>
      </c>
      <c r="G81" s="2373">
        <f t="shared" si="63"/>
        <v>14727.458000000001</v>
      </c>
      <c r="H81" s="2373">
        <f t="shared" si="63"/>
        <v>14727.458000000001</v>
      </c>
      <c r="I81" s="2373">
        <f t="shared" si="63"/>
        <v>14727.458000000001</v>
      </c>
      <c r="J81" s="2373">
        <f t="shared" si="63"/>
        <v>14727.458000000001</v>
      </c>
      <c r="K81" s="2373">
        <f t="shared" ref="K81" si="65">SUM(K73:K80)</f>
        <v>14727.458000000001</v>
      </c>
      <c r="L81" s="2437" t="s">
        <v>1087</v>
      </c>
      <c r="M81" s="2429"/>
      <c r="N81" s="2538" t="s">
        <v>1417</v>
      </c>
      <c r="O81" s="2532"/>
      <c r="P81" s="2533"/>
      <c r="Q81" s="2553">
        <f>+$Q$24*(1-Q62)</f>
        <v>0.10715785665564284</v>
      </c>
      <c r="R81" s="2553">
        <f>+$R$24*(1-R62)</f>
        <v>0.10627457544151159</v>
      </c>
      <c r="S81" s="2553">
        <f>+$R$24*(1-S62)</f>
        <v>0.10627457544151159</v>
      </c>
      <c r="T81" s="2553">
        <f>+$R$24*(1-T62)</f>
        <v>0.10627457544151159</v>
      </c>
      <c r="U81" s="2553">
        <f>+$U$24*(1-U62)</f>
        <v>0.10627457544151159</v>
      </c>
      <c r="V81" s="2553">
        <f>+$V$24*(1-V62)</f>
        <v>0.10627457544151159</v>
      </c>
      <c r="W81" s="2553">
        <f>+$V$24*(1-W62)</f>
        <v>0.10627457544151159</v>
      </c>
      <c r="X81" s="2553">
        <f>+$V$24*(1-X62)</f>
        <v>0.10627457544151159</v>
      </c>
      <c r="Y81" s="2552" t="s">
        <v>1418</v>
      </c>
      <c r="Z81" s="2060" t="s">
        <v>1415</v>
      </c>
      <c r="AA81" s="2431"/>
      <c r="AB81" s="2061"/>
      <c r="AC81" s="2446" t="str">
        <f>+AC56</f>
        <v>Incineração</v>
      </c>
      <c r="AD81" s="2447">
        <f>+AD56*Q58/1000*(-1)</f>
        <v>0</v>
      </c>
      <c r="AE81" s="2447">
        <f>+AE56*R58/1000*(-1)</f>
        <v>0</v>
      </c>
      <c r="AF81" s="2447">
        <f>+AF56*T58/1000*(-1)</f>
        <v>0</v>
      </c>
      <c r="AG81" s="2447">
        <f>+AG56*U58/1000*(-1)</f>
        <v>0</v>
      </c>
      <c r="AH81" s="2447">
        <f>+AH56*U58/1000*(-1)</f>
        <v>0</v>
      </c>
      <c r="AI81" s="2447">
        <f>+AI56*V58/1000*(-1)</f>
        <v>0</v>
      </c>
      <c r="AJ81" s="2447">
        <f>+AJ56*W58/1000*(-1)</f>
        <v>-2810.5079200893747</v>
      </c>
      <c r="AK81" s="2447">
        <f>+AK56*X58/1000*(-1)</f>
        <v>-2810.5079200893747</v>
      </c>
    </row>
    <row r="82" spans="1:37" ht="18" customHeight="1" x14ac:dyDescent="0.2">
      <c r="A82" s="2435"/>
      <c r="B82" s="2479"/>
      <c r="C82" s="2061"/>
      <c r="D82" s="2061"/>
      <c r="E82" s="2061"/>
      <c r="F82" s="2061"/>
      <c r="G82" s="2061"/>
      <c r="H82" s="2061"/>
      <c r="I82" s="2061"/>
      <c r="J82" s="2061"/>
      <c r="K82" s="2061"/>
      <c r="L82" s="2479"/>
      <c r="M82" s="2429"/>
      <c r="N82" s="2538" t="s">
        <v>1328</v>
      </c>
      <c r="O82" s="2554"/>
      <c r="P82" s="2533"/>
      <c r="Q82" s="2555">
        <v>0.3</v>
      </c>
      <c r="R82" s="2555">
        <v>0.3</v>
      </c>
      <c r="S82" s="2555">
        <v>0.3</v>
      </c>
      <c r="T82" s="2555">
        <v>0.3</v>
      </c>
      <c r="U82" s="2555">
        <v>0.3</v>
      </c>
      <c r="V82" s="2555">
        <v>0.3</v>
      </c>
      <c r="W82" s="2555">
        <v>0.3</v>
      </c>
      <c r="X82" s="2555">
        <v>0.3</v>
      </c>
      <c r="Y82" s="2552" t="s">
        <v>1329</v>
      </c>
      <c r="Z82" s="2060" t="s">
        <v>1415</v>
      </c>
      <c r="AA82" s="2431"/>
      <c r="AB82" s="2061"/>
      <c r="AC82" s="2534" t="s">
        <v>1254</v>
      </c>
      <c r="AD82" s="2469" t="s">
        <v>1316</v>
      </c>
      <c r="AE82" s="2060"/>
      <c r="AF82" s="2060"/>
      <c r="AG82" s="2060"/>
      <c r="AH82" s="2060"/>
      <c r="AI82" s="2060"/>
      <c r="AJ82" s="2060"/>
      <c r="AK82" s="2060"/>
    </row>
    <row r="83" spans="1:37" ht="18" customHeight="1" x14ac:dyDescent="0.2">
      <c r="A83" s="2435"/>
      <c r="B83" s="2527" t="s">
        <v>1419</v>
      </c>
      <c r="C83" s="1986"/>
      <c r="D83" s="2075" t="str">
        <f t="shared" ref="D83:K83" si="66">+D72</f>
        <v>Cenário-Base</v>
      </c>
      <c r="E83" s="2075" t="str">
        <f t="shared" si="66"/>
        <v>Biodigestão RT1A + CDR TM</v>
      </c>
      <c r="F83" s="2075" t="str">
        <f t="shared" si="66"/>
        <v>Biodigestão RT1B + CDR TM</v>
      </c>
      <c r="G83" s="2075" t="str">
        <f t="shared" si="66"/>
        <v>Biodigestão RT1C + CDR TM</v>
      </c>
      <c r="H83" s="2075" t="str">
        <f t="shared" si="66"/>
        <v>Compostagem + CDR TM</v>
      </c>
      <c r="I83" s="2075" t="str">
        <f t="shared" si="66"/>
        <v xml:space="preserve">Biosecagem + CDR TMB </v>
      </c>
      <c r="J83" s="2075" t="str">
        <f t="shared" si="66"/>
        <v>Incineração Mass Burning</v>
      </c>
      <c r="K83" s="2075" t="str">
        <f t="shared" si="66"/>
        <v>Incineração Mass Burn. Descentralizada</v>
      </c>
      <c r="L83" s="2479"/>
      <c r="M83" s="2429"/>
      <c r="N83" s="2538" t="s">
        <v>1420</v>
      </c>
      <c r="O83" s="2554"/>
      <c r="P83" s="2533"/>
      <c r="Q83" s="2551">
        <f>+Q81*Q82*1868</f>
        <v>60.051262869822239</v>
      </c>
      <c r="R83" s="2551">
        <f t="shared" ref="R83:X83" si="67">+R81*R82*1868</f>
        <v>59.556272077423095</v>
      </c>
      <c r="S83" s="2551">
        <f t="shared" si="67"/>
        <v>59.556272077423095</v>
      </c>
      <c r="T83" s="2551">
        <f t="shared" si="67"/>
        <v>59.556272077423095</v>
      </c>
      <c r="U83" s="2551">
        <f t="shared" si="67"/>
        <v>59.556272077423095</v>
      </c>
      <c r="V83" s="2551">
        <f t="shared" si="67"/>
        <v>59.556272077423095</v>
      </c>
      <c r="W83" s="2551">
        <f t="shared" si="67"/>
        <v>59.556272077423095</v>
      </c>
      <c r="X83" s="2551">
        <f t="shared" si="67"/>
        <v>59.556272077423095</v>
      </c>
      <c r="Y83" s="2552" t="s">
        <v>1421</v>
      </c>
      <c r="Z83" s="2060" t="s">
        <v>1415</v>
      </c>
      <c r="AA83" s="2431"/>
      <c r="AB83" s="2061"/>
      <c r="AC83" s="2446" t="str">
        <f t="shared" ref="AC83:AC91" si="68">+AC47</f>
        <v>Resíduos dispersos</v>
      </c>
      <c r="AD83" s="2548">
        <f t="shared" ref="AD83:AK92" si="69">+AD61+AD72</f>
        <v>0</v>
      </c>
      <c r="AE83" s="2548">
        <f t="shared" si="69"/>
        <v>0</v>
      </c>
      <c r="AF83" s="2548">
        <f t="shared" si="69"/>
        <v>0</v>
      </c>
      <c r="AG83" s="2548">
        <f t="shared" si="69"/>
        <v>0</v>
      </c>
      <c r="AH83" s="2548">
        <f t="shared" si="69"/>
        <v>0</v>
      </c>
      <c r="AI83" s="2548">
        <f t="shared" si="69"/>
        <v>0</v>
      </c>
      <c r="AJ83" s="2548">
        <f t="shared" si="69"/>
        <v>0</v>
      </c>
      <c r="AK83" s="2548">
        <f t="shared" si="69"/>
        <v>0</v>
      </c>
    </row>
    <row r="84" spans="1:37" ht="18" customHeight="1" x14ac:dyDescent="0.2">
      <c r="A84" s="2435"/>
      <c r="B84" s="2547" t="s">
        <v>1108</v>
      </c>
      <c r="C84" s="2462"/>
      <c r="D84" s="2447">
        <f t="shared" ref="D84:K84" si="70">+$D$46-D73</f>
        <v>70664</v>
      </c>
      <c r="E84" s="2447">
        <f t="shared" si="70"/>
        <v>70664</v>
      </c>
      <c r="F84" s="2447">
        <f t="shared" si="70"/>
        <v>70664</v>
      </c>
      <c r="G84" s="2447">
        <f t="shared" si="70"/>
        <v>70664</v>
      </c>
      <c r="H84" s="2447">
        <f t="shared" si="70"/>
        <v>70664</v>
      </c>
      <c r="I84" s="2447">
        <f t="shared" si="70"/>
        <v>70664</v>
      </c>
      <c r="J84" s="2447">
        <f t="shared" si="70"/>
        <v>70664</v>
      </c>
      <c r="K84" s="2447">
        <f t="shared" si="70"/>
        <v>70664</v>
      </c>
      <c r="L84" s="2437" t="s">
        <v>1087</v>
      </c>
      <c r="M84" s="2429"/>
      <c r="N84" s="2538" t="s">
        <v>1422</v>
      </c>
      <c r="O84" s="2539"/>
      <c r="P84" s="2537"/>
      <c r="Q84" s="2551">
        <f>Q83*Q26*(1-'CO2 - Destinação'!$E$40)*16/22.4*28*0</f>
        <v>0</v>
      </c>
      <c r="R84" s="2551">
        <f>R83*R26*(1-'CO2 - Destinação'!$G$40)*16/22.4*28*0</f>
        <v>0</v>
      </c>
      <c r="S84" s="2551">
        <f>S83*S26*(1-'CO2 - Destinação'!$H$40)*16/22.4*28*0</f>
        <v>0</v>
      </c>
      <c r="T84" s="2551">
        <f>T83*T26*(1-'CO2 - Destinação'!$I$40)*16/22.4*28*0</f>
        <v>0</v>
      </c>
      <c r="U84" s="2551">
        <f>U83*U26*(1-'CO2 - Destinação'!$J$40)*16/22.4*28*0</f>
        <v>0</v>
      </c>
      <c r="V84" s="2551">
        <f>V83*V26*(1-'CO2 - Destinação'!$K$40)*16/22.4*28*0</f>
        <v>0</v>
      </c>
      <c r="W84" s="2551">
        <f>W83*W26*(1-'CO2 - Destinação'!$K$40)*16/22.4*28*0</f>
        <v>0</v>
      </c>
      <c r="X84" s="2551">
        <f>X83*X26*(1-'CO2 - Destinação'!$M$40)*16/22.4*28*0</f>
        <v>0</v>
      </c>
      <c r="Y84" s="2552" t="s">
        <v>1323</v>
      </c>
      <c r="Z84" s="2060" t="s">
        <v>1415</v>
      </c>
      <c r="AA84" s="2431"/>
      <c r="AB84" s="2061"/>
      <c r="AC84" s="2446" t="str">
        <f t="shared" si="68"/>
        <v>Queima a céu aberto</v>
      </c>
      <c r="AD84" s="2548">
        <f t="shared" si="69"/>
        <v>0</v>
      </c>
      <c r="AE84" s="2548">
        <f t="shared" si="69"/>
        <v>0</v>
      </c>
      <c r="AF84" s="2548">
        <f t="shared" si="69"/>
        <v>0</v>
      </c>
      <c r="AG84" s="2548">
        <f t="shared" si="69"/>
        <v>0</v>
      </c>
      <c r="AH84" s="2548">
        <f t="shared" si="69"/>
        <v>0</v>
      </c>
      <c r="AI84" s="2548">
        <f t="shared" si="69"/>
        <v>0</v>
      </c>
      <c r="AJ84" s="2548">
        <f t="shared" si="69"/>
        <v>0</v>
      </c>
      <c r="AK84" s="2548">
        <f t="shared" si="69"/>
        <v>0</v>
      </c>
    </row>
    <row r="85" spans="1:37" ht="18" customHeight="1" x14ac:dyDescent="0.2">
      <c r="A85" s="2435"/>
      <c r="B85" s="2547" t="s">
        <v>1109</v>
      </c>
      <c r="C85" s="2462"/>
      <c r="D85" s="2447">
        <f t="shared" ref="D85:K85" si="71">+$D$47-D74</f>
        <v>4380</v>
      </c>
      <c r="E85" s="2447">
        <f t="shared" si="71"/>
        <v>4380</v>
      </c>
      <c r="F85" s="2447">
        <f t="shared" si="71"/>
        <v>4380</v>
      </c>
      <c r="G85" s="2447">
        <f t="shared" si="71"/>
        <v>4380</v>
      </c>
      <c r="H85" s="2447">
        <f t="shared" si="71"/>
        <v>4380</v>
      </c>
      <c r="I85" s="2447">
        <f t="shared" si="71"/>
        <v>4380</v>
      </c>
      <c r="J85" s="2447">
        <f t="shared" si="71"/>
        <v>4380</v>
      </c>
      <c r="K85" s="2447">
        <f t="shared" si="71"/>
        <v>4380</v>
      </c>
      <c r="L85" s="2479"/>
      <c r="M85" s="2429"/>
      <c r="N85" s="2538" t="s">
        <v>1423</v>
      </c>
      <c r="O85" s="2554"/>
      <c r="P85" s="2533"/>
      <c r="Q85" s="2551">
        <f>(+Q83*'CO2 - Destinação'!$E$28*'CO2 - Destinação'!$E$32+Q83*(1-'CO2 - Destinação'!$E$28)*(1-'CO2 - Destinação'!$E$40))*$Q$26*16/22.4*28*0</f>
        <v>0</v>
      </c>
      <c r="R85" s="2551">
        <f>(+R83*'CO2 - Destinação'!$G$28*'CO2 - Destinação'!$G$32+R83*(1-'CO2 - Destinação'!$G$28)*(1-'CO2 - Destinação'!$G$40))*$R$26*16/22.4*28*0</f>
        <v>0</v>
      </c>
      <c r="S85" s="2551">
        <f>(+S83*'CO2 - Destinação'!$H$28*'CO2 - Destinação'!$H$32+S83*(1-'CO2 - Destinação'!$H$28)*(1-'CO2 - Destinação'!$H$40))*$R$26*16/22.4*28*0</f>
        <v>0</v>
      </c>
      <c r="T85" s="2551">
        <f>(+T83*'CO2 - Destinação'!$I$28*'CO2 - Destinação'!$I$32+T83*(1-'CO2 - Destinação'!$I$28)*(1-'CO2 - Destinação'!$I$40))*$R$26*16/22.4*28*0</f>
        <v>0</v>
      </c>
      <c r="U85" s="2551">
        <f>(+U83*'CO2 - Destinação'!$J$28*'CO2 - Destinação'!$J$32+U83*(1-'CO2 - Destinação'!$J$28)*(1-'CO2 - Destinação'!$J$40))*$U$26*16/22.4*28*0</f>
        <v>0</v>
      </c>
      <c r="V85" s="2551">
        <f>(+V83*'CO2 - Destinação'!$K$28*'CO2 - Destinação'!K32+V83*(1-'CO2 - Destinação'!$K$28)*(1-'CO2 - Destinação'!$K$40))*$V$26*16/22.4*28*0</f>
        <v>0</v>
      </c>
      <c r="W85" s="2551">
        <f>(+W83*'CO2 - Destinação'!$K$28*'CO2 - Destinação'!L32+W83*(1-'CO2 - Destinação'!$K$28)*(1-'CO2 - Destinação'!$K$40))*$V$26*16/22.4*28*0</f>
        <v>0</v>
      </c>
      <c r="X85" s="2551">
        <f>(+X83*'CO2 - Destinação'!$M$28*'CO2 - Destinação'!M32+X83*(1-'CO2 - Destinação'!$M$28)*(1-'CO2 - Destinação'!$M$40))*$V$26*16/22.4*28*0</f>
        <v>0</v>
      </c>
      <c r="Y85" s="2552" t="s">
        <v>1323</v>
      </c>
      <c r="Z85" s="2060" t="s">
        <v>1415</v>
      </c>
      <c r="AA85" s="2431"/>
      <c r="AB85" s="2061"/>
      <c r="AC85" s="2446" t="str">
        <f t="shared" si="68"/>
        <v>Lixão não controlado</v>
      </c>
      <c r="AD85" s="2548">
        <f t="shared" si="69"/>
        <v>0</v>
      </c>
      <c r="AE85" s="2548">
        <f t="shared" si="69"/>
        <v>0</v>
      </c>
      <c r="AF85" s="2548">
        <f t="shared" si="69"/>
        <v>0</v>
      </c>
      <c r="AG85" s="2548">
        <f t="shared" si="69"/>
        <v>0</v>
      </c>
      <c r="AH85" s="2548">
        <f t="shared" si="69"/>
        <v>0</v>
      </c>
      <c r="AI85" s="2548">
        <f t="shared" si="69"/>
        <v>0</v>
      </c>
      <c r="AJ85" s="2548">
        <f t="shared" si="69"/>
        <v>0</v>
      </c>
      <c r="AK85" s="2548">
        <f t="shared" si="69"/>
        <v>0</v>
      </c>
    </row>
    <row r="86" spans="1:37" ht="18" customHeight="1" x14ac:dyDescent="0.2">
      <c r="A86" s="2435"/>
      <c r="B86" s="2547" t="s">
        <v>1110</v>
      </c>
      <c r="C86" s="2462"/>
      <c r="D86" s="2447">
        <f t="shared" ref="D86:K86" si="72">+$D$48-D75</f>
        <v>17213.400000000001</v>
      </c>
      <c r="E86" s="2447">
        <f t="shared" si="72"/>
        <v>12757.041999999999</v>
      </c>
      <c r="F86" s="2447">
        <f t="shared" si="72"/>
        <v>12757.041999999999</v>
      </c>
      <c r="G86" s="2447">
        <f t="shared" si="72"/>
        <v>12757.041999999999</v>
      </c>
      <c r="H86" s="2447">
        <f t="shared" si="72"/>
        <v>12757.041999999999</v>
      </c>
      <c r="I86" s="2447">
        <f t="shared" si="72"/>
        <v>12757.041999999999</v>
      </c>
      <c r="J86" s="2447">
        <f t="shared" si="72"/>
        <v>12757.041999999999</v>
      </c>
      <c r="K86" s="2447">
        <f t="shared" si="72"/>
        <v>12757.041999999999</v>
      </c>
      <c r="L86" s="2437" t="s">
        <v>1087</v>
      </c>
      <c r="M86" s="2429"/>
      <c r="N86" s="2556" t="s">
        <v>1367</v>
      </c>
      <c r="O86" s="2557"/>
      <c r="P86" s="2558"/>
      <c r="Q86" s="2542">
        <f>IF(Q71+Q72=0,Q66+Q84,Q78+Q84)</f>
        <v>35.264499999999998</v>
      </c>
      <c r="R86" s="2542">
        <f t="shared" ref="R86:X86" si="73">IF(R71+R72=0,R66+R84,R78+R84)</f>
        <v>35.264499999999998</v>
      </c>
      <c r="S86" s="2542">
        <f t="shared" si="73"/>
        <v>35.264499999999998</v>
      </c>
      <c r="T86" s="2542">
        <f t="shared" si="73"/>
        <v>35.264499999999998</v>
      </c>
      <c r="U86" s="2542">
        <f t="shared" si="73"/>
        <v>35.264499999999998</v>
      </c>
      <c r="V86" s="2542">
        <f t="shared" si="73"/>
        <v>35.264499999999998</v>
      </c>
      <c r="W86" s="2542">
        <f t="shared" si="73"/>
        <v>35.264499999999998</v>
      </c>
      <c r="X86" s="2542">
        <f t="shared" si="73"/>
        <v>35.264499999999998</v>
      </c>
      <c r="Y86" s="2504" t="s">
        <v>1323</v>
      </c>
      <c r="Z86" s="2061"/>
      <c r="AA86" s="2431"/>
      <c r="AB86" s="2061"/>
      <c r="AC86" s="2446" t="str">
        <f t="shared" si="68"/>
        <v>Aterro controlado</v>
      </c>
      <c r="AD86" s="2548">
        <f t="shared" si="69"/>
        <v>0</v>
      </c>
      <c r="AE86" s="2548">
        <f t="shared" si="69"/>
        <v>0</v>
      </c>
      <c r="AF86" s="2548">
        <f t="shared" si="69"/>
        <v>0</v>
      </c>
      <c r="AG86" s="2548">
        <f t="shared" si="69"/>
        <v>0</v>
      </c>
      <c r="AH86" s="2548">
        <f t="shared" si="69"/>
        <v>0</v>
      </c>
      <c r="AI86" s="2548">
        <f t="shared" si="69"/>
        <v>52922.54492561012</v>
      </c>
      <c r="AJ86" s="2548">
        <f t="shared" si="69"/>
        <v>26461.27246280506</v>
      </c>
      <c r="AK86" s="2548">
        <f t="shared" si="69"/>
        <v>26461.27246280506</v>
      </c>
    </row>
    <row r="87" spans="1:37" ht="18" customHeight="1" x14ac:dyDescent="0.2">
      <c r="A87" s="2435"/>
      <c r="B87" s="2547" t="s">
        <v>1111</v>
      </c>
      <c r="C87" s="2462"/>
      <c r="D87" s="2447">
        <f t="shared" ref="D87:K87" si="74">+$D$49-D76</f>
        <v>17739</v>
      </c>
      <c r="E87" s="2447">
        <f t="shared" si="74"/>
        <v>15373.8</v>
      </c>
      <c r="F87" s="2447">
        <f t="shared" si="74"/>
        <v>15373.8</v>
      </c>
      <c r="G87" s="2447">
        <f t="shared" si="74"/>
        <v>15373.8</v>
      </c>
      <c r="H87" s="2447">
        <f t="shared" si="74"/>
        <v>15373.8</v>
      </c>
      <c r="I87" s="2447">
        <f t="shared" si="74"/>
        <v>15373.8</v>
      </c>
      <c r="J87" s="2447">
        <f t="shared" si="74"/>
        <v>15373.8</v>
      </c>
      <c r="K87" s="2447">
        <f t="shared" si="74"/>
        <v>15373.8</v>
      </c>
      <c r="L87" s="2437" t="s">
        <v>1087</v>
      </c>
      <c r="M87" s="2429"/>
      <c r="N87" s="2559" t="s">
        <v>1424</v>
      </c>
      <c r="O87" s="2557"/>
      <c r="P87" s="2558"/>
      <c r="Q87" s="2542">
        <f>IF(Q71+Q72=0,0,(Q73*$C$3+Q74*$C$6)/1000)</f>
        <v>0</v>
      </c>
      <c r="R87" s="2542">
        <f t="shared" ref="R87:X87" si="75">IF(R71+R72=0,0,(R73*$C$3+R74*$C$6)/1000)</f>
        <v>0</v>
      </c>
      <c r="S87" s="2542">
        <f t="shared" si="75"/>
        <v>0</v>
      </c>
      <c r="T87" s="2542">
        <f t="shared" si="75"/>
        <v>0</v>
      </c>
      <c r="U87" s="2542">
        <f t="shared" si="75"/>
        <v>0</v>
      </c>
      <c r="V87" s="2542">
        <f t="shared" si="75"/>
        <v>0</v>
      </c>
      <c r="W87" s="2542">
        <f t="shared" si="75"/>
        <v>0</v>
      </c>
      <c r="X87" s="2542">
        <f t="shared" si="75"/>
        <v>0</v>
      </c>
      <c r="Y87" s="2504" t="s">
        <v>1323</v>
      </c>
      <c r="Z87" s="2061"/>
      <c r="AA87" s="2431"/>
      <c r="AB87" s="2061"/>
      <c r="AC87" s="2446" t="str">
        <f t="shared" si="68"/>
        <v>Aterro sanitário</v>
      </c>
      <c r="AD87" s="2548">
        <f t="shared" si="69"/>
        <v>167352.43851908133</v>
      </c>
      <c r="AE87" s="2548">
        <f t="shared" si="69"/>
        <v>53980.946707938478</v>
      </c>
      <c r="AF87" s="2548">
        <f t="shared" si="69"/>
        <v>53980.946707938478</v>
      </c>
      <c r="AG87" s="2548">
        <f t="shared" si="69"/>
        <v>53980.946707938478</v>
      </c>
      <c r="AH87" s="2548">
        <f t="shared" si="69"/>
        <v>57836.728615648368</v>
      </c>
      <c r="AI87" s="2548">
        <f t="shared" si="69"/>
        <v>0</v>
      </c>
      <c r="AJ87" s="2548">
        <f t="shared" si="69"/>
        <v>0</v>
      </c>
      <c r="AK87" s="2548">
        <f t="shared" si="69"/>
        <v>0</v>
      </c>
    </row>
    <row r="88" spans="1:37" ht="18" customHeight="1" x14ac:dyDescent="0.2">
      <c r="A88" s="2435"/>
      <c r="B88" s="2547" t="s">
        <v>50</v>
      </c>
      <c r="C88" s="2462"/>
      <c r="D88" s="2447">
        <f t="shared" ref="D88:K88" si="76">+$D$50-D77</f>
        <v>3504</v>
      </c>
      <c r="E88" s="2447">
        <f t="shared" si="76"/>
        <v>3504</v>
      </c>
      <c r="F88" s="2447">
        <f t="shared" si="76"/>
        <v>3504</v>
      </c>
      <c r="G88" s="2447">
        <f t="shared" si="76"/>
        <v>3504</v>
      </c>
      <c r="H88" s="2447">
        <f t="shared" si="76"/>
        <v>3504</v>
      </c>
      <c r="I88" s="2447">
        <f t="shared" si="76"/>
        <v>3504</v>
      </c>
      <c r="J88" s="2447">
        <f t="shared" si="76"/>
        <v>3504</v>
      </c>
      <c r="K88" s="2447">
        <f t="shared" si="76"/>
        <v>3504</v>
      </c>
      <c r="L88" s="2437" t="s">
        <v>1087</v>
      </c>
      <c r="M88" s="2429"/>
      <c r="N88" s="2435"/>
      <c r="O88" s="2061"/>
      <c r="P88" s="2061"/>
      <c r="Q88" s="2482"/>
      <c r="R88" s="2482"/>
      <c r="S88" s="2482"/>
      <c r="T88" s="2482"/>
      <c r="U88" s="2482"/>
      <c r="V88" s="2482"/>
      <c r="W88" s="2482"/>
      <c r="X88" s="2482"/>
      <c r="Y88" s="2060"/>
      <c r="Z88" s="2061"/>
      <c r="AA88" s="2431"/>
      <c r="AB88" s="2061"/>
      <c r="AC88" s="2446" t="str">
        <f t="shared" si="68"/>
        <v>Trat. biol + cobertura at.</v>
      </c>
      <c r="AD88" s="2548">
        <f t="shared" si="69"/>
        <v>0</v>
      </c>
      <c r="AE88" s="2548">
        <f t="shared" si="69"/>
        <v>0</v>
      </c>
      <c r="AF88" s="2548">
        <f t="shared" si="69"/>
        <v>0</v>
      </c>
      <c r="AG88" s="2548">
        <f t="shared" si="69"/>
        <v>0</v>
      </c>
      <c r="AH88" s="2548">
        <f t="shared" si="69"/>
        <v>2893.2878483493746</v>
      </c>
      <c r="AI88" s="2548">
        <f t="shared" si="69"/>
        <v>0</v>
      </c>
      <c r="AJ88" s="2548">
        <f t="shared" si="69"/>
        <v>0</v>
      </c>
      <c r="AK88" s="2548">
        <f t="shared" si="69"/>
        <v>0</v>
      </c>
    </row>
    <row r="89" spans="1:37" ht="18" customHeight="1" x14ac:dyDescent="0.2">
      <c r="A89" s="2435"/>
      <c r="B89" s="2547" t="s">
        <v>1112</v>
      </c>
      <c r="C89" s="2462"/>
      <c r="D89" s="2447">
        <f t="shared" ref="D89:K89" si="77">+$D$51-D78</f>
        <v>2686.4</v>
      </c>
      <c r="E89" s="2447">
        <f t="shared" si="77"/>
        <v>167.90000000000009</v>
      </c>
      <c r="F89" s="2447">
        <f t="shared" si="77"/>
        <v>167.90000000000009</v>
      </c>
      <c r="G89" s="2447">
        <f t="shared" si="77"/>
        <v>167.90000000000009</v>
      </c>
      <c r="H89" s="2447">
        <f t="shared" si="77"/>
        <v>167.90000000000009</v>
      </c>
      <c r="I89" s="2447">
        <f t="shared" si="77"/>
        <v>167.90000000000009</v>
      </c>
      <c r="J89" s="2447">
        <f t="shared" si="77"/>
        <v>167.90000000000009</v>
      </c>
      <c r="K89" s="2447">
        <f t="shared" si="77"/>
        <v>167.90000000000009</v>
      </c>
      <c r="L89" s="2437" t="s">
        <v>1087</v>
      </c>
      <c r="M89" s="2429"/>
      <c r="N89" s="2560" t="s">
        <v>1204</v>
      </c>
      <c r="O89" s="2561"/>
      <c r="P89" s="2562"/>
      <c r="Q89" s="2061"/>
      <c r="R89" s="2061"/>
      <c r="S89" s="2061"/>
      <c r="T89" s="2061"/>
      <c r="U89" s="2061"/>
      <c r="V89" s="2061"/>
      <c r="W89" s="2061"/>
      <c r="X89" s="2061"/>
      <c r="Y89" s="2061"/>
      <c r="Z89" s="2061"/>
      <c r="AA89" s="2431"/>
      <c r="AB89" s="2061"/>
      <c r="AC89" s="2446" t="str">
        <f t="shared" si="68"/>
        <v>CDR seco + rejeito aterro</v>
      </c>
      <c r="AD89" s="2548">
        <f t="shared" si="69"/>
        <v>0</v>
      </c>
      <c r="AE89" s="2548">
        <f t="shared" si="69"/>
        <v>1665.5152855001706</v>
      </c>
      <c r="AF89" s="2548">
        <f t="shared" si="69"/>
        <v>1665.5152855001706</v>
      </c>
      <c r="AG89" s="2548">
        <f t="shared" si="69"/>
        <v>1665.5152855001706</v>
      </c>
      <c r="AH89" s="2548">
        <f t="shared" si="69"/>
        <v>0</v>
      </c>
      <c r="AI89" s="2548">
        <f t="shared" si="69"/>
        <v>0</v>
      </c>
      <c r="AJ89" s="2548">
        <f t="shared" si="69"/>
        <v>0</v>
      </c>
      <c r="AK89" s="2548">
        <f t="shared" si="69"/>
        <v>0</v>
      </c>
    </row>
    <row r="90" spans="1:37" ht="18" customHeight="1" x14ac:dyDescent="0.2">
      <c r="A90" s="2435"/>
      <c r="B90" s="2547" t="s">
        <v>1113</v>
      </c>
      <c r="C90" s="2462"/>
      <c r="D90" s="2447">
        <f t="shared" ref="D90:K90" si="78">+$D$52-D79</f>
        <v>700.8</v>
      </c>
      <c r="E90" s="2447">
        <f t="shared" si="78"/>
        <v>43.800000000000068</v>
      </c>
      <c r="F90" s="2447">
        <f t="shared" si="78"/>
        <v>43.800000000000068</v>
      </c>
      <c r="G90" s="2447">
        <f t="shared" si="78"/>
        <v>43.800000000000068</v>
      </c>
      <c r="H90" s="2447">
        <f t="shared" si="78"/>
        <v>43.800000000000068</v>
      </c>
      <c r="I90" s="2447">
        <f t="shared" si="78"/>
        <v>43.800000000000068</v>
      </c>
      <c r="J90" s="2447">
        <f t="shared" si="78"/>
        <v>43.800000000000068</v>
      </c>
      <c r="K90" s="2447">
        <f t="shared" si="78"/>
        <v>43.800000000000068</v>
      </c>
      <c r="L90" s="2437" t="s">
        <v>1087</v>
      </c>
      <c r="M90" s="2429"/>
      <c r="N90" s="2563" t="s">
        <v>1425</v>
      </c>
      <c r="O90" s="2561"/>
      <c r="P90" s="2562"/>
      <c r="Q90" s="2564">
        <f>32.5*$C$3/1000</f>
        <v>2.4667500000000002</v>
      </c>
      <c r="R90" s="2564">
        <f t="shared" ref="R90:X90" si="79">32.5*$C$3/1000</f>
        <v>2.4667500000000002</v>
      </c>
      <c r="S90" s="2564">
        <f t="shared" si="79"/>
        <v>2.4667500000000002</v>
      </c>
      <c r="T90" s="2564">
        <f t="shared" si="79"/>
        <v>2.4667500000000002</v>
      </c>
      <c r="U90" s="2564">
        <f t="shared" si="79"/>
        <v>2.4667500000000002</v>
      </c>
      <c r="V90" s="2564">
        <f t="shared" si="79"/>
        <v>2.4667500000000002</v>
      </c>
      <c r="W90" s="2564">
        <f t="shared" si="79"/>
        <v>2.4667500000000002</v>
      </c>
      <c r="X90" s="2564">
        <f t="shared" si="79"/>
        <v>2.4667500000000002</v>
      </c>
      <c r="Y90" s="2060" t="s">
        <v>1323</v>
      </c>
      <c r="Z90" s="2061"/>
      <c r="AA90" s="2431"/>
      <c r="AB90" s="2061"/>
      <c r="AC90" s="2446" t="str">
        <f t="shared" si="68"/>
        <v>CDR seco + trat. biol.</v>
      </c>
      <c r="AD90" s="2548">
        <f t="shared" si="69"/>
        <v>0</v>
      </c>
      <c r="AE90" s="2548">
        <f t="shared" si="69"/>
        <v>-27656.768247659871</v>
      </c>
      <c r="AF90" s="2548">
        <f t="shared" si="69"/>
        <v>-33897.189438744288</v>
      </c>
      <c r="AG90" s="2548">
        <f t="shared" si="69"/>
        <v>-27558.720179825148</v>
      </c>
      <c r="AH90" s="2548">
        <f t="shared" si="69"/>
        <v>0</v>
      </c>
      <c r="AI90" s="2548">
        <f t="shared" si="69"/>
        <v>0</v>
      </c>
      <c r="AJ90" s="2548">
        <f t="shared" si="69"/>
        <v>0</v>
      </c>
      <c r="AK90" s="2548">
        <f t="shared" si="69"/>
        <v>0</v>
      </c>
    </row>
    <row r="91" spans="1:37" ht="18" customHeight="1" x14ac:dyDescent="0.2">
      <c r="A91" s="2435"/>
      <c r="B91" s="2547" t="s">
        <v>1114</v>
      </c>
      <c r="C91" s="2462"/>
      <c r="D91" s="2447">
        <f t="shared" ref="D91:K91" si="80">+$D$53-D80</f>
        <v>6497.0000000000009</v>
      </c>
      <c r="E91" s="2447">
        <f t="shared" si="80"/>
        <v>6497.0000000000009</v>
      </c>
      <c r="F91" s="2447">
        <f t="shared" si="80"/>
        <v>6497.0000000000009</v>
      </c>
      <c r="G91" s="2447">
        <f t="shared" si="80"/>
        <v>6497.0000000000009</v>
      </c>
      <c r="H91" s="2447">
        <f t="shared" si="80"/>
        <v>6497.0000000000009</v>
      </c>
      <c r="I91" s="2447">
        <f t="shared" si="80"/>
        <v>6497.0000000000009</v>
      </c>
      <c r="J91" s="2447">
        <f t="shared" si="80"/>
        <v>6497.0000000000009</v>
      </c>
      <c r="K91" s="2447">
        <f t="shared" si="80"/>
        <v>6497.0000000000009</v>
      </c>
      <c r="L91" s="2437" t="s">
        <v>1087</v>
      </c>
      <c r="M91" s="2429"/>
      <c r="N91" s="2565" t="s">
        <v>1426</v>
      </c>
      <c r="O91" s="2566"/>
      <c r="P91" s="2562"/>
      <c r="Q91" s="2564">
        <f>$D$144*$D$149*44/12*1000</f>
        <v>81.01946997934111</v>
      </c>
      <c r="R91" s="2564">
        <f>$E$144*$E$149*44/12*1000</f>
        <v>73.204738919990888</v>
      </c>
      <c r="S91" s="2564">
        <f>$G$144*$G$149*44/12*1000</f>
        <v>73.204738919990888</v>
      </c>
      <c r="T91" s="2564">
        <f>$G$144*$G$149*44/12*1000</f>
        <v>73.204738919990888</v>
      </c>
      <c r="U91" s="2564">
        <f>$H$144*$H$149*44/12*1000</f>
        <v>73.204738919990888</v>
      </c>
      <c r="V91" s="2564">
        <f>$I$144*$I$149*44/12*1000</f>
        <v>73.204738919990888</v>
      </c>
      <c r="W91" s="2564">
        <f>$I$144*$I$149*44/12*1000</f>
        <v>73.204738919990888</v>
      </c>
      <c r="X91" s="2564">
        <f>$I$144*$I$149*44/12*1000</f>
        <v>73.204738919990888</v>
      </c>
      <c r="Y91" s="2060" t="s">
        <v>1323</v>
      </c>
      <c r="Z91" s="2061"/>
      <c r="AA91" s="2431"/>
      <c r="AB91" s="2060"/>
      <c r="AC91" s="2446" t="str">
        <f t="shared" si="68"/>
        <v>CDR seco + CDR org.</v>
      </c>
      <c r="AD91" s="2548">
        <f t="shared" si="69"/>
        <v>0</v>
      </c>
      <c r="AE91" s="2548">
        <f t="shared" si="69"/>
        <v>0</v>
      </c>
      <c r="AF91" s="2548">
        <f t="shared" si="69"/>
        <v>0</v>
      </c>
      <c r="AG91" s="2548">
        <f t="shared" si="69"/>
        <v>0</v>
      </c>
      <c r="AH91" s="2548">
        <f t="shared" si="69"/>
        <v>0</v>
      </c>
      <c r="AI91" s="2548">
        <f t="shared" si="69"/>
        <v>-66496.777373580495</v>
      </c>
      <c r="AJ91" s="2548">
        <f t="shared" si="69"/>
        <v>0</v>
      </c>
      <c r="AK91" s="2548">
        <f t="shared" si="69"/>
        <v>0</v>
      </c>
    </row>
    <row r="92" spans="1:37" ht="18" customHeight="1" x14ac:dyDescent="0.2">
      <c r="A92" s="2435"/>
      <c r="B92" s="2547" t="s">
        <v>1427</v>
      </c>
      <c r="C92" s="2462"/>
      <c r="D92" s="2447">
        <f t="shared" ref="D92:K92" si="81">+$D$54</f>
        <v>1401.6</v>
      </c>
      <c r="E92" s="2447">
        <f t="shared" si="81"/>
        <v>1401.6</v>
      </c>
      <c r="F92" s="2447">
        <f t="shared" si="81"/>
        <v>1401.6</v>
      </c>
      <c r="G92" s="2447">
        <f t="shared" si="81"/>
        <v>1401.6</v>
      </c>
      <c r="H92" s="2447">
        <f t="shared" si="81"/>
        <v>1401.6</v>
      </c>
      <c r="I92" s="2447">
        <f t="shared" si="81"/>
        <v>1401.6</v>
      </c>
      <c r="J92" s="2447">
        <f t="shared" si="81"/>
        <v>1401.6</v>
      </c>
      <c r="K92" s="2447">
        <f t="shared" si="81"/>
        <v>1401.6</v>
      </c>
      <c r="L92" s="2437" t="s">
        <v>1087</v>
      </c>
      <c r="M92" s="2429"/>
      <c r="N92" s="2563" t="s">
        <v>1428</v>
      </c>
      <c r="O92" s="2561"/>
      <c r="P92" s="2562"/>
      <c r="Q92" s="2567">
        <f>$D$173*$D$179*$Q$25*1868</f>
        <v>64.810120640584131</v>
      </c>
      <c r="R92" s="2567">
        <f>$E$173*$E$179*$R$25*1868</f>
        <v>68.305101133569551</v>
      </c>
      <c r="S92" s="2567">
        <f>$G$173*$G$179*$R$25*1868</f>
        <v>68.305101133569551</v>
      </c>
      <c r="T92" s="2567">
        <f>$G$173*$G$179*$R$25*1868</f>
        <v>68.305101133569551</v>
      </c>
      <c r="U92" s="2567">
        <f>$H$173*$H$179*$U$25*1868</f>
        <v>68.305101133569551</v>
      </c>
      <c r="V92" s="2567">
        <f>$I$173*$I$179*$V$25*1868</f>
        <v>68.305101133569551</v>
      </c>
      <c r="W92" s="2567">
        <f>$I$173*$I$179*$V$25*1868</f>
        <v>68.305101133569551</v>
      </c>
      <c r="X92" s="2567">
        <f>$I$173*$I$179*$V$25*1868</f>
        <v>68.305101133569551</v>
      </c>
      <c r="Y92" s="2060" t="s">
        <v>1402</v>
      </c>
      <c r="Z92" s="2061"/>
      <c r="AA92" s="2431"/>
      <c r="AB92" s="2061"/>
      <c r="AC92" s="2446" t="str">
        <f>+AC56</f>
        <v>Incineração</v>
      </c>
      <c r="AD92" s="2548">
        <f t="shared" si="69"/>
        <v>0</v>
      </c>
      <c r="AE92" s="2548">
        <f t="shared" si="69"/>
        <v>0</v>
      </c>
      <c r="AF92" s="2548">
        <f t="shared" si="69"/>
        <v>0</v>
      </c>
      <c r="AG92" s="2548">
        <f t="shared" si="69"/>
        <v>0</v>
      </c>
      <c r="AH92" s="2548">
        <f t="shared" si="69"/>
        <v>0</v>
      </c>
      <c r="AI92" s="2548">
        <f t="shared" si="69"/>
        <v>0</v>
      </c>
      <c r="AJ92" s="2548">
        <f t="shared" si="69"/>
        <v>36717.737564836629</v>
      </c>
      <c r="AK92" s="2548">
        <f t="shared" si="69"/>
        <v>36717.737564836629</v>
      </c>
    </row>
    <row r="93" spans="1:37" ht="18" customHeight="1" x14ac:dyDescent="0.2">
      <c r="A93" s="2435"/>
      <c r="B93" s="2547" t="s">
        <v>1321</v>
      </c>
      <c r="C93" s="2462"/>
      <c r="D93" s="2447">
        <f t="shared" ref="D93:K93" si="82">+$D$55</f>
        <v>5840</v>
      </c>
      <c r="E93" s="2447">
        <f t="shared" si="82"/>
        <v>5840</v>
      </c>
      <c r="F93" s="2447">
        <f t="shared" si="82"/>
        <v>5840</v>
      </c>
      <c r="G93" s="2447">
        <f t="shared" si="82"/>
        <v>5840</v>
      </c>
      <c r="H93" s="2447">
        <f t="shared" si="82"/>
        <v>5840</v>
      </c>
      <c r="I93" s="2447">
        <f t="shared" si="82"/>
        <v>5840</v>
      </c>
      <c r="J93" s="2447">
        <f t="shared" si="82"/>
        <v>5840</v>
      </c>
      <c r="K93" s="2447">
        <f t="shared" si="82"/>
        <v>5840</v>
      </c>
      <c r="L93" s="2437" t="s">
        <v>1087</v>
      </c>
      <c r="M93" s="2429"/>
      <c r="N93" s="2563" t="s">
        <v>1342</v>
      </c>
      <c r="O93" s="2561"/>
      <c r="P93" s="2562"/>
      <c r="Q93" s="2564">
        <f>Q92*'CO2 - Destinação'!$E$28</f>
        <v>14.58227714413143</v>
      </c>
      <c r="R93" s="2564">
        <f>R92*'CO2 - Destinação'!$G$28</f>
        <v>15.36864775505315</v>
      </c>
      <c r="S93" s="2564">
        <f>S92*'CO2 - Destinação'!$H$28</f>
        <v>15.36864775505315</v>
      </c>
      <c r="T93" s="2564">
        <f>T92*'CO2 - Destinação'!$I$28</f>
        <v>15.36864775505315</v>
      </c>
      <c r="U93" s="2564">
        <f>U92*'CO2 - Destinação'!$J$28</f>
        <v>15.36864775505315</v>
      </c>
      <c r="V93" s="2564">
        <f>V92*'CO2 - Destinação'!$K$28</f>
        <v>15.36864775505315</v>
      </c>
      <c r="W93" s="2564">
        <f>W92*'CO2 - Destinação'!$K$28</f>
        <v>15.36864775505315</v>
      </c>
      <c r="X93" s="2564">
        <f>X92*'CO2 - Destinação'!$M$28</f>
        <v>15.36864775505315</v>
      </c>
      <c r="Y93" s="2060" t="s">
        <v>1402</v>
      </c>
      <c r="Z93" s="2061"/>
      <c r="AA93" s="2431"/>
      <c r="AB93" s="2026"/>
      <c r="AC93" s="2568"/>
      <c r="AD93" s="1841"/>
      <c r="AE93" s="1841"/>
      <c r="AF93" s="1841"/>
      <c r="AG93" s="1841"/>
      <c r="AH93" s="1841"/>
      <c r="AI93" s="1841"/>
      <c r="AJ93" s="1841"/>
      <c r="AK93" s="1841"/>
    </row>
    <row r="94" spans="1:37" ht="18" customHeight="1" x14ac:dyDescent="0.2">
      <c r="A94" s="2435"/>
      <c r="B94" s="2547" t="s">
        <v>1117</v>
      </c>
      <c r="C94" s="2462"/>
      <c r="D94" s="2447">
        <f t="shared" ref="D94:K94" si="83">+$D$56</f>
        <v>1065.8</v>
      </c>
      <c r="E94" s="2447">
        <f t="shared" si="83"/>
        <v>1065.8</v>
      </c>
      <c r="F94" s="2447">
        <f t="shared" si="83"/>
        <v>1065.8</v>
      </c>
      <c r="G94" s="2447">
        <f t="shared" si="83"/>
        <v>1065.8</v>
      </c>
      <c r="H94" s="2447">
        <f t="shared" si="83"/>
        <v>1065.8</v>
      </c>
      <c r="I94" s="2447">
        <f t="shared" si="83"/>
        <v>1065.8</v>
      </c>
      <c r="J94" s="2447">
        <f t="shared" si="83"/>
        <v>1065.8</v>
      </c>
      <c r="K94" s="2447">
        <f t="shared" si="83"/>
        <v>1065.8</v>
      </c>
      <c r="L94" s="2437" t="s">
        <v>1087</v>
      </c>
      <c r="M94" s="2429"/>
      <c r="N94" s="2563" t="s">
        <v>1429</v>
      </c>
      <c r="O94" s="2561"/>
      <c r="P94" s="2562"/>
      <c r="Q94" s="2564">
        <f>($Q$43+$Q$44+$Q$45)*$D$173</f>
        <v>2.2522446039289226</v>
      </c>
      <c r="R94" s="2564">
        <f>($R$43+$R$44+$R$45)*$E$173</f>
        <v>2.2949368506249965</v>
      </c>
      <c r="S94" s="2564">
        <f>($R$43+$R$44+$R$45)*$E$173</f>
        <v>2.2949368506249965</v>
      </c>
      <c r="T94" s="2564">
        <f>($R$43+$R$44+$R$45)*$E$173</f>
        <v>2.2949368506249965</v>
      </c>
      <c r="U94" s="2564">
        <f>($U$43+$U$44+$U$45)*$H$173</f>
        <v>2.2949368506249965</v>
      </c>
      <c r="V94" s="2569">
        <f>($V$43+$V$44+$V$45)*$I$173</f>
        <v>2.2949368506249965</v>
      </c>
      <c r="W94" s="2569">
        <f>($V$43+$V$44+$V$45)*$I$173</f>
        <v>2.2949368506249965</v>
      </c>
      <c r="X94" s="2569">
        <f>($V$43+$V$44+$V$45)*$I$173</f>
        <v>2.2949368506249965</v>
      </c>
      <c r="Y94" s="2486" t="s">
        <v>1323</v>
      </c>
      <c r="Z94" s="2060"/>
      <c r="AA94" s="2431"/>
      <c r="AB94" s="2026"/>
      <c r="AC94" s="2568"/>
      <c r="AD94" s="1841"/>
      <c r="AE94" s="1841"/>
      <c r="AF94" s="1841"/>
      <c r="AG94" s="1841"/>
      <c r="AH94" s="1841"/>
      <c r="AI94" s="1841"/>
      <c r="AJ94" s="1841"/>
      <c r="AK94" s="1841"/>
    </row>
    <row r="95" spans="1:37" ht="18" customHeight="1" x14ac:dyDescent="0.2">
      <c r="A95" s="2435"/>
      <c r="B95" s="2547" t="s">
        <v>1118</v>
      </c>
      <c r="C95" s="2462"/>
      <c r="D95" s="2447">
        <f t="shared" ref="D95:K95" si="84">+$D$57</f>
        <v>0</v>
      </c>
      <c r="E95" s="2447">
        <f t="shared" si="84"/>
        <v>0</v>
      </c>
      <c r="F95" s="2447">
        <f t="shared" si="84"/>
        <v>0</v>
      </c>
      <c r="G95" s="2447">
        <f t="shared" si="84"/>
        <v>0</v>
      </c>
      <c r="H95" s="2447">
        <f t="shared" si="84"/>
        <v>0</v>
      </c>
      <c r="I95" s="2447">
        <f t="shared" si="84"/>
        <v>0</v>
      </c>
      <c r="J95" s="2447">
        <f t="shared" si="84"/>
        <v>0</v>
      </c>
      <c r="K95" s="2447">
        <f t="shared" si="84"/>
        <v>0</v>
      </c>
      <c r="L95" s="2437" t="s">
        <v>1087</v>
      </c>
      <c r="M95" s="2429"/>
      <c r="N95" s="2563" t="s">
        <v>1430</v>
      </c>
      <c r="O95" s="2561"/>
      <c r="P95" s="2562"/>
      <c r="Q95" s="2564">
        <f>(Q93*'CO2 - Destinação'!$E$32+Q92*(1-'CO2 - Destinação'!$E$28)*(1-'CO2 - Destinação'!$E$40))*$Q$26*16/22.4*28</f>
        <v>497.25565061488186</v>
      </c>
      <c r="R95" s="2564">
        <f>(R93*'CO2 - Destinação'!$G$32+R92*(1-'CO2 - Destinação'!$G$28)*(1-'CO2 - Destinação'!$G$40))*$R$26*16/22.4*28</f>
        <v>524.07088844731254</v>
      </c>
      <c r="S95" s="2564">
        <f>(S93*'CO2 - Destinação'!$H$32+S92*(1-'CO2 - Destinação'!$H$28)*(1-'CO2 - Destinação'!$H$40))*$R$26*16/22.4*28</f>
        <v>524.07088844731254</v>
      </c>
      <c r="T95" s="2564">
        <f>(T93*'CO2 - Destinação'!$I$32+T92*(1-'CO2 - Destinação'!$I$28)*(1-'CO2 - Destinação'!$I$40))*$R$26*16/22.4*28</f>
        <v>524.07088844731254</v>
      </c>
      <c r="U95" s="2564">
        <f>(U93*'CO2 - Destinação'!$J$32+U92*(1-'CO2 - Destinação'!$J$28)*(1-'CO2 - Destinação'!$J$40))*$U$26*16/22.4*28</f>
        <v>524.07088844731254</v>
      </c>
      <c r="V95" s="2569">
        <f>(V93*'CO2 - Destinação'!$K$32+V92*(1-'CO2 - Destinação'!$K$28)*(1-'CO2 - Destinação'!$K$40))*$V$26*16/22.4*28</f>
        <v>524.07088844731254</v>
      </c>
      <c r="W95" s="2569">
        <f>(W93*'CO2 - Destinação'!$K$32+W92*(1-'CO2 - Destinação'!$K$28)*(1-'CO2 - Destinação'!$K$40))*$V$26*16/22.4*28</f>
        <v>524.07088844731254</v>
      </c>
      <c r="X95" s="2569">
        <f>(X93*'CO2 - Destinação'!$M$32+X92*(1-'CO2 - Destinação'!$M$28)*(1-'CO2 - Destinação'!$M$40))*$V$26*16/22.4*28</f>
        <v>524.07088844731254</v>
      </c>
      <c r="Y95" s="2486" t="s">
        <v>1323</v>
      </c>
      <c r="Z95" s="2061"/>
      <c r="AA95" s="2431"/>
      <c r="AB95" s="2026"/>
      <c r="AC95" s="2568"/>
      <c r="AD95" s="1841"/>
      <c r="AE95" s="1841"/>
      <c r="AF95" s="1841"/>
      <c r="AG95" s="1841"/>
      <c r="AH95" s="1841"/>
      <c r="AI95" s="2570"/>
      <c r="AJ95" s="2570"/>
      <c r="AK95" s="2570"/>
    </row>
    <row r="96" spans="1:37" ht="18" customHeight="1" x14ac:dyDescent="0.2">
      <c r="A96" s="2435"/>
      <c r="B96" s="2547" t="s">
        <v>1119</v>
      </c>
      <c r="C96" s="2462"/>
      <c r="D96" s="2447">
        <f t="shared" ref="D96:K96" si="85">+$D$58</f>
        <v>9577.6000000000022</v>
      </c>
      <c r="E96" s="2447">
        <f t="shared" si="85"/>
        <v>9577.6000000000022</v>
      </c>
      <c r="F96" s="2447">
        <f t="shared" si="85"/>
        <v>9577.6000000000022</v>
      </c>
      <c r="G96" s="2447">
        <f t="shared" si="85"/>
        <v>9577.6000000000022</v>
      </c>
      <c r="H96" s="2447">
        <f t="shared" si="85"/>
        <v>9577.6000000000022</v>
      </c>
      <c r="I96" s="2447">
        <f t="shared" si="85"/>
        <v>9577.6000000000022</v>
      </c>
      <c r="J96" s="2447">
        <f t="shared" si="85"/>
        <v>9577.6000000000022</v>
      </c>
      <c r="K96" s="2447">
        <f t="shared" si="85"/>
        <v>9577.6000000000022</v>
      </c>
      <c r="L96" s="2437" t="s">
        <v>1087</v>
      </c>
      <c r="M96" s="2429"/>
      <c r="N96" s="2560" t="s">
        <v>1367</v>
      </c>
      <c r="O96" s="2561"/>
      <c r="P96" s="2562"/>
      <c r="Q96" s="2571">
        <f t="shared" ref="Q96:X96" si="86">Q90+Q91+Q94+Q95</f>
        <v>582.99411519815192</v>
      </c>
      <c r="R96" s="2571">
        <f t="shared" si="86"/>
        <v>602.03731421792838</v>
      </c>
      <c r="S96" s="2571">
        <f t="shared" si="86"/>
        <v>602.03731421792838</v>
      </c>
      <c r="T96" s="2571">
        <f t="shared" si="86"/>
        <v>602.03731421792838</v>
      </c>
      <c r="U96" s="2571">
        <f t="shared" si="86"/>
        <v>602.03731421792838</v>
      </c>
      <c r="V96" s="2571">
        <f t="shared" si="86"/>
        <v>602.03731421792838</v>
      </c>
      <c r="W96" s="2571">
        <f t="shared" si="86"/>
        <v>602.03731421792838</v>
      </c>
      <c r="X96" s="2571">
        <f t="shared" si="86"/>
        <v>602.03731421792838</v>
      </c>
      <c r="Y96" s="2504" t="s">
        <v>1323</v>
      </c>
      <c r="Z96" s="2061"/>
      <c r="AA96" s="2431"/>
      <c r="AB96" s="2026"/>
      <c r="AC96" s="2568"/>
      <c r="AD96" s="1841"/>
      <c r="AE96" s="1841"/>
      <c r="AF96" s="1841"/>
      <c r="AG96" s="1841"/>
      <c r="AH96" s="1841"/>
      <c r="AI96" s="1841"/>
      <c r="AJ96" s="1841"/>
      <c r="AK96" s="1841"/>
    </row>
    <row r="97" spans="1:37" ht="18" customHeight="1" x14ac:dyDescent="0.2">
      <c r="A97" s="2435"/>
      <c r="B97" s="2527" t="s">
        <v>52</v>
      </c>
      <c r="C97" s="1986"/>
      <c r="D97" s="2328">
        <f t="shared" ref="D97:K97" si="87">+$D$44-D81</f>
        <v>141269.6</v>
      </c>
      <c r="E97" s="2328">
        <f t="shared" si="87"/>
        <v>131272.54199999999</v>
      </c>
      <c r="F97" s="2328">
        <f t="shared" si="87"/>
        <v>131272.54199999999</v>
      </c>
      <c r="G97" s="2328">
        <f t="shared" si="87"/>
        <v>131272.54199999999</v>
      </c>
      <c r="H97" s="2328">
        <f t="shared" si="87"/>
        <v>131272.54199999999</v>
      </c>
      <c r="I97" s="2328">
        <f t="shared" si="87"/>
        <v>131272.54199999999</v>
      </c>
      <c r="J97" s="2328">
        <f t="shared" si="87"/>
        <v>131272.54199999999</v>
      </c>
      <c r="K97" s="2328">
        <f t="shared" si="87"/>
        <v>131272.54199999999</v>
      </c>
      <c r="L97" s="2437" t="s">
        <v>1087</v>
      </c>
      <c r="M97" s="2429"/>
      <c r="N97" s="2572" t="s">
        <v>1353</v>
      </c>
      <c r="O97" s="2561"/>
      <c r="P97" s="2562"/>
      <c r="Q97" s="2564">
        <f>Q93*'CO2 - Destinação'!$E$33</f>
        <v>14.58227714413143</v>
      </c>
      <c r="R97" s="2564">
        <f>R93*'CO2 - Destinação'!$G$33</f>
        <v>15.36864775505315</v>
      </c>
      <c r="S97" s="2564">
        <f>S93*'CO2 - Destinação'!$H$33</f>
        <v>15.36864775505315</v>
      </c>
      <c r="T97" s="2564">
        <f>T93*'CO2 - Destinação'!$I$33</f>
        <v>15.36864775505315</v>
      </c>
      <c r="U97" s="2564">
        <f>U93*'CO2 - Destinação'!$J$33</f>
        <v>15.36864775505315</v>
      </c>
      <c r="V97" s="2564">
        <f>V93*'CO2 - Destinação'!$K$33</f>
        <v>15.36864775505315</v>
      </c>
      <c r="W97" s="2564">
        <f>W93*'CO2 - Destinação'!$K$33</f>
        <v>15.36864775505315</v>
      </c>
      <c r="X97" s="2564">
        <f>X93*'CO2 - Destinação'!$M$33</f>
        <v>15.36864775505315</v>
      </c>
      <c r="Y97" s="2486" t="s">
        <v>1402</v>
      </c>
      <c r="Z97" s="2060"/>
      <c r="AA97" s="2431"/>
      <c r="AB97" s="2026"/>
      <c r="AC97" s="2568"/>
      <c r="AD97" s="1841"/>
      <c r="AE97" s="1841"/>
      <c r="AF97" s="1841"/>
      <c r="AG97" s="1841"/>
      <c r="AH97" s="1841"/>
      <c r="AI97" s="1841"/>
      <c r="AJ97" s="1841"/>
      <c r="AK97" s="1841"/>
    </row>
    <row r="98" spans="1:37" ht="18" customHeight="1" x14ac:dyDescent="0.2">
      <c r="A98" s="2435"/>
      <c r="B98" s="2061"/>
      <c r="C98" s="2061"/>
      <c r="D98" s="2447">
        <f t="shared" ref="D98:J98" si="88">SUM(D84:D96)</f>
        <v>141269.6</v>
      </c>
      <c r="E98" s="2447">
        <f t="shared" si="88"/>
        <v>131272.54200000002</v>
      </c>
      <c r="F98" s="2447">
        <f t="shared" ref="F98" si="89">SUM(F84:F96)</f>
        <v>131272.54200000002</v>
      </c>
      <c r="G98" s="2447">
        <f t="shared" si="88"/>
        <v>131272.54200000002</v>
      </c>
      <c r="H98" s="2447">
        <f t="shared" si="88"/>
        <v>131272.54200000002</v>
      </c>
      <c r="I98" s="2447">
        <f t="shared" si="88"/>
        <v>131272.54200000002</v>
      </c>
      <c r="J98" s="2447">
        <f t="shared" si="88"/>
        <v>131272.54200000002</v>
      </c>
      <c r="K98" s="2447">
        <f t="shared" ref="K98" si="90">SUM(K84:K96)</f>
        <v>131272.54200000002</v>
      </c>
      <c r="L98" s="2437" t="s">
        <v>1087</v>
      </c>
      <c r="M98" s="2429"/>
      <c r="N98" s="2563" t="s">
        <v>1431</v>
      </c>
      <c r="O98" s="2561"/>
      <c r="P98" s="2562"/>
      <c r="Q98" s="2564">
        <f>Q93*'CO2 - Destinação'!$E$34</f>
        <v>0</v>
      </c>
      <c r="R98" s="2564">
        <f>R93*'CO2 - Destinação'!$G$34</f>
        <v>0</v>
      </c>
      <c r="S98" s="2564">
        <f>S93*'CO2 - Destinação'!$H$34</f>
        <v>0</v>
      </c>
      <c r="T98" s="2564">
        <f>T93*'CO2 - Destinação'!$I$34</f>
        <v>0</v>
      </c>
      <c r="U98" s="2564">
        <f>U93*'CO2 - Destinação'!$J$34</f>
        <v>0</v>
      </c>
      <c r="V98" s="2564">
        <f>V93*'CO2 - Destinação'!$K$34</f>
        <v>0</v>
      </c>
      <c r="W98" s="2564">
        <f>W93*'CO2 - Destinação'!$K$34</f>
        <v>0</v>
      </c>
      <c r="X98" s="2564">
        <f>X93*'CO2 - Destinação'!$M$34</f>
        <v>0</v>
      </c>
      <c r="Y98" s="2486" t="s">
        <v>1402</v>
      </c>
      <c r="Z98" s="2061"/>
      <c r="AA98" s="2431"/>
      <c r="AB98" s="2026"/>
      <c r="AC98" s="2568"/>
      <c r="AD98" s="1841"/>
      <c r="AE98" s="1841"/>
      <c r="AF98" s="1841"/>
      <c r="AG98" s="1841"/>
      <c r="AH98" s="1841"/>
      <c r="AI98" s="1841"/>
      <c r="AJ98" s="1841"/>
      <c r="AK98" s="1841"/>
    </row>
    <row r="99" spans="1:37" ht="18" customHeight="1" x14ac:dyDescent="0.2">
      <c r="A99" s="2425" t="s">
        <v>1432</v>
      </c>
      <c r="B99" s="2426"/>
      <c r="C99" s="2426"/>
      <c r="D99" s="2426"/>
      <c r="E99" s="2426"/>
      <c r="F99" s="2426"/>
      <c r="G99" s="2426"/>
      <c r="H99" s="2426"/>
      <c r="I99" s="2426"/>
      <c r="J99" s="2426"/>
      <c r="K99" s="2426"/>
      <c r="L99" s="2453"/>
      <c r="M99" s="2429"/>
      <c r="N99" s="2563" t="s">
        <v>1356</v>
      </c>
      <c r="O99" s="2561"/>
      <c r="P99" s="2562"/>
      <c r="Q99" s="2564">
        <f>Q93*'CO2 - Destinação'!$E$35</f>
        <v>0</v>
      </c>
      <c r="R99" s="2564">
        <f>R93*'CO2 - Destinação'!$G$35</f>
        <v>0</v>
      </c>
      <c r="S99" s="2564">
        <f>S93*'CO2 - Destinação'!$H$35</f>
        <v>0</v>
      </c>
      <c r="T99" s="2564">
        <f>T93*'CO2 - Destinação'!$I$35</f>
        <v>0</v>
      </c>
      <c r="U99" s="2564">
        <f>U93*'CO2 - Destinação'!$J$35</f>
        <v>0</v>
      </c>
      <c r="V99" s="2564">
        <f>V93*'CO2 - Destinação'!$K$35</f>
        <v>0</v>
      </c>
      <c r="W99" s="2564">
        <f>W93*'CO2 - Destinação'!$K$35</f>
        <v>0</v>
      </c>
      <c r="X99" s="2564">
        <f>X93*'CO2 - Destinação'!$M$35</f>
        <v>0</v>
      </c>
      <c r="Y99" s="2486" t="s">
        <v>1402</v>
      </c>
      <c r="Z99" s="2060"/>
      <c r="AA99" s="2431"/>
      <c r="AB99" s="2026"/>
      <c r="AC99" s="2568"/>
      <c r="AD99" s="1841"/>
      <c r="AE99" s="1841"/>
      <c r="AF99" s="1841"/>
      <c r="AG99" s="1841"/>
      <c r="AH99" s="1841"/>
      <c r="AI99" s="1841"/>
      <c r="AJ99" s="1841"/>
      <c r="AK99" s="1841"/>
    </row>
    <row r="100" spans="1:37" ht="18" customHeight="1" x14ac:dyDescent="0.2">
      <c r="A100" s="2061"/>
      <c r="B100" s="2061"/>
      <c r="C100" s="2061"/>
      <c r="D100" s="2061"/>
      <c r="E100" s="2061"/>
      <c r="F100" s="2061"/>
      <c r="G100" s="2061"/>
      <c r="H100" s="2061"/>
      <c r="I100" s="2061"/>
      <c r="J100" s="2061"/>
      <c r="K100" s="2061"/>
      <c r="L100" s="2493"/>
      <c r="M100" s="2429"/>
      <c r="N100" s="2563" t="s">
        <v>1433</v>
      </c>
      <c r="O100" s="2573"/>
      <c r="P100" s="2574"/>
      <c r="Q100" s="2564">
        <f t="shared" ref="Q100:X100" si="91">((Q98*$Q$26*10*$R$12*$C$3)+(Q99*$Q$26*10*$C$6))/1000</f>
        <v>0</v>
      </c>
      <c r="R100" s="2564">
        <f t="shared" si="91"/>
        <v>0</v>
      </c>
      <c r="S100" s="2564">
        <f t="shared" si="91"/>
        <v>0</v>
      </c>
      <c r="T100" s="2564">
        <f t="shared" si="91"/>
        <v>0</v>
      </c>
      <c r="U100" s="2564">
        <f t="shared" si="91"/>
        <v>0</v>
      </c>
      <c r="V100" s="2564">
        <f t="shared" si="91"/>
        <v>0</v>
      </c>
      <c r="W100" s="2564">
        <f t="shared" si="91"/>
        <v>0</v>
      </c>
      <c r="X100" s="2564">
        <f t="shared" si="91"/>
        <v>0</v>
      </c>
      <c r="Y100" s="2486" t="s">
        <v>1323</v>
      </c>
      <c r="Z100" s="2061"/>
      <c r="AA100" s="2431"/>
      <c r="AB100" s="2026"/>
      <c r="AC100" s="2568"/>
      <c r="AD100" s="1841"/>
      <c r="AE100" s="1841"/>
      <c r="AF100" s="1841"/>
      <c r="AG100" s="1841"/>
      <c r="AH100" s="1841"/>
      <c r="AI100" s="1841"/>
      <c r="AJ100" s="1841"/>
      <c r="AK100" s="1841"/>
    </row>
    <row r="101" spans="1:37" ht="18" customHeight="1" x14ac:dyDescent="0.2">
      <c r="A101" s="2061"/>
      <c r="B101" s="2527" t="s">
        <v>1434</v>
      </c>
      <c r="C101" s="2195"/>
      <c r="D101" s="2075" t="str">
        <f t="shared" ref="D101:K101" si="92">+D72</f>
        <v>Cenário-Base</v>
      </c>
      <c r="E101" s="2075" t="str">
        <f t="shared" si="92"/>
        <v>Biodigestão RT1A + CDR TM</v>
      </c>
      <c r="F101" s="2075" t="str">
        <f t="shared" si="92"/>
        <v>Biodigestão RT1B + CDR TM</v>
      </c>
      <c r="G101" s="2075" t="str">
        <f t="shared" si="92"/>
        <v>Biodigestão RT1C + CDR TM</v>
      </c>
      <c r="H101" s="2075" t="str">
        <f t="shared" si="92"/>
        <v>Compostagem + CDR TM</v>
      </c>
      <c r="I101" s="2075" t="str">
        <f t="shared" si="92"/>
        <v xml:space="preserve">Biosecagem + CDR TMB </v>
      </c>
      <c r="J101" s="2075" t="str">
        <f t="shared" si="92"/>
        <v>Incineração Mass Burning</v>
      </c>
      <c r="K101" s="2075" t="str">
        <f t="shared" si="92"/>
        <v>Incineração Mass Burn. Descentralizada</v>
      </c>
      <c r="L101" s="2493"/>
      <c r="M101" s="2429"/>
      <c r="N101" s="2563" t="s">
        <v>1435</v>
      </c>
      <c r="O101" s="2573"/>
      <c r="P101" s="2574"/>
      <c r="Q101" s="2575">
        <f>$D$144*($D$153+$D$154)/33.5*0.9*44/12*1000</f>
        <v>526.49754740147955</v>
      </c>
      <c r="R101" s="2575">
        <f>$E$144*($E$153+$E$154)/33.5*0.9*44/12*1000</f>
        <v>500.53762448082119</v>
      </c>
      <c r="S101" s="2575">
        <f>$E$144*($G$153+$G$154)/33.5*0.9*44/12*1000</f>
        <v>500.53762448082119</v>
      </c>
      <c r="T101" s="2575">
        <f>$E$144*($G$153+$G$154)/33.5*0.9*44/12*1000</f>
        <v>500.53762448082119</v>
      </c>
      <c r="U101" s="2575">
        <f>$H$144*($H$153+$H$154)/33.5*0.9*44/12*1000</f>
        <v>500.53762448082119</v>
      </c>
      <c r="V101" s="2575">
        <f>$I$144*($I$153+$I$154)/33.5*0.9*44/12*1000</f>
        <v>500.53762448082119</v>
      </c>
      <c r="W101" s="2575">
        <f>$I$144*($I$153+$I$154)/33.5*0.9*44/12*1000</f>
        <v>500.53762448082119</v>
      </c>
      <c r="X101" s="2575">
        <f>$I$144*($I$153+$I$154)/33.5*0.9*44/12*1000</f>
        <v>500.53762448082119</v>
      </c>
      <c r="Y101" s="2486" t="s">
        <v>1323</v>
      </c>
      <c r="Z101" s="2061"/>
      <c r="AA101" s="2431"/>
      <c r="AB101" s="2026"/>
      <c r="AC101" s="2568"/>
      <c r="AD101" s="1841"/>
      <c r="AE101" s="1841"/>
      <c r="AF101" s="1841"/>
      <c r="AG101" s="1841"/>
      <c r="AH101" s="1841"/>
      <c r="AI101" s="1841"/>
      <c r="AJ101" s="1841"/>
      <c r="AK101" s="1841"/>
    </row>
    <row r="102" spans="1:37" ht="18" customHeight="1" x14ac:dyDescent="0.2">
      <c r="A102" s="2061"/>
      <c r="B102" s="2547" t="s">
        <v>1108</v>
      </c>
      <c r="C102" s="2470"/>
      <c r="D102" s="2463">
        <f>+D84/IF(D$97=0,1,D$97)</f>
        <v>0.50020669698222409</v>
      </c>
      <c r="E102" s="2463">
        <f t="shared" ref="E102:K114" si="93">+E84/IF(E$97=0,1,E$97)</f>
        <v>0.5382999287086252</v>
      </c>
      <c r="F102" s="2463">
        <f t="shared" si="93"/>
        <v>0.5382999287086252</v>
      </c>
      <c r="G102" s="2463">
        <f t="shared" si="93"/>
        <v>0.5382999287086252</v>
      </c>
      <c r="H102" s="2463">
        <f t="shared" si="93"/>
        <v>0.5382999287086252</v>
      </c>
      <c r="I102" s="2463">
        <f t="shared" si="93"/>
        <v>0.5382999287086252</v>
      </c>
      <c r="J102" s="2463">
        <f t="shared" si="93"/>
        <v>0.5382999287086252</v>
      </c>
      <c r="K102" s="2463">
        <f t="shared" si="93"/>
        <v>0.5382999287086252</v>
      </c>
      <c r="L102" s="2437" t="s">
        <v>194</v>
      </c>
      <c r="M102" s="2429"/>
      <c r="N102" s="2560" t="s">
        <v>1436</v>
      </c>
      <c r="O102" s="2561"/>
      <c r="P102" s="2562"/>
      <c r="Q102" s="2571">
        <f>Q100+Q101</f>
        <v>526.49754740147955</v>
      </c>
      <c r="R102" s="2571">
        <f t="shared" ref="R102:X102" si="94">R100+R101</f>
        <v>500.53762448082119</v>
      </c>
      <c r="S102" s="2571">
        <f t="shared" si="94"/>
        <v>500.53762448082119</v>
      </c>
      <c r="T102" s="2571">
        <f t="shared" si="94"/>
        <v>500.53762448082119</v>
      </c>
      <c r="U102" s="2571">
        <f t="shared" si="94"/>
        <v>500.53762448082119</v>
      </c>
      <c r="V102" s="2571">
        <f t="shared" si="94"/>
        <v>500.53762448082119</v>
      </c>
      <c r="W102" s="2571">
        <f t="shared" si="94"/>
        <v>500.53762448082119</v>
      </c>
      <c r="X102" s="2571">
        <f t="shared" si="94"/>
        <v>500.53762448082119</v>
      </c>
      <c r="Y102" s="2504" t="s">
        <v>1323</v>
      </c>
      <c r="Z102" s="2061"/>
      <c r="AA102" s="2431"/>
      <c r="AB102" s="2026"/>
      <c r="AC102" s="2568"/>
      <c r="AD102" s="1841"/>
      <c r="AE102" s="1841"/>
      <c r="AF102" s="1841"/>
      <c r="AG102" s="1841"/>
      <c r="AH102" s="1841"/>
      <c r="AI102" s="1841"/>
      <c r="AJ102" s="1841"/>
      <c r="AK102" s="1841"/>
    </row>
    <row r="103" spans="1:37" ht="18" customHeight="1" x14ac:dyDescent="0.2">
      <c r="A103" s="2061"/>
      <c r="B103" s="2547" t="s">
        <v>1109</v>
      </c>
      <c r="C103" s="2470"/>
      <c r="D103" s="2463">
        <f t="shared" ref="D103:I114" si="95">+D85/IF(D$97=0,1,D$97)</f>
        <v>3.1004547333608929E-2</v>
      </c>
      <c r="E103" s="2463">
        <f t="shared" si="95"/>
        <v>3.3365698060451976E-2</v>
      </c>
      <c r="F103" s="2463">
        <f t="shared" si="93"/>
        <v>3.3365698060451976E-2</v>
      </c>
      <c r="G103" s="2463">
        <f t="shared" si="93"/>
        <v>3.3365698060451976E-2</v>
      </c>
      <c r="H103" s="2463">
        <f t="shared" si="95"/>
        <v>3.3365698060451976E-2</v>
      </c>
      <c r="I103" s="2463">
        <f t="shared" si="95"/>
        <v>3.3365698060451976E-2</v>
      </c>
      <c r="J103" s="2463">
        <f t="shared" si="93"/>
        <v>3.3365698060451976E-2</v>
      </c>
      <c r="K103" s="2463">
        <f t="shared" si="93"/>
        <v>3.3365698060451976E-2</v>
      </c>
      <c r="L103" s="2437" t="s">
        <v>194</v>
      </c>
      <c r="M103" s="2429"/>
      <c r="N103" s="2060"/>
      <c r="O103" s="2061"/>
      <c r="P103" s="2061"/>
      <c r="Q103" s="2061"/>
      <c r="R103" s="2061"/>
      <c r="S103" s="2061"/>
      <c r="T103" s="2061"/>
      <c r="U103" s="2061"/>
      <c r="V103" s="2061"/>
      <c r="W103" s="2061"/>
      <c r="X103" s="2061"/>
      <c r="Y103" s="2061"/>
      <c r="Z103" s="2061"/>
      <c r="AA103" s="2431"/>
      <c r="AB103" s="2026"/>
      <c r="AC103" s="2568"/>
      <c r="AD103" s="1841"/>
      <c r="AE103" s="1841"/>
      <c r="AF103" s="1841"/>
      <c r="AG103" s="1841"/>
      <c r="AH103" s="1841"/>
      <c r="AI103" s="1841"/>
      <c r="AJ103" s="1841"/>
      <c r="AK103" s="1841"/>
    </row>
    <row r="104" spans="1:37" ht="18" customHeight="1" x14ac:dyDescent="0.2">
      <c r="A104" s="2061"/>
      <c r="B104" s="2547" t="s">
        <v>1110</v>
      </c>
      <c r="C104" s="2470"/>
      <c r="D104" s="2463">
        <f t="shared" si="95"/>
        <v>0.1218478710210831</v>
      </c>
      <c r="E104" s="2463">
        <f t="shared" si="95"/>
        <v>9.7179819980937068E-2</v>
      </c>
      <c r="F104" s="2463">
        <f t="shared" si="93"/>
        <v>9.7179819980937068E-2</v>
      </c>
      <c r="G104" s="2463">
        <f t="shared" si="93"/>
        <v>9.7179819980937068E-2</v>
      </c>
      <c r="H104" s="2463">
        <f t="shared" si="95"/>
        <v>9.7179819980937068E-2</v>
      </c>
      <c r="I104" s="2463">
        <f t="shared" si="95"/>
        <v>9.7179819980937068E-2</v>
      </c>
      <c r="J104" s="2463">
        <f t="shared" si="93"/>
        <v>9.7179819980937068E-2</v>
      </c>
      <c r="K104" s="2463">
        <f t="shared" si="93"/>
        <v>9.7179819980937068E-2</v>
      </c>
      <c r="L104" s="2437" t="s">
        <v>194</v>
      </c>
      <c r="M104" s="2429"/>
      <c r="N104" s="2576" t="s">
        <v>1437</v>
      </c>
      <c r="O104" s="2577"/>
      <c r="P104" s="2578"/>
      <c r="Q104" s="2061"/>
      <c r="R104" s="2061"/>
      <c r="S104" s="2061"/>
      <c r="T104" s="2061"/>
      <c r="U104" s="2061"/>
      <c r="V104" s="2061"/>
      <c r="W104" s="2061"/>
      <c r="X104" s="2061"/>
      <c r="Y104" s="2061"/>
      <c r="Z104" s="2061"/>
      <c r="AA104" s="2431"/>
      <c r="AB104" s="2026"/>
      <c r="AC104" s="2568"/>
      <c r="AD104" s="1841"/>
      <c r="AE104" s="1841"/>
      <c r="AF104" s="1841"/>
      <c r="AG104" s="1841"/>
      <c r="AH104" s="1841"/>
      <c r="AI104" s="1841"/>
      <c r="AJ104" s="1841"/>
      <c r="AK104" s="1841"/>
    </row>
    <row r="105" spans="1:37" ht="18" customHeight="1" x14ac:dyDescent="0.2">
      <c r="A105" s="2061"/>
      <c r="B105" s="2547" t="s">
        <v>1111</v>
      </c>
      <c r="C105" s="2470"/>
      <c r="D105" s="2463">
        <f t="shared" si="95"/>
        <v>0.12556841670111615</v>
      </c>
      <c r="E105" s="2463">
        <f t="shared" si="95"/>
        <v>0.11711360019218643</v>
      </c>
      <c r="F105" s="2463">
        <f t="shared" si="93"/>
        <v>0.11711360019218643</v>
      </c>
      <c r="G105" s="2463">
        <f t="shared" si="93"/>
        <v>0.11711360019218643</v>
      </c>
      <c r="H105" s="2463">
        <f t="shared" si="95"/>
        <v>0.11711360019218643</v>
      </c>
      <c r="I105" s="2463">
        <f t="shared" si="95"/>
        <v>0.11711360019218643</v>
      </c>
      <c r="J105" s="2463">
        <f t="shared" si="93"/>
        <v>0.11711360019218643</v>
      </c>
      <c r="K105" s="2463">
        <f t="shared" si="93"/>
        <v>0.11711360019218643</v>
      </c>
      <c r="L105" s="2437" t="s">
        <v>194</v>
      </c>
      <c r="M105" s="2429"/>
      <c r="N105" s="2579" t="s">
        <v>1425</v>
      </c>
      <c r="O105" s="2577"/>
      <c r="P105" s="2578"/>
      <c r="Q105" s="2580">
        <f>32.5*$C$3/1000</f>
        <v>2.4667500000000002</v>
      </c>
      <c r="R105" s="2580">
        <f t="shared" ref="R105:X105" si="96">32.5*$C$3/1000</f>
        <v>2.4667500000000002</v>
      </c>
      <c r="S105" s="2580">
        <f t="shared" si="96"/>
        <v>2.4667500000000002</v>
      </c>
      <c r="T105" s="2580">
        <f t="shared" si="96"/>
        <v>2.4667500000000002</v>
      </c>
      <c r="U105" s="2580">
        <f t="shared" si="96"/>
        <v>2.4667500000000002</v>
      </c>
      <c r="V105" s="2580">
        <f t="shared" si="96"/>
        <v>2.4667500000000002</v>
      </c>
      <c r="W105" s="2580">
        <f t="shared" si="96"/>
        <v>2.4667500000000002</v>
      </c>
      <c r="X105" s="2580">
        <f t="shared" si="96"/>
        <v>2.4667500000000002</v>
      </c>
      <c r="Y105" s="2486" t="s">
        <v>1323</v>
      </c>
      <c r="Z105" s="2061"/>
      <c r="AA105" s="2431"/>
      <c r="AB105" s="2026"/>
      <c r="AC105" s="2568"/>
      <c r="AD105" s="1841"/>
      <c r="AE105" s="1841"/>
      <c r="AF105" s="1841"/>
      <c r="AG105" s="1841"/>
      <c r="AH105" s="1841"/>
      <c r="AI105" s="1841"/>
      <c r="AJ105" s="1841"/>
      <c r="AK105" s="1841"/>
    </row>
    <row r="106" spans="1:37" ht="18" customHeight="1" x14ac:dyDescent="0.2">
      <c r="A106" s="2061"/>
      <c r="B106" s="2547" t="s">
        <v>50</v>
      </c>
      <c r="C106" s="2470"/>
      <c r="D106" s="2463">
        <f t="shared" si="95"/>
        <v>2.4803637866887142E-2</v>
      </c>
      <c r="E106" s="2463">
        <f t="shared" si="95"/>
        <v>2.6692558448361579E-2</v>
      </c>
      <c r="F106" s="2463">
        <f t="shared" si="93"/>
        <v>2.6692558448361579E-2</v>
      </c>
      <c r="G106" s="2463">
        <f t="shared" si="93"/>
        <v>2.6692558448361579E-2</v>
      </c>
      <c r="H106" s="2463">
        <f t="shared" si="95"/>
        <v>2.6692558448361579E-2</v>
      </c>
      <c r="I106" s="2463">
        <f t="shared" si="95"/>
        <v>2.6692558448361579E-2</v>
      </c>
      <c r="J106" s="2463">
        <f t="shared" si="93"/>
        <v>2.6692558448361579E-2</v>
      </c>
      <c r="K106" s="2463">
        <f t="shared" si="93"/>
        <v>2.6692558448361579E-2</v>
      </c>
      <c r="L106" s="2437" t="s">
        <v>194</v>
      </c>
      <c r="M106" s="2429"/>
      <c r="N106" s="2581" t="s">
        <v>1438</v>
      </c>
      <c r="O106" s="2577"/>
      <c r="P106" s="2578"/>
      <c r="Q106" s="2582">
        <f>$D$144*$D$149*44/12*1000</f>
        <v>81.01946997934111</v>
      </c>
      <c r="R106" s="2582">
        <f>$E$144*$E$149*44/12*1000</f>
        <v>73.204738919990888</v>
      </c>
      <c r="S106" s="2582">
        <f>$G$144*$G$149*44/12*1000</f>
        <v>73.204738919990888</v>
      </c>
      <c r="T106" s="2582">
        <f>$G$144*$G$149*44/12*1000</f>
        <v>73.204738919990888</v>
      </c>
      <c r="U106" s="2582">
        <f>$H$144*$H$149*44/12*1000</f>
        <v>73.204738919990888</v>
      </c>
      <c r="V106" s="2582">
        <f>$I$144*$I$149*44/12*1000</f>
        <v>73.204738919990888</v>
      </c>
      <c r="W106" s="2582">
        <f>$I$144*$I$149*44/12*1000</f>
        <v>73.204738919990888</v>
      </c>
      <c r="X106" s="2582">
        <f>$I$144*$I$149*44/12*1000</f>
        <v>73.204738919990888</v>
      </c>
      <c r="Y106" s="2486" t="s">
        <v>1323</v>
      </c>
      <c r="Z106" s="2061"/>
      <c r="AA106" s="2431"/>
      <c r="AB106" s="2026"/>
      <c r="AC106" s="2568"/>
      <c r="AD106" s="1841"/>
      <c r="AE106" s="1841"/>
      <c r="AF106" s="1841"/>
      <c r="AG106" s="1841"/>
      <c r="AH106" s="1841"/>
      <c r="AI106" s="1841"/>
      <c r="AJ106" s="1841"/>
      <c r="AK106" s="1841"/>
    </row>
    <row r="107" spans="1:37" ht="18" customHeight="1" x14ac:dyDescent="0.2">
      <c r="A107" s="2061"/>
      <c r="B107" s="2547" t="s">
        <v>1112</v>
      </c>
      <c r="C107" s="2470"/>
      <c r="D107" s="2463">
        <f t="shared" si="95"/>
        <v>1.9016122364613478E-2</v>
      </c>
      <c r="E107" s="2463">
        <f t="shared" si="95"/>
        <v>1.2790184256506597E-3</v>
      </c>
      <c r="F107" s="2463">
        <f t="shared" si="93"/>
        <v>1.2790184256506597E-3</v>
      </c>
      <c r="G107" s="2463">
        <f t="shared" si="93"/>
        <v>1.2790184256506597E-3</v>
      </c>
      <c r="H107" s="2463">
        <f t="shared" si="95"/>
        <v>1.2790184256506597E-3</v>
      </c>
      <c r="I107" s="2463">
        <f t="shared" si="95"/>
        <v>1.2790184256506597E-3</v>
      </c>
      <c r="J107" s="2463">
        <f t="shared" si="93"/>
        <v>1.2790184256506597E-3</v>
      </c>
      <c r="K107" s="2463">
        <f t="shared" si="93"/>
        <v>1.2790184256506597E-3</v>
      </c>
      <c r="L107" s="2437" t="s">
        <v>194</v>
      </c>
      <c r="M107" s="2429"/>
      <c r="N107" s="2583" t="s">
        <v>1439</v>
      </c>
      <c r="O107" s="2584"/>
      <c r="P107" s="2585"/>
      <c r="Q107" s="2586"/>
      <c r="R107" s="2586"/>
      <c r="S107" s="2586"/>
      <c r="T107" s="2586"/>
      <c r="U107" s="2586"/>
      <c r="V107" s="2586"/>
      <c r="W107" s="2586"/>
      <c r="X107" s="2586"/>
      <c r="Y107" s="2486"/>
      <c r="Z107" s="2060"/>
      <c r="AA107" s="2431"/>
      <c r="AB107" s="2026"/>
      <c r="AC107" s="2568"/>
      <c r="AD107" s="1841"/>
      <c r="AE107" s="1841"/>
      <c r="AF107" s="1841"/>
      <c r="AG107" s="1841"/>
      <c r="AH107" s="1841"/>
      <c r="AI107" s="1841"/>
      <c r="AJ107" s="1841"/>
      <c r="AK107" s="1841"/>
    </row>
    <row r="108" spans="1:37" ht="18" customHeight="1" x14ac:dyDescent="0.2">
      <c r="A108" s="2061"/>
      <c r="B108" s="2547" t="s">
        <v>1113</v>
      </c>
      <c r="C108" s="2470"/>
      <c r="D108" s="2463">
        <f t="shared" si="95"/>
        <v>4.9607275733774278E-3</v>
      </c>
      <c r="E108" s="2463">
        <f t="shared" si="95"/>
        <v>3.3365698060452026E-4</v>
      </c>
      <c r="F108" s="2463">
        <f t="shared" si="93"/>
        <v>3.3365698060452026E-4</v>
      </c>
      <c r="G108" s="2463">
        <f t="shared" si="93"/>
        <v>3.3365698060452026E-4</v>
      </c>
      <c r="H108" s="2463">
        <f t="shared" si="95"/>
        <v>3.3365698060452026E-4</v>
      </c>
      <c r="I108" s="2463">
        <f t="shared" si="95"/>
        <v>3.3365698060452026E-4</v>
      </c>
      <c r="J108" s="2463">
        <f t="shared" si="93"/>
        <v>3.3365698060452026E-4</v>
      </c>
      <c r="K108" s="2463">
        <f t="shared" si="93"/>
        <v>3.3365698060452026E-4</v>
      </c>
      <c r="L108" s="2437" t="s">
        <v>194</v>
      </c>
      <c r="M108" s="2429"/>
      <c r="N108" s="2579" t="s">
        <v>1387</v>
      </c>
      <c r="O108" s="2587"/>
      <c r="P108" s="2585"/>
      <c r="Q108" s="2588">
        <v>0.35</v>
      </c>
      <c r="R108" s="2588">
        <v>0.35</v>
      </c>
      <c r="S108" s="2588">
        <v>0.35</v>
      </c>
      <c r="T108" s="2588">
        <v>0.35</v>
      </c>
      <c r="U108" s="2588">
        <v>0.35</v>
      </c>
      <c r="V108" s="2588">
        <v>0.35</v>
      </c>
      <c r="W108" s="2588">
        <v>0.35</v>
      </c>
      <c r="X108" s="2588">
        <v>0.35</v>
      </c>
      <c r="Y108" s="2486" t="s">
        <v>1329</v>
      </c>
      <c r="Z108" s="2061"/>
      <c r="AA108" s="2431"/>
      <c r="AB108" s="2026"/>
      <c r="AC108" s="2568"/>
      <c r="AD108" s="1841"/>
      <c r="AE108" s="1841"/>
      <c r="AF108" s="1841"/>
      <c r="AG108" s="1841"/>
      <c r="AH108" s="1841"/>
      <c r="AI108" s="1841"/>
      <c r="AJ108" s="1841"/>
      <c r="AK108" s="1841"/>
    </row>
    <row r="109" spans="1:37" ht="18" customHeight="1" x14ac:dyDescent="0.2">
      <c r="A109" s="2061"/>
      <c r="B109" s="2547" t="s">
        <v>1114</v>
      </c>
      <c r="C109" s="2470"/>
      <c r="D109" s="2463">
        <f t="shared" si="95"/>
        <v>4.599007854485325E-2</v>
      </c>
      <c r="E109" s="2463">
        <f t="shared" si="95"/>
        <v>4.9492452123003773E-2</v>
      </c>
      <c r="F109" s="2463">
        <f t="shared" si="93"/>
        <v>4.9492452123003773E-2</v>
      </c>
      <c r="G109" s="2463">
        <f t="shared" si="93"/>
        <v>4.9492452123003773E-2</v>
      </c>
      <c r="H109" s="2463">
        <f t="shared" si="95"/>
        <v>4.9492452123003773E-2</v>
      </c>
      <c r="I109" s="2463">
        <f t="shared" si="95"/>
        <v>4.9492452123003773E-2</v>
      </c>
      <c r="J109" s="2463">
        <f t="shared" si="93"/>
        <v>4.9492452123003773E-2</v>
      </c>
      <c r="K109" s="2463">
        <f t="shared" si="93"/>
        <v>4.9492452123003773E-2</v>
      </c>
      <c r="L109" s="2437" t="s">
        <v>194</v>
      </c>
      <c r="M109" s="2429"/>
      <c r="N109" s="2579" t="s">
        <v>1389</v>
      </c>
      <c r="O109" s="2589"/>
      <c r="P109" s="2578"/>
      <c r="Q109" s="2582">
        <f>$D$173*(0.82*28+0.045*265)</f>
        <v>24.260866267052496</v>
      </c>
      <c r="R109" s="2582">
        <f>$E$173*(0.82*28+0.045*265)</f>
        <v>24.72074122287508</v>
      </c>
      <c r="S109" s="2582">
        <f>$G$173*(0.82*28+0.045*265)</f>
        <v>24.72074122287508</v>
      </c>
      <c r="T109" s="2582">
        <f>$G$173*(0.82*28+0.045*265)</f>
        <v>24.72074122287508</v>
      </c>
      <c r="U109" s="2582">
        <f>$H$173*(0.82*28+0.045*265)</f>
        <v>24.72074122287508</v>
      </c>
      <c r="V109" s="2582">
        <f>$I$173*(0.82*28+0.045*265)</f>
        <v>24.72074122287508</v>
      </c>
      <c r="W109" s="2582">
        <f>$I$173*(0.82*28+0.045*265)</f>
        <v>24.72074122287508</v>
      </c>
      <c r="X109" s="2582">
        <f>$I$173*(0.82*28+0.045*265)</f>
        <v>24.72074122287508</v>
      </c>
      <c r="Y109" s="2486" t="s">
        <v>1323</v>
      </c>
      <c r="Z109" s="2060"/>
      <c r="AA109" s="2431"/>
      <c r="AB109" s="2026"/>
      <c r="AC109" s="2568"/>
      <c r="AD109" s="1841"/>
      <c r="AE109" s="1841"/>
      <c r="AF109" s="1841"/>
      <c r="AG109" s="1841"/>
      <c r="AH109" s="1841"/>
      <c r="AI109" s="1841"/>
      <c r="AJ109" s="1841"/>
      <c r="AK109" s="1841"/>
    </row>
    <row r="110" spans="1:37" ht="18" customHeight="1" x14ac:dyDescent="0.2">
      <c r="A110" s="2061"/>
      <c r="B110" s="2547" t="s">
        <v>1375</v>
      </c>
      <c r="C110" s="2470"/>
      <c r="D110" s="2463">
        <f t="shared" si="95"/>
        <v>9.9214551467548557E-3</v>
      </c>
      <c r="E110" s="2463">
        <f t="shared" si="95"/>
        <v>1.0677023379344631E-2</v>
      </c>
      <c r="F110" s="2463">
        <f t="shared" si="93"/>
        <v>1.0677023379344631E-2</v>
      </c>
      <c r="G110" s="2463">
        <f t="shared" si="93"/>
        <v>1.0677023379344631E-2</v>
      </c>
      <c r="H110" s="2463">
        <f t="shared" si="95"/>
        <v>1.0677023379344631E-2</v>
      </c>
      <c r="I110" s="2463">
        <f t="shared" si="95"/>
        <v>1.0677023379344631E-2</v>
      </c>
      <c r="J110" s="2463">
        <f t="shared" si="93"/>
        <v>1.0677023379344631E-2</v>
      </c>
      <c r="K110" s="2463">
        <f t="shared" si="93"/>
        <v>1.0677023379344631E-2</v>
      </c>
      <c r="L110" s="2437" t="s">
        <v>194</v>
      </c>
      <c r="M110" s="2429"/>
      <c r="N110" s="2579" t="s">
        <v>1391</v>
      </c>
      <c r="O110" s="2587"/>
      <c r="P110" s="2585"/>
      <c r="Q110" s="2580">
        <f>$D$173*5</f>
        <v>3.4772633319553532</v>
      </c>
      <c r="R110" s="2580">
        <f>$E$173*5</f>
        <v>3.5431763254801609</v>
      </c>
      <c r="S110" s="2580">
        <f>$G$173*5</f>
        <v>3.5431763254801609</v>
      </c>
      <c r="T110" s="2580">
        <f>$G$173*5</f>
        <v>3.5431763254801609</v>
      </c>
      <c r="U110" s="2580">
        <f>$H$173*5</f>
        <v>3.5431763254801609</v>
      </c>
      <c r="V110" s="2580">
        <f>$I$173*5</f>
        <v>3.5431763254801609</v>
      </c>
      <c r="W110" s="2580">
        <f>$I$173*5</f>
        <v>3.5431763254801609</v>
      </c>
      <c r="X110" s="2580">
        <f>$I$173*5</f>
        <v>3.5431763254801609</v>
      </c>
      <c r="Y110" s="2486" t="s">
        <v>1392</v>
      </c>
      <c r="Z110" s="2061"/>
      <c r="AA110" s="2431"/>
      <c r="AB110" s="2026"/>
      <c r="AC110" s="2568"/>
      <c r="AD110" s="1841"/>
      <c r="AE110" s="1841"/>
      <c r="AF110" s="1841"/>
      <c r="AG110" s="1841"/>
      <c r="AH110" s="1841"/>
      <c r="AI110" s="1841"/>
      <c r="AJ110" s="1841"/>
      <c r="AK110" s="1841"/>
    </row>
    <row r="111" spans="1:37" ht="18" customHeight="1" x14ac:dyDescent="0.2">
      <c r="A111" s="2061"/>
      <c r="B111" s="2547" t="s">
        <v>1321</v>
      </c>
      <c r="C111" s="2470"/>
      <c r="D111" s="2463">
        <f t="shared" si="95"/>
        <v>4.1339396444811903E-2</v>
      </c>
      <c r="E111" s="2463">
        <f t="shared" si="95"/>
        <v>4.4487597413935966E-2</v>
      </c>
      <c r="F111" s="2463">
        <f t="shared" si="93"/>
        <v>4.4487597413935966E-2</v>
      </c>
      <c r="G111" s="2463">
        <f t="shared" si="93"/>
        <v>4.4487597413935966E-2</v>
      </c>
      <c r="H111" s="2463">
        <f t="shared" si="95"/>
        <v>4.4487597413935966E-2</v>
      </c>
      <c r="I111" s="2463">
        <f t="shared" si="95"/>
        <v>4.4487597413935966E-2</v>
      </c>
      <c r="J111" s="2463">
        <f t="shared" si="93"/>
        <v>4.4487597413935966E-2</v>
      </c>
      <c r="K111" s="2463">
        <f t="shared" si="93"/>
        <v>4.4487597413935966E-2</v>
      </c>
      <c r="L111" s="2437" t="s">
        <v>194</v>
      </c>
      <c r="M111" s="2429"/>
      <c r="N111" s="2579" t="s">
        <v>1440</v>
      </c>
      <c r="O111" s="2590"/>
      <c r="P111" s="2585"/>
      <c r="Q111" s="2580">
        <f t="shared" ref="Q111:X111" si="97">+Q110*$C$3/1000</f>
        <v>0.26392428689541136</v>
      </c>
      <c r="R111" s="2580">
        <f t="shared" si="97"/>
        <v>0.26892708310394425</v>
      </c>
      <c r="S111" s="2580">
        <f t="shared" si="97"/>
        <v>0.26892708310394425</v>
      </c>
      <c r="T111" s="2580">
        <f t="shared" si="97"/>
        <v>0.26892708310394425</v>
      </c>
      <c r="U111" s="2580">
        <f t="shared" si="97"/>
        <v>0.26892708310394425</v>
      </c>
      <c r="V111" s="2580">
        <f t="shared" si="97"/>
        <v>0.26892708310394425</v>
      </c>
      <c r="W111" s="2580">
        <f t="shared" si="97"/>
        <v>0.26892708310394425</v>
      </c>
      <c r="X111" s="2580">
        <f t="shared" si="97"/>
        <v>0.26892708310394425</v>
      </c>
      <c r="Y111" s="2486" t="s">
        <v>1323</v>
      </c>
      <c r="Z111" s="2060"/>
      <c r="AA111" s="2431"/>
      <c r="AB111" s="2026"/>
      <c r="AC111" s="2568"/>
      <c r="AD111" s="1841"/>
      <c r="AE111" s="1841"/>
      <c r="AF111" s="1841"/>
      <c r="AG111" s="1841"/>
      <c r="AH111" s="1841"/>
      <c r="AI111" s="1841"/>
      <c r="AJ111" s="1841"/>
      <c r="AK111" s="1841"/>
    </row>
    <row r="112" spans="1:37" ht="18" customHeight="1" x14ac:dyDescent="0.2">
      <c r="A112" s="2061"/>
      <c r="B112" s="2547" t="s">
        <v>1117</v>
      </c>
      <c r="C112" s="2470"/>
      <c r="D112" s="2463">
        <f t="shared" si="95"/>
        <v>7.5444398511781722E-3</v>
      </c>
      <c r="E112" s="2463">
        <f t="shared" si="95"/>
        <v>8.1189865280433138E-3</v>
      </c>
      <c r="F112" s="2463">
        <f t="shared" si="93"/>
        <v>8.1189865280433138E-3</v>
      </c>
      <c r="G112" s="2463">
        <f t="shared" si="93"/>
        <v>8.1189865280433138E-3</v>
      </c>
      <c r="H112" s="2463">
        <f t="shared" si="95"/>
        <v>8.1189865280433138E-3</v>
      </c>
      <c r="I112" s="2463">
        <f t="shared" si="95"/>
        <v>8.1189865280433138E-3</v>
      </c>
      <c r="J112" s="2463">
        <f t="shared" si="93"/>
        <v>8.1189865280433138E-3</v>
      </c>
      <c r="K112" s="2463">
        <f t="shared" si="93"/>
        <v>8.1189865280433138E-3</v>
      </c>
      <c r="L112" s="2437" t="s">
        <v>194</v>
      </c>
      <c r="M112" s="2429"/>
      <c r="N112" s="2579" t="s">
        <v>1441</v>
      </c>
      <c r="O112" s="2587"/>
      <c r="P112" s="2585"/>
      <c r="Q112" s="2580">
        <f>Q109+Q111</f>
        <v>24.524790553947906</v>
      </c>
      <c r="R112" s="2580">
        <f t="shared" ref="R112:X112" si="98">R109+R111</f>
        <v>24.989668305979023</v>
      </c>
      <c r="S112" s="2580">
        <f t="shared" si="98"/>
        <v>24.989668305979023</v>
      </c>
      <c r="T112" s="2580">
        <f t="shared" si="98"/>
        <v>24.989668305979023</v>
      </c>
      <c r="U112" s="2580">
        <f t="shared" si="98"/>
        <v>24.989668305979023</v>
      </c>
      <c r="V112" s="2580">
        <f t="shared" si="98"/>
        <v>24.989668305979023</v>
      </c>
      <c r="W112" s="2580">
        <f t="shared" si="98"/>
        <v>24.989668305979023</v>
      </c>
      <c r="X112" s="2580">
        <f t="shared" si="98"/>
        <v>24.989668305979023</v>
      </c>
      <c r="Y112" s="2486" t="s">
        <v>1323</v>
      </c>
      <c r="Z112" s="2060"/>
      <c r="AA112" s="2431"/>
      <c r="AB112" s="2026"/>
      <c r="AC112" s="2568"/>
      <c r="AD112" s="1841"/>
      <c r="AE112" s="1841"/>
      <c r="AF112" s="1841"/>
      <c r="AG112" s="1841"/>
      <c r="AH112" s="1841"/>
      <c r="AI112" s="1841"/>
      <c r="AJ112" s="1841"/>
      <c r="AK112" s="1841"/>
    </row>
    <row r="113" spans="1:37" ht="18" customHeight="1" x14ac:dyDescent="0.2">
      <c r="A113" s="2061"/>
      <c r="B113" s="2547" t="s">
        <v>1118</v>
      </c>
      <c r="C113" s="2470"/>
      <c r="D113" s="2463">
        <f t="shared" si="95"/>
        <v>0</v>
      </c>
      <c r="E113" s="2463">
        <f t="shared" si="95"/>
        <v>0</v>
      </c>
      <c r="F113" s="2463">
        <f t="shared" si="93"/>
        <v>0</v>
      </c>
      <c r="G113" s="2463">
        <f t="shared" si="93"/>
        <v>0</v>
      </c>
      <c r="H113" s="2463">
        <f t="shared" si="95"/>
        <v>0</v>
      </c>
      <c r="I113" s="2463">
        <f t="shared" si="95"/>
        <v>0</v>
      </c>
      <c r="J113" s="2463">
        <f t="shared" si="93"/>
        <v>0</v>
      </c>
      <c r="K113" s="2463">
        <f t="shared" si="93"/>
        <v>0</v>
      </c>
      <c r="L113" s="2437" t="s">
        <v>194</v>
      </c>
      <c r="M113" s="2429"/>
      <c r="N113" s="2583" t="s">
        <v>1398</v>
      </c>
      <c r="O113" s="2587"/>
      <c r="P113" s="2585"/>
      <c r="Q113" s="2586"/>
      <c r="R113" s="2586"/>
      <c r="S113" s="2586"/>
      <c r="T113" s="2586"/>
      <c r="U113" s="2586"/>
      <c r="V113" s="2586"/>
      <c r="W113" s="2586"/>
      <c r="X113" s="2586"/>
      <c r="Y113" s="2486"/>
      <c r="Z113" s="2060"/>
      <c r="AA113" s="2431"/>
      <c r="AB113" s="2026"/>
      <c r="AC113" s="2568"/>
      <c r="AD113" s="1841"/>
      <c r="AE113" s="1841"/>
      <c r="AF113" s="1841"/>
      <c r="AG113" s="1841"/>
      <c r="AH113" s="1841"/>
      <c r="AI113" s="1841"/>
      <c r="AJ113" s="1841"/>
      <c r="AK113" s="1841"/>
    </row>
    <row r="114" spans="1:37" ht="18" customHeight="1" x14ac:dyDescent="0.2">
      <c r="A114" s="2061"/>
      <c r="B114" s="2547" t="s">
        <v>1119</v>
      </c>
      <c r="C114" s="2470"/>
      <c r="D114" s="2463">
        <f t="shared" si="95"/>
        <v>6.7796610169491539E-2</v>
      </c>
      <c r="E114" s="2463">
        <f t="shared" si="95"/>
        <v>7.2959659758855003E-2</v>
      </c>
      <c r="F114" s="2463">
        <f t="shared" si="93"/>
        <v>7.2959659758855003E-2</v>
      </c>
      <c r="G114" s="2463">
        <f t="shared" si="93"/>
        <v>7.2959659758855003E-2</v>
      </c>
      <c r="H114" s="2463">
        <f t="shared" si="95"/>
        <v>7.2959659758855003E-2</v>
      </c>
      <c r="I114" s="2591">
        <f t="shared" si="95"/>
        <v>7.2959659758855003E-2</v>
      </c>
      <c r="J114" s="2591">
        <f t="shared" si="93"/>
        <v>7.2959659758855003E-2</v>
      </c>
      <c r="K114" s="2591">
        <f t="shared" si="93"/>
        <v>7.2959659758855003E-2</v>
      </c>
      <c r="L114" s="2437" t="s">
        <v>194</v>
      </c>
      <c r="M114" s="2429"/>
      <c r="N114" s="2579" t="s">
        <v>1400</v>
      </c>
      <c r="O114" s="2587"/>
      <c r="P114" s="2585"/>
      <c r="Q114" s="2588">
        <f>Q108</f>
        <v>0.35</v>
      </c>
      <c r="R114" s="2588">
        <f t="shared" ref="R114:X114" si="99">R108</f>
        <v>0.35</v>
      </c>
      <c r="S114" s="2588">
        <f t="shared" si="99"/>
        <v>0.35</v>
      </c>
      <c r="T114" s="2588">
        <f t="shared" si="99"/>
        <v>0.35</v>
      </c>
      <c r="U114" s="2588">
        <f t="shared" si="99"/>
        <v>0.35</v>
      </c>
      <c r="V114" s="2588">
        <f t="shared" si="99"/>
        <v>0.35</v>
      </c>
      <c r="W114" s="2588">
        <f t="shared" si="99"/>
        <v>0.35</v>
      </c>
      <c r="X114" s="2588">
        <f t="shared" si="99"/>
        <v>0.35</v>
      </c>
      <c r="Y114" s="2486" t="s">
        <v>1442</v>
      </c>
      <c r="Z114" s="2060"/>
      <c r="AA114" s="2431"/>
      <c r="AB114" s="2026"/>
      <c r="AC114" s="2568"/>
      <c r="AD114" s="1841"/>
      <c r="AE114" s="1841"/>
      <c r="AF114" s="1841"/>
      <c r="AG114" s="1841"/>
      <c r="AH114" s="1841"/>
      <c r="AI114" s="1841"/>
      <c r="AJ114" s="1841"/>
      <c r="AK114" s="1841"/>
    </row>
    <row r="115" spans="1:37" ht="18" customHeight="1" x14ac:dyDescent="0.2">
      <c r="A115" s="2435"/>
      <c r="B115" s="2527" t="s">
        <v>52</v>
      </c>
      <c r="C115" s="2502"/>
      <c r="D115" s="2592">
        <f t="shared" ref="D115:K115" si="100">SUM(D102:D114)</f>
        <v>1</v>
      </c>
      <c r="E115" s="2592">
        <f t="shared" si="100"/>
        <v>1.0000000000000002</v>
      </c>
      <c r="F115" s="2592">
        <f t="shared" si="100"/>
        <v>1.0000000000000002</v>
      </c>
      <c r="G115" s="2592">
        <f t="shared" si="100"/>
        <v>1.0000000000000002</v>
      </c>
      <c r="H115" s="2592">
        <f t="shared" si="100"/>
        <v>1.0000000000000002</v>
      </c>
      <c r="I115" s="2593">
        <f t="shared" si="100"/>
        <v>1.0000000000000002</v>
      </c>
      <c r="J115" s="2593">
        <f t="shared" si="100"/>
        <v>1.0000000000000002</v>
      </c>
      <c r="K115" s="2593">
        <f t="shared" si="100"/>
        <v>1.0000000000000002</v>
      </c>
      <c r="L115" s="2437" t="s">
        <v>194</v>
      </c>
      <c r="M115" s="2429"/>
      <c r="N115" s="2579" t="s">
        <v>1443</v>
      </c>
      <c r="O115" s="2587"/>
      <c r="P115" s="2585"/>
      <c r="Q115" s="2594">
        <f>$D$173*$D$179*Q114*1868</f>
        <v>45.367084448408889</v>
      </c>
      <c r="R115" s="2594">
        <f>$E$173*$E$179*R114*1868</f>
        <v>47.813570793498684</v>
      </c>
      <c r="S115" s="2594">
        <f>$G$173*$G$179*S114*1868</f>
        <v>47.813570793498684</v>
      </c>
      <c r="T115" s="2594">
        <f>$G$173*$G$179*T114*1868</f>
        <v>47.813570793498684</v>
      </c>
      <c r="U115" s="2594">
        <f>$H$173*$H$179*U114*1868</f>
        <v>47.813570793498684</v>
      </c>
      <c r="V115" s="2594">
        <f>$I$173*$I$179*V114*1868</f>
        <v>47.813570793498684</v>
      </c>
      <c r="W115" s="2594">
        <f>$I$173*$I$179*W114*1868</f>
        <v>47.813570793498684</v>
      </c>
      <c r="X115" s="2594">
        <f>$I$173*$I$179*X114*1868</f>
        <v>47.813570793498684</v>
      </c>
      <c r="Y115" s="2486" t="s">
        <v>1402</v>
      </c>
      <c r="Z115" s="2060"/>
      <c r="AA115" s="2431"/>
      <c r="AB115" s="2026"/>
      <c r="AC115" s="2568"/>
      <c r="AD115" s="1841"/>
      <c r="AE115" s="1841"/>
      <c r="AF115" s="1841"/>
      <c r="AG115" s="1841"/>
      <c r="AH115" s="1841"/>
      <c r="AI115" s="1841"/>
      <c r="AJ115" s="1841"/>
      <c r="AK115" s="1841"/>
    </row>
    <row r="116" spans="1:37" ht="18" customHeight="1" x14ac:dyDescent="0.2">
      <c r="A116" s="2061"/>
      <c r="B116" s="2061"/>
      <c r="C116" s="2061"/>
      <c r="D116" s="2061"/>
      <c r="E116" s="2061"/>
      <c r="F116" s="2061"/>
      <c r="G116" s="2061"/>
      <c r="H116" s="2061"/>
      <c r="I116" s="2061"/>
      <c r="J116" s="2061"/>
      <c r="K116" s="2061"/>
      <c r="L116" s="2061"/>
      <c r="M116" s="2429"/>
      <c r="N116" s="2579" t="s">
        <v>1444</v>
      </c>
      <c r="O116" s="2587"/>
      <c r="P116" s="2585"/>
      <c r="Q116" s="2588">
        <v>0.6</v>
      </c>
      <c r="R116" s="2588">
        <v>0.6</v>
      </c>
      <c r="S116" s="2588">
        <v>0.6</v>
      </c>
      <c r="T116" s="2588">
        <v>0.6</v>
      </c>
      <c r="U116" s="2588">
        <v>0.6</v>
      </c>
      <c r="V116" s="2588">
        <v>0.6</v>
      </c>
      <c r="W116" s="2588">
        <v>0.6</v>
      </c>
      <c r="X116" s="2588">
        <v>0.6</v>
      </c>
      <c r="Y116" s="2486" t="s">
        <v>1405</v>
      </c>
      <c r="Z116" s="2060"/>
      <c r="AA116" s="2431"/>
      <c r="AB116" s="2026"/>
      <c r="AC116" s="2568"/>
      <c r="AD116" s="1841"/>
      <c r="AE116" s="1841"/>
      <c r="AF116" s="1841"/>
      <c r="AG116" s="1841"/>
      <c r="AH116" s="1841"/>
      <c r="AI116" s="1841"/>
      <c r="AJ116" s="1841"/>
      <c r="AK116" s="1841"/>
    </row>
    <row r="117" spans="1:37" ht="18" customHeight="1" x14ac:dyDescent="0.2">
      <c r="A117" s="1985" t="s">
        <v>1445</v>
      </c>
      <c r="B117" s="2595"/>
      <c r="C117" s="2061"/>
      <c r="D117" s="2061"/>
      <c r="E117" s="2061"/>
      <c r="F117" s="2061"/>
      <c r="G117" s="2061"/>
      <c r="H117" s="2061"/>
      <c r="I117" s="2061"/>
      <c r="J117" s="2061"/>
      <c r="K117" s="2061"/>
      <c r="L117" s="2061"/>
      <c r="M117" s="2429"/>
      <c r="N117" s="2579" t="s">
        <v>1406</v>
      </c>
      <c r="O117" s="2587"/>
      <c r="P117" s="2585"/>
      <c r="Q117" s="2580">
        <f>Q115*'CO2 - Destinação'!$E$51</f>
        <v>0</v>
      </c>
      <c r="R117" s="2580">
        <f>R115*'CO2 - Destinação'!$G$51</f>
        <v>47.813570793498684</v>
      </c>
      <c r="S117" s="2580">
        <f>S115*'CO2 - Destinação'!$H$51</f>
        <v>0</v>
      </c>
      <c r="T117" s="2580">
        <f>T115*'CO2 - Destinação'!$I$51</f>
        <v>0</v>
      </c>
      <c r="U117" s="2580">
        <f>U115*'CO2 - Destinação'!$J$51</f>
        <v>0</v>
      </c>
      <c r="V117" s="2580">
        <f>V115*'CO2 - Destinação'!$K$51</f>
        <v>0</v>
      </c>
      <c r="W117" s="2580">
        <f>W115*'CO2 - Destinação'!$K$51</f>
        <v>0</v>
      </c>
      <c r="X117" s="2580">
        <f>X115*'CO2 - Destinação'!$M$51</f>
        <v>0</v>
      </c>
      <c r="Y117" s="2486" t="s">
        <v>1402</v>
      </c>
      <c r="Z117" s="2060"/>
      <c r="AA117" s="2431"/>
      <c r="AB117" s="2026"/>
      <c r="AC117" s="2568"/>
      <c r="AD117" s="1841"/>
      <c r="AE117" s="1841"/>
      <c r="AF117" s="1841"/>
      <c r="AG117" s="1841"/>
      <c r="AH117" s="1841"/>
      <c r="AI117" s="1841"/>
      <c r="AJ117" s="1841"/>
      <c r="AK117" s="1841"/>
    </row>
    <row r="118" spans="1:37" ht="18" customHeight="1" x14ac:dyDescent="0.2">
      <c r="A118" s="2061"/>
      <c r="B118" s="2596" t="s">
        <v>1446</v>
      </c>
      <c r="C118" s="2195"/>
      <c r="D118" s="2075" t="str">
        <f t="shared" ref="D118:K118" si="101">+D72</f>
        <v>Cenário-Base</v>
      </c>
      <c r="E118" s="2075" t="str">
        <f t="shared" si="101"/>
        <v>Biodigestão RT1A + CDR TM</v>
      </c>
      <c r="F118" s="2075" t="str">
        <f t="shared" si="101"/>
        <v>Biodigestão RT1B + CDR TM</v>
      </c>
      <c r="G118" s="2075" t="str">
        <f t="shared" si="101"/>
        <v>Biodigestão RT1C + CDR TM</v>
      </c>
      <c r="H118" s="2075" t="str">
        <f t="shared" si="101"/>
        <v>Compostagem + CDR TM</v>
      </c>
      <c r="I118" s="2075" t="str">
        <f t="shared" si="101"/>
        <v xml:space="preserve">Biosecagem + CDR TMB </v>
      </c>
      <c r="J118" s="2075" t="str">
        <f t="shared" si="101"/>
        <v>Incineração Mass Burning</v>
      </c>
      <c r="K118" s="2075" t="str">
        <f t="shared" si="101"/>
        <v>Incineração Mass Burn. Descentralizada</v>
      </c>
      <c r="L118" s="2061"/>
      <c r="M118" s="2429"/>
      <c r="N118" s="2579" t="s">
        <v>1447</v>
      </c>
      <c r="O118" s="2587"/>
      <c r="P118" s="2585"/>
      <c r="Q118" s="2580">
        <f>Q115*'CO2 - Destinação'!$E$52</f>
        <v>0</v>
      </c>
      <c r="R118" s="2580">
        <f>R115*'CO2 - Destinação'!$G$52</f>
        <v>0</v>
      </c>
      <c r="S118" s="2580">
        <f>S115*'CO2 - Destinação'!$H$52</f>
        <v>47.813570793498684</v>
      </c>
      <c r="T118" s="2580">
        <f>T115*'CO2 - Destinação'!$I$52</f>
        <v>47.813570793498684</v>
      </c>
      <c r="U118" s="2580">
        <f>U115*'CO2 - Destinação'!$J$52</f>
        <v>0</v>
      </c>
      <c r="V118" s="2580">
        <f>V115*'CO2 - Destinação'!$K$52</f>
        <v>0</v>
      </c>
      <c r="W118" s="2580">
        <f>W115*'CO2 - Destinação'!$K$52</f>
        <v>0</v>
      </c>
      <c r="X118" s="2580">
        <f>X115*'CO2 - Destinação'!$M$52</f>
        <v>0</v>
      </c>
      <c r="Y118" s="2486" t="s">
        <v>1402</v>
      </c>
      <c r="Z118" s="2060"/>
      <c r="AA118" s="2431"/>
      <c r="AB118" s="2026"/>
      <c r="AC118" s="2568"/>
      <c r="AD118" s="1841"/>
      <c r="AE118" s="1841"/>
      <c r="AF118" s="1841"/>
      <c r="AG118" s="1841"/>
      <c r="AH118" s="1841"/>
      <c r="AI118" s="1841"/>
      <c r="AJ118" s="1841"/>
      <c r="AK118" s="1841"/>
    </row>
    <row r="119" spans="1:37" ht="18" customHeight="1" x14ac:dyDescent="0.2">
      <c r="A119" s="2061"/>
      <c r="B119" s="2547" t="s">
        <v>1448</v>
      </c>
      <c r="C119" s="2470"/>
      <c r="D119" s="2472">
        <f t="shared" ref="D119:K119" si="102">+D102*$C$11+D103*$C$12+D104*$C$13+D105*$C$14+D106*$C$15+D107*$C$16+D108*$C$17+D109*$C$18+D110*$C$19+D111*$C$20+D112*$C$21+D113*$C$22+D114*$C$23</f>
        <v>0.26732337742868956</v>
      </c>
      <c r="E119" s="2472">
        <f t="shared" si="102"/>
        <v>0.26011406397538944</v>
      </c>
      <c r="F119" s="2472">
        <f t="shared" si="102"/>
        <v>0.26011406397538944</v>
      </c>
      <c r="G119" s="2472">
        <f t="shared" si="102"/>
        <v>0.26011406397538944</v>
      </c>
      <c r="H119" s="2472">
        <f t="shared" si="102"/>
        <v>0.26011406397538944</v>
      </c>
      <c r="I119" s="2472">
        <f t="shared" si="102"/>
        <v>0.26011406397538944</v>
      </c>
      <c r="J119" s="2472">
        <f t="shared" si="102"/>
        <v>0.26011406397538944</v>
      </c>
      <c r="K119" s="2472">
        <f t="shared" si="102"/>
        <v>0.26011406397538944</v>
      </c>
      <c r="L119" s="2060" t="s">
        <v>1305</v>
      </c>
      <c r="M119" s="2429"/>
      <c r="N119" s="2579" t="s">
        <v>1409</v>
      </c>
      <c r="O119" s="2587"/>
      <c r="P119" s="2585"/>
      <c r="Q119" s="2580">
        <f t="shared" ref="Q119:X119" si="103">+Q117*Q116*10*$R$12</f>
        <v>0</v>
      </c>
      <c r="R119" s="2580">
        <f t="shared" si="103"/>
        <v>86.064427428297634</v>
      </c>
      <c r="S119" s="2580">
        <f t="shared" si="103"/>
        <v>0</v>
      </c>
      <c r="T119" s="2580">
        <f t="shared" si="103"/>
        <v>0</v>
      </c>
      <c r="U119" s="2580">
        <f t="shared" si="103"/>
        <v>0</v>
      </c>
      <c r="V119" s="2580">
        <f t="shared" si="103"/>
        <v>0</v>
      </c>
      <c r="W119" s="2580">
        <f t="shared" si="103"/>
        <v>0</v>
      </c>
      <c r="X119" s="2580">
        <f t="shared" si="103"/>
        <v>0</v>
      </c>
      <c r="Y119" s="2486" t="s">
        <v>1392</v>
      </c>
      <c r="Z119" s="2060"/>
      <c r="AA119" s="2431"/>
      <c r="AB119" s="2026"/>
      <c r="AC119" s="2568"/>
      <c r="AD119" s="1841"/>
      <c r="AE119" s="1841"/>
      <c r="AF119" s="1841"/>
      <c r="AG119" s="1841"/>
      <c r="AH119" s="1841"/>
      <c r="AI119" s="1841"/>
      <c r="AJ119" s="1841"/>
      <c r="AK119" s="1841"/>
    </row>
    <row r="120" spans="1:37" ht="18" customHeight="1" x14ac:dyDescent="0.2">
      <c r="A120" s="2061"/>
      <c r="B120" s="2547" t="s">
        <v>1449</v>
      </c>
      <c r="C120" s="2470"/>
      <c r="D120" s="2597">
        <f t="shared" ref="D120:K120" si="104">+D102*$C$11*$D$11+D103*$C$12*$D$12+D104*$C$13*$D$13+D105*$C$14*$D$14+D106*$C$15*$D$15+D107*$C$16*$D$16+D108*$C$17*$D$17+D109*$C$18*$D$18+D110*$C$19*$D$19+D111*$C$20*$D$20+D112*$C$21*$D$21+D113*$C$22*$D$22+D114*$C$23*$D$23</f>
        <v>0.10246513642000825</v>
      </c>
      <c r="E120" s="2597">
        <f t="shared" si="104"/>
        <v>9.6614717142294707E-2</v>
      </c>
      <c r="F120" s="2597">
        <f t="shared" si="104"/>
        <v>9.6614717142294707E-2</v>
      </c>
      <c r="G120" s="2597">
        <f t="shared" si="104"/>
        <v>9.6614717142294707E-2</v>
      </c>
      <c r="H120" s="2597">
        <f t="shared" si="104"/>
        <v>9.6614717142294707E-2</v>
      </c>
      <c r="I120" s="2597">
        <f t="shared" si="104"/>
        <v>9.6614717142294707E-2</v>
      </c>
      <c r="J120" s="2597">
        <f t="shared" si="104"/>
        <v>9.6614717142294707E-2</v>
      </c>
      <c r="K120" s="2597">
        <f t="shared" si="104"/>
        <v>9.6614717142294707E-2</v>
      </c>
      <c r="L120" s="2060" t="s">
        <v>1305</v>
      </c>
      <c r="M120" s="2429"/>
      <c r="N120" s="2579" t="s">
        <v>1221</v>
      </c>
      <c r="O120" s="2587"/>
      <c r="P120" s="2585"/>
      <c r="Q120" s="2580">
        <f>Q118*Q116*10</f>
        <v>0</v>
      </c>
      <c r="R120" s="2580">
        <f t="shared" ref="R120:X120" si="105">R118*R116*10</f>
        <v>0</v>
      </c>
      <c r="S120" s="2580">
        <f t="shared" si="105"/>
        <v>286.8814247609921</v>
      </c>
      <c r="T120" s="2580">
        <f t="shared" si="105"/>
        <v>286.8814247609921</v>
      </c>
      <c r="U120" s="2580">
        <f t="shared" si="105"/>
        <v>0</v>
      </c>
      <c r="V120" s="2580">
        <f t="shared" si="105"/>
        <v>0</v>
      </c>
      <c r="W120" s="2580">
        <f t="shared" si="105"/>
        <v>0</v>
      </c>
      <c r="X120" s="2580">
        <f t="shared" si="105"/>
        <v>0</v>
      </c>
      <c r="Y120" s="2486" t="s">
        <v>1392</v>
      </c>
      <c r="Z120" s="2060"/>
      <c r="AA120" s="2431"/>
      <c r="AB120" s="2026"/>
      <c r="AC120" s="2568"/>
      <c r="AD120" s="1841"/>
      <c r="AE120" s="1841"/>
      <c r="AF120" s="1841"/>
      <c r="AG120" s="1841"/>
      <c r="AH120" s="1841"/>
      <c r="AI120" s="1841"/>
      <c r="AJ120" s="1841"/>
      <c r="AK120" s="1841"/>
    </row>
    <row r="121" spans="1:37" ht="18" customHeight="1" x14ac:dyDescent="0.2">
      <c r="A121" s="2061"/>
      <c r="B121" s="2547" t="s">
        <v>1450</v>
      </c>
      <c r="C121" s="2470"/>
      <c r="D121" s="2463">
        <f t="shared" ref="D121:K121" si="106">+D119-D120</f>
        <v>0.16485824100868129</v>
      </c>
      <c r="E121" s="2463">
        <f t="shared" si="106"/>
        <v>0.16349934683309475</v>
      </c>
      <c r="F121" s="2463">
        <f t="shared" si="106"/>
        <v>0.16349934683309475</v>
      </c>
      <c r="G121" s="2463">
        <f t="shared" si="106"/>
        <v>0.16349934683309475</v>
      </c>
      <c r="H121" s="2463">
        <f t="shared" si="106"/>
        <v>0.16349934683309475</v>
      </c>
      <c r="I121" s="2463">
        <f t="shared" si="106"/>
        <v>0.16349934683309475</v>
      </c>
      <c r="J121" s="2463">
        <f t="shared" si="106"/>
        <v>0.16349934683309475</v>
      </c>
      <c r="K121" s="2463">
        <f t="shared" si="106"/>
        <v>0.16349934683309475</v>
      </c>
      <c r="L121" s="2060" t="s">
        <v>1305</v>
      </c>
      <c r="M121" s="2429"/>
      <c r="N121" s="2579" t="s">
        <v>1410</v>
      </c>
      <c r="O121" s="2587"/>
      <c r="P121" s="2585"/>
      <c r="Q121" s="2582">
        <f>$D$173*(0.82*28+0.045*265)</f>
        <v>24.260866267052496</v>
      </c>
      <c r="R121" s="2582">
        <f>$E$173*(0.82*28+0.045*265)</f>
        <v>24.72074122287508</v>
      </c>
      <c r="S121" s="2582">
        <f>$G$173*(0.82*28+0.045*265)</f>
        <v>24.72074122287508</v>
      </c>
      <c r="T121" s="2582">
        <f>$G$173*(0.82*28+0.045*265)</f>
        <v>24.72074122287508</v>
      </c>
      <c r="U121" s="2582">
        <f>$H$173*(0.82*28+0.045*265)</f>
        <v>24.72074122287508</v>
      </c>
      <c r="V121" s="2582">
        <f>$I$173*(0.82*28+0.045*265)</f>
        <v>24.72074122287508</v>
      </c>
      <c r="W121" s="2582">
        <f>$I$173*(0.82*28+0.045*265)</f>
        <v>24.72074122287508</v>
      </c>
      <c r="X121" s="2582">
        <f>$I$173*(0.82*28+0.045*265)</f>
        <v>24.72074122287508</v>
      </c>
      <c r="Y121" s="2486" t="s">
        <v>1323</v>
      </c>
      <c r="Z121" s="2060"/>
      <c r="AA121" s="2431"/>
      <c r="AB121" s="2026"/>
      <c r="AC121" s="2568"/>
      <c r="AD121" s="1841"/>
      <c r="AE121" s="1841"/>
      <c r="AF121" s="1841"/>
      <c r="AG121" s="1841"/>
      <c r="AH121" s="1841"/>
      <c r="AI121" s="1841"/>
      <c r="AJ121" s="1841"/>
      <c r="AK121" s="1841"/>
    </row>
    <row r="122" spans="1:37" ht="18" customHeight="1" x14ac:dyDescent="0.2">
      <c r="A122" s="2061"/>
      <c r="B122" s="2061"/>
      <c r="C122" s="2061"/>
      <c r="D122" s="2493"/>
      <c r="E122" s="2493"/>
      <c r="F122" s="2493"/>
      <c r="G122" s="2493"/>
      <c r="H122" s="2493"/>
      <c r="I122" s="2493"/>
      <c r="J122" s="2493"/>
      <c r="K122" s="2493"/>
      <c r="L122" s="2061"/>
      <c r="M122" s="2429"/>
      <c r="N122" s="2579" t="s">
        <v>1411</v>
      </c>
      <c r="O122" s="2587"/>
      <c r="P122" s="2585"/>
      <c r="Q122" s="2580">
        <f>$D$173*100</f>
        <v>69.545266639107055</v>
      </c>
      <c r="R122" s="2580">
        <f>$E$173*100</f>
        <v>70.863526509603219</v>
      </c>
      <c r="S122" s="2580">
        <f>$G$173*100</f>
        <v>70.863526509603219</v>
      </c>
      <c r="T122" s="2580">
        <f>$G$173*100</f>
        <v>70.863526509603219</v>
      </c>
      <c r="U122" s="2580">
        <f>$H$173*100</f>
        <v>70.863526509603219</v>
      </c>
      <c r="V122" s="2580">
        <f>$I$173*100</f>
        <v>70.863526509603219</v>
      </c>
      <c r="W122" s="2580">
        <f>$I$173*100</f>
        <v>70.863526509603219</v>
      </c>
      <c r="X122" s="2580">
        <f>$I$173*100</f>
        <v>70.863526509603219</v>
      </c>
      <c r="Y122" s="2486" t="s">
        <v>1392</v>
      </c>
      <c r="Z122" s="2060"/>
      <c r="AA122" s="2431"/>
      <c r="AB122" s="2026"/>
      <c r="AC122" s="2568"/>
      <c r="AD122" s="1841"/>
      <c r="AE122" s="1841"/>
      <c r="AF122" s="1841"/>
      <c r="AG122" s="1841"/>
      <c r="AH122" s="1841"/>
      <c r="AI122" s="1841"/>
      <c r="AJ122" s="1841"/>
      <c r="AK122" s="1841"/>
    </row>
    <row r="123" spans="1:37" ht="18" customHeight="1" x14ac:dyDescent="0.2">
      <c r="A123" s="2973" t="s">
        <v>1451</v>
      </c>
      <c r="B123" s="2974"/>
      <c r="C123" s="2975"/>
      <c r="D123" s="2075" t="str">
        <f t="shared" ref="D123:K123" si="107">+D72</f>
        <v>Cenário-Base</v>
      </c>
      <c r="E123" s="2075" t="str">
        <f t="shared" si="107"/>
        <v>Biodigestão RT1A + CDR TM</v>
      </c>
      <c r="F123" s="2075" t="str">
        <f t="shared" si="107"/>
        <v>Biodigestão RT1B + CDR TM</v>
      </c>
      <c r="G123" s="2075" t="str">
        <f t="shared" si="107"/>
        <v>Biodigestão RT1C + CDR TM</v>
      </c>
      <c r="H123" s="2075" t="str">
        <f t="shared" si="107"/>
        <v>Compostagem + CDR TM</v>
      </c>
      <c r="I123" s="2075" t="str">
        <f t="shared" si="107"/>
        <v xml:space="preserve">Biosecagem + CDR TMB </v>
      </c>
      <c r="J123" s="2075" t="str">
        <f t="shared" si="107"/>
        <v>Incineração Mass Burning</v>
      </c>
      <c r="K123" s="2075" t="str">
        <f t="shared" si="107"/>
        <v>Incineração Mass Burn. Descentralizada</v>
      </c>
      <c r="L123" s="2061"/>
      <c r="M123" s="2429"/>
      <c r="N123" s="2579" t="s">
        <v>1412</v>
      </c>
      <c r="O123" s="2587"/>
      <c r="P123" s="2585"/>
      <c r="Q123" s="2580">
        <f>Q122*$C$3/1000</f>
        <v>5.2784857379082259</v>
      </c>
      <c r="R123" s="2580">
        <f t="shared" ref="R123:X123" si="108">R122*$C$3/1000</f>
        <v>5.3785416620788844</v>
      </c>
      <c r="S123" s="2580">
        <f t="shared" si="108"/>
        <v>5.3785416620788844</v>
      </c>
      <c r="T123" s="2580">
        <f t="shared" si="108"/>
        <v>5.3785416620788844</v>
      </c>
      <c r="U123" s="2580">
        <f t="shared" si="108"/>
        <v>5.3785416620788844</v>
      </c>
      <c r="V123" s="2580">
        <f t="shared" si="108"/>
        <v>5.3785416620788844</v>
      </c>
      <c r="W123" s="2580">
        <f t="shared" si="108"/>
        <v>5.3785416620788844</v>
      </c>
      <c r="X123" s="2580">
        <f t="shared" si="108"/>
        <v>5.3785416620788844</v>
      </c>
      <c r="Y123" s="2486" t="s">
        <v>1323</v>
      </c>
      <c r="Z123" s="2060"/>
      <c r="AA123" s="2431"/>
      <c r="AB123" s="2026"/>
      <c r="AC123" s="2568"/>
      <c r="AD123" s="1841"/>
      <c r="AE123" s="1841"/>
      <c r="AF123" s="1841"/>
      <c r="AG123" s="1841"/>
      <c r="AH123" s="1841"/>
      <c r="AI123" s="1841"/>
      <c r="AJ123" s="1841"/>
      <c r="AK123" s="1841"/>
    </row>
    <row r="124" spans="1:37" ht="18" customHeight="1" x14ac:dyDescent="0.2">
      <c r="A124" s="2598"/>
      <c r="B124" s="2599" t="s">
        <v>1452</v>
      </c>
      <c r="C124" s="2470"/>
      <c r="D124" s="2600">
        <f>+((D102+D103)*$C$29+D104*$C$31+D105*$C$32+D106*$C$33+(D107+D108)*$C$34+(D109+D110+D111)*$C$35+D112*$C$36+D113*$C$37+D114*$C$38)*'CO2 - Início'!$E$55</f>
        <v>0</v>
      </c>
      <c r="E124" s="2480">
        <f>+((E102+E103)*$C$29+E104*$C$31+E105*$C$32+E106*$C$33+(E107+E108)*$C$34+(E109+E110+E111)*$C$35+E112*$C$36+E113*$C$37+E114*$C$38)*'CO2 - Início'!$E$55</f>
        <v>0</v>
      </c>
      <c r="F124" s="2480">
        <f>+((F102+F103)*$C$29+F104*$C$31+F105*$C$32+F106*$C$33+(F107+F108)*$C$34+(F109+F110+F111)*$C$35+F112*$C$36+F113*$C$37+F114*$C$38)*'CO2 - Início'!$E$55</f>
        <v>0</v>
      </c>
      <c r="G124" s="2480">
        <f>+((G102+G103)*$C$29+G104*$C$31+G105*$C$32+G106*$C$33+(G107+G108)*$C$34+(G109+G110+G111)*$C$35+G112*$C$36+G113*$C$37+G114*$C$38)*'CO2 - Início'!$E$55</f>
        <v>0</v>
      </c>
      <c r="H124" s="2480">
        <f>+((H102+H103)*$C$29+H104*$C$31+H105*$C$32+H106*$C$33+(H107+H108)*$C$34+(H109+H110+H111)*$C$35+H112*$C$36+H113*$C$37+H114*$C$38)*'CO2 - Início'!$E$55</f>
        <v>0</v>
      </c>
      <c r="I124" s="2480">
        <f>+((I102+I103)*$C$29+I104*$C$31+I105*$C$32+I106*$C$33+(I107+I108)*$C$34+(I109+I110+I111)*$C$35+I112*$C$36+I113*$C$37+I114*$C$38)*'CO2 - Início'!$E$55</f>
        <v>0</v>
      </c>
      <c r="J124" s="2480">
        <f>+((J102+J103)*$C$29+J104*$C$31+J105*$C$32+J106*$C$33+(J107+J108)*$C$34+(J109+J110+J111)*$C$35+J112*$C$36+J113*$C$37+J114*$C$38)*'CO2 - Início'!$E$55</f>
        <v>0</v>
      </c>
      <c r="K124" s="2480">
        <f>+((K102+K103)*$C$29+K104*$C$31+K105*$C$32+K106*$C$33+(K107+K108)*$C$34+(K109+K110+K111)*$C$35+K112*$C$36+K113*$C$37+K114*$C$38)*'CO2 - Início'!$E$55</f>
        <v>0</v>
      </c>
      <c r="L124" s="2060" t="s">
        <v>1397</v>
      </c>
      <c r="M124" s="2429"/>
      <c r="N124" s="2579" t="s">
        <v>1413</v>
      </c>
      <c r="O124" s="2587"/>
      <c r="P124" s="2585"/>
      <c r="Q124" s="2580">
        <f>Q121+Q123</f>
        <v>29.539352004960723</v>
      </c>
      <c r="R124" s="2580">
        <f t="shared" ref="R124:X124" si="109">R121+R123</f>
        <v>30.099282884953965</v>
      </c>
      <c r="S124" s="2580">
        <f t="shared" si="109"/>
        <v>30.099282884953965</v>
      </c>
      <c r="T124" s="2580">
        <f t="shared" si="109"/>
        <v>30.099282884953965</v>
      </c>
      <c r="U124" s="2580">
        <f t="shared" si="109"/>
        <v>30.099282884953965</v>
      </c>
      <c r="V124" s="2580">
        <f t="shared" si="109"/>
        <v>30.099282884953965</v>
      </c>
      <c r="W124" s="2580">
        <f t="shared" si="109"/>
        <v>30.099282884953965</v>
      </c>
      <c r="X124" s="2580">
        <f t="shared" si="109"/>
        <v>30.099282884953965</v>
      </c>
      <c r="Y124" s="2486" t="s">
        <v>1323</v>
      </c>
      <c r="Z124" s="2060"/>
      <c r="AA124" s="2431"/>
      <c r="AB124" s="2026"/>
      <c r="AC124" s="2568"/>
      <c r="AD124" s="1841"/>
      <c r="AE124" s="1841"/>
      <c r="AF124" s="1841"/>
      <c r="AG124" s="1841"/>
      <c r="AH124" s="1841"/>
      <c r="AI124" s="1841"/>
      <c r="AJ124" s="1841"/>
      <c r="AK124" s="1841"/>
    </row>
    <row r="125" spans="1:37" ht="18" customHeight="1" x14ac:dyDescent="0.2">
      <c r="A125" s="2598"/>
      <c r="B125" s="2599" t="s">
        <v>1453</v>
      </c>
      <c r="C125" s="2470"/>
      <c r="D125" s="2600">
        <f>+((D102+D103)*$C$30+D104*$C$31+D105*$C$32+D106*$C$33+(D107+D108)*$C$34+(D109+D110+D111)*$C$35+D112*$C$36+D113*$C$37+D114*$C$39)*'CO2 - Início'!$E$56</f>
        <v>8.291091360066142</v>
      </c>
      <c r="E125" s="2480">
        <f>+((E102+E103)*$C$30+E104*$C$31+E105*$C$32+E106*$C$33+(E107+E108)*$C$34+(E109+E110+E111)*$C$35+E112*$C$36+E113*$C$37+E114*$C$39)*'CO2 - Início'!$E$56</f>
        <v>7.9645539506654801</v>
      </c>
      <c r="F125" s="2480">
        <f>+((F102+F103)*$C$30+F104*$C$31+F105*$C$32+F106*$C$33+(F107+F108)*$C$34+(F109+F110+F111)*$C$35+F112*$C$36+F113*$C$37+F114*$C$39)*'CO2 - Início'!$E$56</f>
        <v>7.9645539506654801</v>
      </c>
      <c r="G125" s="2480">
        <f>+((G102+G103)*$C$30+G104*$C$31+G105*$C$32+G106*$C$33+(G107+G108)*$C$34+(G109+G110+G111)*$C$35+G112*$C$36+G113*$C$37+G114*$C$39)*'CO2 - Início'!$E$56</f>
        <v>7.9645539506654801</v>
      </c>
      <c r="H125" s="2480">
        <f>+((H102+H103)*$C$30+H104*$C$31+H105*$C$32+H106*$C$33+(H107+H108)*$C$34+(H109+H110+H111)*$C$35+H112*$C$36+H113*$C$37+H114*$C$39)*'CO2 - Início'!$E$56</f>
        <v>7.9645539506654801</v>
      </c>
      <c r="I125" s="2480">
        <f>+((I102+I103)*$C$30+I104*$C$31+I105*$C$32+I106*$C$33+(I107+I108)*$C$34+(I109+I110+I111)*$C$35+I112*$C$36+I113*$C$37+I114*$C$39)*'CO2 - Início'!$E$56</f>
        <v>7.9645539506654801</v>
      </c>
      <c r="J125" s="2480">
        <f>+((J102+J103)*$C$30+J104*$C$31+J105*$C$32+J106*$C$33+(J107+J108)*$C$34+(J109+J110+J111)*$C$35+J112*$C$36+J113*$C$37+J114*$C$39)*'CO2 - Início'!$E$56</f>
        <v>7.9645539506654801</v>
      </c>
      <c r="K125" s="2480">
        <f>+((K102+K103)*$C$30+K104*$C$31+K105*$C$32+K106*$C$33+(K107+K108)*$C$34+(K109+K110+K111)*$C$35+K112*$C$36+K113*$C$37+K114*$C$39)*'CO2 - Início'!$E$56</f>
        <v>7.9645539506654801</v>
      </c>
      <c r="L125" s="2060" t="s">
        <v>1397</v>
      </c>
      <c r="M125" s="2429"/>
      <c r="N125" s="2583" t="s">
        <v>1454</v>
      </c>
      <c r="O125" s="2587"/>
      <c r="P125" s="2585"/>
      <c r="Q125" s="2601"/>
      <c r="R125" s="2586"/>
      <c r="S125" s="2586"/>
      <c r="T125" s="2586"/>
      <c r="U125" s="2586"/>
      <c r="V125" s="2586"/>
      <c r="W125" s="2586"/>
      <c r="X125" s="2586"/>
      <c r="Y125" s="2486"/>
      <c r="Z125" s="2061"/>
      <c r="AA125" s="2431"/>
      <c r="AB125" s="2026"/>
      <c r="AC125" s="2568"/>
      <c r="AD125" s="1841"/>
      <c r="AE125" s="1841"/>
      <c r="AF125" s="1841"/>
      <c r="AG125" s="1841"/>
      <c r="AH125" s="1841"/>
      <c r="AI125" s="1841"/>
      <c r="AJ125" s="1841"/>
      <c r="AK125" s="1841"/>
    </row>
    <row r="126" spans="1:37" ht="18" customHeight="1" x14ac:dyDescent="0.2">
      <c r="A126" s="2061"/>
      <c r="B126" s="2061"/>
      <c r="C126" s="2061"/>
      <c r="D126" s="2061"/>
      <c r="E126" s="2061"/>
      <c r="F126" s="2061"/>
      <c r="G126" s="2061"/>
      <c r="H126" s="2061"/>
      <c r="I126" s="2061"/>
      <c r="J126" s="2061"/>
      <c r="K126" s="2061"/>
      <c r="L126" s="2061"/>
      <c r="M126" s="2429"/>
      <c r="N126" s="2579" t="s">
        <v>1417</v>
      </c>
      <c r="O126" s="2577"/>
      <c r="P126" s="2578"/>
      <c r="Q126" s="2602">
        <f>$D$179*0.7</f>
        <v>6.9843567941298063E-2</v>
      </c>
      <c r="R126" s="2602">
        <f>$E$179*0.7</f>
        <v>7.2240632765115484E-2</v>
      </c>
      <c r="S126" s="2602">
        <f>$G$179*0.7</f>
        <v>7.2240632765115484E-2</v>
      </c>
      <c r="T126" s="2602">
        <f>$G$179*0.7</f>
        <v>7.2240632765115484E-2</v>
      </c>
      <c r="U126" s="2602">
        <f>$H$179*0.7</f>
        <v>7.2240632765115484E-2</v>
      </c>
      <c r="V126" s="2602">
        <f>$I$179*0.7</f>
        <v>7.2240632765115484E-2</v>
      </c>
      <c r="W126" s="2602">
        <f>$I$179*0.7</f>
        <v>7.2240632765115484E-2</v>
      </c>
      <c r="X126" s="2602">
        <f>$I$179*0.7</f>
        <v>7.2240632765115484E-2</v>
      </c>
      <c r="Y126" s="2552" t="s">
        <v>1455</v>
      </c>
      <c r="Z126" s="2061" t="s">
        <v>1415</v>
      </c>
      <c r="AA126" s="2431"/>
      <c r="AB126" s="2026"/>
      <c r="AC126" s="2568"/>
      <c r="AD126" s="1841"/>
      <c r="AE126" s="1841"/>
      <c r="AF126" s="1841"/>
      <c r="AG126" s="1841"/>
      <c r="AH126" s="1841"/>
      <c r="AI126" s="1841"/>
      <c r="AJ126" s="1841"/>
      <c r="AK126" s="1841"/>
    </row>
    <row r="127" spans="1:37" ht="18" customHeight="1" x14ac:dyDescent="0.2">
      <c r="A127" s="2061"/>
      <c r="B127" s="2061"/>
      <c r="C127" s="2061"/>
      <c r="D127" s="2061"/>
      <c r="E127" s="2061"/>
      <c r="F127" s="2061"/>
      <c r="G127" s="2061"/>
      <c r="H127" s="2061"/>
      <c r="I127" s="2061"/>
      <c r="J127" s="2061"/>
      <c r="K127" s="2061"/>
      <c r="L127" s="2061"/>
      <c r="M127" s="2429"/>
      <c r="N127" s="2579" t="s">
        <v>1456</v>
      </c>
      <c r="O127" s="2577"/>
      <c r="P127" s="2578"/>
      <c r="Q127" s="2603">
        <f t="shared" ref="Q127:X127" si="110">Q126*0.3*1868</f>
        <v>39.140335474303434</v>
      </c>
      <c r="R127" s="2603">
        <f t="shared" si="110"/>
        <v>40.483650601570716</v>
      </c>
      <c r="S127" s="2603">
        <f t="shared" si="110"/>
        <v>40.483650601570716</v>
      </c>
      <c r="T127" s="2603">
        <f t="shared" si="110"/>
        <v>40.483650601570716</v>
      </c>
      <c r="U127" s="2603">
        <f t="shared" si="110"/>
        <v>40.483650601570716</v>
      </c>
      <c r="V127" s="2603">
        <f t="shared" si="110"/>
        <v>40.483650601570716</v>
      </c>
      <c r="W127" s="2603">
        <f t="shared" si="110"/>
        <v>40.483650601570716</v>
      </c>
      <c r="X127" s="2603">
        <f t="shared" si="110"/>
        <v>40.483650601570716</v>
      </c>
      <c r="Y127" s="2552" t="s">
        <v>1457</v>
      </c>
      <c r="Z127" s="2061" t="s">
        <v>1415</v>
      </c>
      <c r="AA127" s="2431"/>
      <c r="AB127" s="2026"/>
      <c r="AC127" s="2568"/>
      <c r="AD127" s="1841"/>
      <c r="AE127" s="1841"/>
      <c r="AF127" s="1841"/>
      <c r="AG127" s="1841"/>
      <c r="AH127" s="1841"/>
      <c r="AI127" s="1841"/>
      <c r="AJ127" s="1841"/>
      <c r="AK127" s="1841"/>
    </row>
    <row r="128" spans="1:37" ht="18" customHeight="1" x14ac:dyDescent="0.2">
      <c r="A128" s="1985" t="s">
        <v>1458</v>
      </c>
      <c r="B128" s="2195"/>
      <c r="C128" s="2061"/>
      <c r="D128" s="2061"/>
      <c r="E128" s="2061"/>
      <c r="F128" s="2061"/>
      <c r="G128" s="2061"/>
      <c r="H128" s="2061"/>
      <c r="I128" s="2061"/>
      <c r="J128" s="2061"/>
      <c r="K128" s="2061"/>
      <c r="L128" s="2493"/>
      <c r="M128" s="2429"/>
      <c r="N128" s="2579" t="s">
        <v>1459</v>
      </c>
      <c r="O128" s="2577"/>
      <c r="P128" s="2578"/>
      <c r="Q128" s="2603">
        <f>Q127*'CO2 - Destinação'!$E$28</f>
        <v>8.8065754817182729</v>
      </c>
      <c r="R128" s="2603">
        <f>R127*'CO2 - Destinação'!$G$28</f>
        <v>9.1088213853534121</v>
      </c>
      <c r="S128" s="2603">
        <f>S127*'CO2 - Destinação'!$H$28</f>
        <v>9.1088213853534121</v>
      </c>
      <c r="T128" s="2603">
        <f>T127*'CO2 - Destinação'!$I$28</f>
        <v>9.1088213853534121</v>
      </c>
      <c r="U128" s="2603">
        <f>U127*'CO2 - Destinação'!$J$28</f>
        <v>9.1088213853534121</v>
      </c>
      <c r="V128" s="2603">
        <f>V127*'CO2 - Destinação'!$K$28</f>
        <v>9.1088213853534121</v>
      </c>
      <c r="W128" s="2603">
        <f>W127*'CO2 - Destinação'!$K$28</f>
        <v>9.1088213853534121</v>
      </c>
      <c r="X128" s="2603">
        <f>X127*'CO2 - Destinação'!$M$28</f>
        <v>9.1088213853534121</v>
      </c>
      <c r="Y128" s="2552" t="s">
        <v>1402</v>
      </c>
      <c r="Z128" s="2061" t="s">
        <v>1415</v>
      </c>
      <c r="AA128" s="2431"/>
      <c r="AB128" s="2026"/>
      <c r="AC128" s="2568"/>
      <c r="AD128" s="1841"/>
      <c r="AE128" s="1841"/>
      <c r="AF128" s="1841"/>
      <c r="AG128" s="1841"/>
      <c r="AH128" s="1841"/>
      <c r="AI128" s="1841"/>
      <c r="AJ128" s="1841"/>
      <c r="AK128" s="1841"/>
    </row>
    <row r="129" spans="1:37" ht="18" customHeight="1" x14ac:dyDescent="0.2">
      <c r="A129" s="2061"/>
      <c r="B129" s="2061"/>
      <c r="C129" s="2061"/>
      <c r="D129" s="2061"/>
      <c r="E129" s="2061"/>
      <c r="F129" s="2061"/>
      <c r="G129" s="2061"/>
      <c r="H129" s="2061"/>
      <c r="I129" s="2061"/>
      <c r="J129" s="2061"/>
      <c r="K129" s="2061"/>
      <c r="L129" s="2493"/>
      <c r="M129" s="2429"/>
      <c r="N129" s="2579" t="s">
        <v>1460</v>
      </c>
      <c r="O129" s="2577"/>
      <c r="P129" s="2578"/>
      <c r="Q129" s="2603">
        <f>(Q128*'CO2 - Destinação'!$E$32+Q127*(1-'CO2 - Destinação'!$E$28)*(1-'CO2 - Destinação'!$E$40))*$Q$26*16/22.4*28</f>
        <v>300.30422392659312</v>
      </c>
      <c r="R129" s="2603">
        <f>(R128*'CO2 - Destinação'!$G$32+R127*(1-'CO2 - Destinação'!$G$28)*(1-'CO2 - Destinação'!$G$40))*$R$26*16/22.4*28</f>
        <v>310.61080924055142</v>
      </c>
      <c r="S129" s="2603">
        <f>(S128*'CO2 - Destinação'!$H$32+S127*(1-'CO2 - Destinação'!$H$28)*(1-'CO2 - Destinação'!$H$40))*$R$26*16/22.4*28</f>
        <v>310.61080924055142</v>
      </c>
      <c r="T129" s="2603">
        <f>(T128*'CO2 - Destinação'!$I$32+T127*(1-'CO2 - Destinação'!$I$28)*(1-'CO2 - Destinação'!$I$40))*$R$26*16/22.4*28</f>
        <v>310.61080924055142</v>
      </c>
      <c r="U129" s="2603">
        <f>(U128*'CO2 - Destinação'!$J$32+U127*(1-'CO2 - Destinação'!$J$28)*(1-'CO2 - Destinação'!$J$40))*$U$26*16/22.4*28</f>
        <v>310.61080924055142</v>
      </c>
      <c r="V129" s="2603">
        <f>(V128*'CO2 - Destinação'!$K$32+V127*(1-'CO2 - Destinação'!$K$28)*(1-'CO2 - Destinação'!$K$40))*$V$26*16/22.4*28</f>
        <v>310.61080924055142</v>
      </c>
      <c r="W129" s="2603">
        <f>(W128*'CO2 - Destinação'!$K$32+W127*(1-'CO2 - Destinação'!$K$28)*(1-'CO2 - Destinação'!$K$40))*$V$26*16/22.4*28</f>
        <v>310.61080924055142</v>
      </c>
      <c r="X129" s="2603">
        <f>(X128*'CO2 - Destinação'!$M$32+X127*(1-'CO2 - Destinação'!$M$28)*(1-'CO2 - Destinação'!$M$40))*$V$26*16/22.4*28</f>
        <v>310.61080924055142</v>
      </c>
      <c r="Y129" s="2552" t="s">
        <v>1323</v>
      </c>
      <c r="Z129" s="2061" t="s">
        <v>1415</v>
      </c>
      <c r="AA129" s="2431"/>
      <c r="AB129" s="2026"/>
      <c r="AC129" s="2568"/>
      <c r="AD129" s="1841"/>
      <c r="AE129" s="1841"/>
      <c r="AF129" s="1841"/>
      <c r="AG129" s="1841"/>
      <c r="AH129" s="1841"/>
      <c r="AI129" s="1841"/>
      <c r="AJ129" s="1841"/>
      <c r="AK129" s="1841"/>
    </row>
    <row r="130" spans="1:37" ht="18" customHeight="1" x14ac:dyDescent="0.2">
      <c r="A130" s="2061"/>
      <c r="B130" s="2527" t="s">
        <v>1434</v>
      </c>
      <c r="C130" s="2502" t="s">
        <v>1461</v>
      </c>
      <c r="D130" s="2075" t="str">
        <f t="shared" ref="D130:K130" si="111">+D101</f>
        <v>Cenário-Base</v>
      </c>
      <c r="E130" s="2075" t="str">
        <f t="shared" si="111"/>
        <v>Biodigestão RT1A + CDR TM</v>
      </c>
      <c r="F130" s="2075" t="str">
        <f t="shared" si="111"/>
        <v>Biodigestão RT1B + CDR TM</v>
      </c>
      <c r="G130" s="2075" t="str">
        <f t="shared" si="111"/>
        <v>Biodigestão RT1C + CDR TM</v>
      </c>
      <c r="H130" s="2075" t="str">
        <f t="shared" si="111"/>
        <v>Compostagem + CDR TM</v>
      </c>
      <c r="I130" s="2075" t="str">
        <f t="shared" si="111"/>
        <v xml:space="preserve">Biosecagem + CDR TMB </v>
      </c>
      <c r="J130" s="2075" t="str">
        <f t="shared" si="111"/>
        <v>Incineração Mass Burning</v>
      </c>
      <c r="K130" s="2075" t="str">
        <f t="shared" si="111"/>
        <v>Incineração Mass Burn. Descentralizada</v>
      </c>
      <c r="L130" s="2493"/>
      <c r="M130" s="2429"/>
      <c r="N130" s="2579" t="s">
        <v>1416</v>
      </c>
      <c r="O130" s="2577"/>
      <c r="P130" s="2578"/>
      <c r="Q130" s="2603">
        <f>$Q$43+$Q$44+$Q$45</f>
        <v>3.2385304029626489</v>
      </c>
      <c r="R130" s="2603">
        <f>$R$43+$R$44+$R$45</f>
        <v>3.2385304029626489</v>
      </c>
      <c r="S130" s="2603">
        <f>$R$43+$R$44+$R$45</f>
        <v>3.2385304029626489</v>
      </c>
      <c r="T130" s="2603">
        <f>$R$43+$R$44+$R$45</f>
        <v>3.2385304029626489</v>
      </c>
      <c r="U130" s="2603">
        <f>$U$43+$U$44+$U$45</f>
        <v>3.2385304029626489</v>
      </c>
      <c r="V130" s="2603">
        <f>$V$43+$V$44+$V$45</f>
        <v>3.2385304029626489</v>
      </c>
      <c r="W130" s="2603">
        <f>$V$43+$V$44+$V$45</f>
        <v>3.2385304029626489</v>
      </c>
      <c r="X130" s="2603">
        <f>$V$43+$V$44+$V$45</f>
        <v>3.2385304029626489</v>
      </c>
      <c r="Y130" s="2552" t="s">
        <v>1323</v>
      </c>
      <c r="Z130" s="2061" t="s">
        <v>1415</v>
      </c>
      <c r="AA130" s="2431"/>
      <c r="AB130" s="2026"/>
      <c r="AC130" s="2568"/>
      <c r="AD130" s="1841"/>
      <c r="AE130" s="1841"/>
      <c r="AF130" s="1841"/>
      <c r="AG130" s="1841"/>
      <c r="AH130" s="1841"/>
      <c r="AI130" s="1841"/>
      <c r="AJ130" s="1841"/>
      <c r="AK130" s="1841"/>
    </row>
    <row r="131" spans="1:37" ht="18" customHeight="1" x14ac:dyDescent="0.2">
      <c r="A131" s="2061"/>
      <c r="B131" s="2547" t="s">
        <v>1108</v>
      </c>
      <c r="C131" s="2604"/>
      <c r="D131" s="2463"/>
      <c r="E131" s="2463"/>
      <c r="F131" s="2463"/>
      <c r="G131" s="2463"/>
      <c r="H131" s="2463"/>
      <c r="I131" s="2463"/>
      <c r="J131" s="2463"/>
      <c r="K131" s="2463"/>
      <c r="L131" s="2605" t="s">
        <v>194</v>
      </c>
      <c r="M131" s="2429"/>
      <c r="N131" s="2576" t="s">
        <v>1367</v>
      </c>
      <c r="O131" s="2606"/>
      <c r="P131" s="2607"/>
      <c r="Q131" s="2608">
        <f t="shared" ref="Q131:X131" si="112">IF(Q117+Q118=0,Q112,Q124)+Q105+Q106</f>
        <v>108.01101053328901</v>
      </c>
      <c r="R131" s="2608">
        <f t="shared" si="112"/>
        <v>105.77077180494484</v>
      </c>
      <c r="S131" s="2608">
        <f t="shared" si="112"/>
        <v>105.77077180494484</v>
      </c>
      <c r="T131" s="2608">
        <f t="shared" si="112"/>
        <v>105.77077180494484</v>
      </c>
      <c r="U131" s="2608">
        <f t="shared" si="112"/>
        <v>100.66115722596992</v>
      </c>
      <c r="V131" s="2608">
        <f t="shared" si="112"/>
        <v>100.66115722596992</v>
      </c>
      <c r="W131" s="2608">
        <f t="shared" si="112"/>
        <v>100.66115722596992</v>
      </c>
      <c r="X131" s="2608">
        <f t="shared" si="112"/>
        <v>100.66115722596992</v>
      </c>
      <c r="Y131" s="2504" t="s">
        <v>1323</v>
      </c>
      <c r="Z131" s="2061"/>
      <c r="AA131" s="2431"/>
      <c r="AB131" s="2026"/>
      <c r="AC131" s="2568"/>
      <c r="AD131" s="1841"/>
      <c r="AE131" s="1841"/>
      <c r="AF131" s="1841"/>
      <c r="AG131" s="1841"/>
      <c r="AH131" s="1841"/>
      <c r="AI131" s="1841"/>
      <c r="AJ131" s="1841"/>
      <c r="AK131" s="1841"/>
    </row>
    <row r="132" spans="1:37" ht="18" customHeight="1" x14ac:dyDescent="0.2">
      <c r="A132" s="2061"/>
      <c r="B132" s="2547" t="s">
        <v>1109</v>
      </c>
      <c r="C132" s="2604"/>
      <c r="D132" s="2463"/>
      <c r="E132" s="2463"/>
      <c r="F132" s="2463"/>
      <c r="G132" s="2463"/>
      <c r="H132" s="2463"/>
      <c r="I132" s="2463"/>
      <c r="J132" s="2463"/>
      <c r="K132" s="2463"/>
      <c r="L132" s="2605" t="s">
        <v>194</v>
      </c>
      <c r="M132" s="2429"/>
      <c r="N132" s="2579" t="s">
        <v>1355</v>
      </c>
      <c r="O132" s="2577"/>
      <c r="P132" s="2578"/>
      <c r="Q132" s="2580">
        <f>Q128*'CO2 - Destinação'!$E$35</f>
        <v>0</v>
      </c>
      <c r="R132" s="2580">
        <f>R128*'CO2 - Destinação'!$G$35</f>
        <v>0</v>
      </c>
      <c r="S132" s="2580">
        <f>S128*'CO2 - Destinação'!$H$35</f>
        <v>0</v>
      </c>
      <c r="T132" s="2580">
        <f>T128*'CO2 - Destinação'!$I$35</f>
        <v>0</v>
      </c>
      <c r="U132" s="2580">
        <f>U128*'CO2 - Destinação'!$J$35</f>
        <v>0</v>
      </c>
      <c r="V132" s="2580">
        <f>V128*'CO2 - Destinação'!$K$35</f>
        <v>0</v>
      </c>
      <c r="W132" s="2580">
        <f>W128*'CO2 - Destinação'!$K$35</f>
        <v>0</v>
      </c>
      <c r="X132" s="2580">
        <f>X128*'CO2 - Destinação'!$M$35</f>
        <v>0</v>
      </c>
      <c r="Y132" s="2486" t="s">
        <v>1402</v>
      </c>
      <c r="Z132" s="2061" t="s">
        <v>1415</v>
      </c>
      <c r="AA132" s="2431"/>
      <c r="AB132" s="2026"/>
      <c r="AC132" s="2568"/>
      <c r="AD132" s="1841"/>
      <c r="AE132" s="1841"/>
      <c r="AF132" s="1841"/>
      <c r="AG132" s="1841"/>
      <c r="AH132" s="1841"/>
      <c r="AI132" s="1841"/>
      <c r="AJ132" s="1841"/>
      <c r="AK132" s="1841"/>
    </row>
    <row r="133" spans="1:37" ht="18" customHeight="1" x14ac:dyDescent="0.2">
      <c r="A133" s="2061"/>
      <c r="B133" s="2547" t="s">
        <v>1110</v>
      </c>
      <c r="C133" s="2604">
        <v>0.7</v>
      </c>
      <c r="D133" s="2463">
        <f t="shared" ref="D133:K134" si="113">D104*$C133</f>
        <v>8.5293509714758173E-2</v>
      </c>
      <c r="E133" s="2463">
        <f t="shared" si="113"/>
        <v>6.8025873986655938E-2</v>
      </c>
      <c r="F133" s="2463">
        <f t="shared" si="113"/>
        <v>6.8025873986655938E-2</v>
      </c>
      <c r="G133" s="2463">
        <f t="shared" si="113"/>
        <v>6.8025873986655938E-2</v>
      </c>
      <c r="H133" s="2463">
        <f t="shared" si="113"/>
        <v>6.8025873986655938E-2</v>
      </c>
      <c r="I133" s="2463">
        <f t="shared" si="113"/>
        <v>6.8025873986655938E-2</v>
      </c>
      <c r="J133" s="2463">
        <f t="shared" si="113"/>
        <v>6.8025873986655938E-2</v>
      </c>
      <c r="K133" s="2463">
        <f t="shared" si="113"/>
        <v>6.8025873986655938E-2</v>
      </c>
      <c r="L133" s="2605" t="s">
        <v>194</v>
      </c>
      <c r="M133" s="2429"/>
      <c r="N133" s="2579" t="s">
        <v>1462</v>
      </c>
      <c r="O133" s="2577"/>
      <c r="P133" s="2578"/>
      <c r="Q133" s="2580">
        <f>Q132*$Q$26*10*0.3*$C$3/1000</f>
        <v>0</v>
      </c>
      <c r="R133" s="2580">
        <f>R132*$R$26*10*0.3*$C$3/1000</f>
        <v>0</v>
      </c>
      <c r="S133" s="2580">
        <f>S132*$R$26*10*0.3*$C$3/1000</f>
        <v>0</v>
      </c>
      <c r="T133" s="2580">
        <f>T132*$R$26*10*0.3*$C$3/1000</f>
        <v>0</v>
      </c>
      <c r="U133" s="2580">
        <f>U132*$U$26*10*0.3*$C$3/1000</f>
        <v>0</v>
      </c>
      <c r="V133" s="2580">
        <f>V132*$V$26*10*0.3*$C$3/1000</f>
        <v>0</v>
      </c>
      <c r="W133" s="2580">
        <f>W132*$V$26*10*0.3*$C$3/1000</f>
        <v>0</v>
      </c>
      <c r="X133" s="2580">
        <f>X132*$V$26*10*0.3*$C$3/1000</f>
        <v>0</v>
      </c>
      <c r="Y133" s="2486" t="s">
        <v>1323</v>
      </c>
      <c r="Z133" s="2061" t="s">
        <v>1415</v>
      </c>
      <c r="AA133" s="2431"/>
      <c r="AB133" s="2026"/>
      <c r="AC133" s="2568"/>
      <c r="AD133" s="1841"/>
      <c r="AE133" s="1841"/>
      <c r="AF133" s="1841"/>
      <c r="AG133" s="1841"/>
      <c r="AH133" s="1841"/>
      <c r="AI133" s="1841"/>
      <c r="AJ133" s="1841"/>
      <c r="AK133" s="1841"/>
    </row>
    <row r="134" spans="1:37" ht="18" customHeight="1" x14ac:dyDescent="0.2">
      <c r="A134" s="2061"/>
      <c r="B134" s="2547" t="s">
        <v>1111</v>
      </c>
      <c r="C134" s="2604">
        <v>0.7</v>
      </c>
      <c r="D134" s="2463">
        <f t="shared" si="113"/>
        <v>8.7897891690781299E-2</v>
      </c>
      <c r="E134" s="2463">
        <f t="shared" si="113"/>
        <v>8.1979520134530498E-2</v>
      </c>
      <c r="F134" s="2463">
        <f t="shared" si="113"/>
        <v>8.1979520134530498E-2</v>
      </c>
      <c r="G134" s="2463">
        <f t="shared" si="113"/>
        <v>8.1979520134530498E-2</v>
      </c>
      <c r="H134" s="2463">
        <f t="shared" si="113"/>
        <v>8.1979520134530498E-2</v>
      </c>
      <c r="I134" s="2463">
        <f t="shared" si="113"/>
        <v>8.1979520134530498E-2</v>
      </c>
      <c r="J134" s="2463">
        <f t="shared" si="113"/>
        <v>8.1979520134530498E-2</v>
      </c>
      <c r="K134" s="2463">
        <f t="shared" si="113"/>
        <v>8.1979520134530498E-2</v>
      </c>
      <c r="L134" s="2605" t="s">
        <v>194</v>
      </c>
      <c r="M134" s="2429"/>
      <c r="N134" s="2579" t="s">
        <v>1435</v>
      </c>
      <c r="O134" s="2577"/>
      <c r="P134" s="2578"/>
      <c r="Q134" s="2609">
        <f>$D$144*($D$153+$D$154)/33.5*0.9*44/12*1000</f>
        <v>526.49754740147955</v>
      </c>
      <c r="R134" s="2609">
        <f>$E$144*($E$153+$E$154)/33.5*0.9*44/12*1000</f>
        <v>500.53762448082119</v>
      </c>
      <c r="S134" s="2609">
        <f>$G$144*($G$153+$G$154)/33.5*0.9*44/12*1000</f>
        <v>500.53762448082119</v>
      </c>
      <c r="T134" s="2609">
        <f>$G$144*($G$153+$G$154)/33.5*0.9*44/12*1000</f>
        <v>500.53762448082119</v>
      </c>
      <c r="U134" s="2609">
        <f>$H$144*($H$153+$H$154)/33.5*0.9*44/12*1000</f>
        <v>500.53762448082119</v>
      </c>
      <c r="V134" s="2609">
        <f>$I$144*($I$153+$I$154)/33.5*0.9*44/12*1000</f>
        <v>500.53762448082119</v>
      </c>
      <c r="W134" s="2609">
        <f>$I$144*($I$153+$I$154)/33.5*0.9*44/12*1000</f>
        <v>500.53762448082119</v>
      </c>
      <c r="X134" s="2609">
        <f>$I$144*($I$153+$I$154)/33.5*0.9*44/12*1000</f>
        <v>500.53762448082119</v>
      </c>
      <c r="Y134" s="2486" t="s">
        <v>1351</v>
      </c>
      <c r="Z134" s="2060"/>
      <c r="AA134" s="2431"/>
      <c r="AB134" s="2026"/>
      <c r="AC134" s="2568"/>
      <c r="AD134" s="1841"/>
      <c r="AE134" s="1841"/>
      <c r="AF134" s="1841"/>
      <c r="AG134" s="1841"/>
      <c r="AH134" s="1841"/>
      <c r="AI134" s="1841"/>
      <c r="AJ134" s="1841"/>
      <c r="AK134" s="1841"/>
    </row>
    <row r="135" spans="1:37" ht="18" customHeight="1" x14ac:dyDescent="0.2">
      <c r="A135" s="2061"/>
      <c r="B135" s="2547" t="s">
        <v>50</v>
      </c>
      <c r="C135" s="2604"/>
      <c r="D135" s="2463"/>
      <c r="E135" s="2463"/>
      <c r="F135" s="2463"/>
      <c r="G135" s="2463"/>
      <c r="H135" s="2463"/>
      <c r="I135" s="2463"/>
      <c r="J135" s="2463"/>
      <c r="K135" s="2463"/>
      <c r="L135" s="2605" t="s">
        <v>194</v>
      </c>
      <c r="M135" s="2429"/>
      <c r="N135" s="2576" t="s">
        <v>1436</v>
      </c>
      <c r="O135" s="2606"/>
      <c r="P135" s="2607"/>
      <c r="Q135" s="2610">
        <f t="shared" ref="Q135:X135" si="114">IF(Q117+Q118=0,0,(Q119*$C$3+Q120*$C$6)/1000)+Q134</f>
        <v>526.49754740147955</v>
      </c>
      <c r="R135" s="2610">
        <f t="shared" si="114"/>
        <v>507.06991452262901</v>
      </c>
      <c r="S135" s="2610">
        <f t="shared" si="114"/>
        <v>597.6182986199409</v>
      </c>
      <c r="T135" s="2610">
        <f t="shared" si="114"/>
        <v>597.6182986199409</v>
      </c>
      <c r="U135" s="2610">
        <f t="shared" si="114"/>
        <v>500.53762448082119</v>
      </c>
      <c r="V135" s="2610">
        <f t="shared" si="114"/>
        <v>500.53762448082119</v>
      </c>
      <c r="W135" s="2610">
        <f t="shared" si="114"/>
        <v>500.53762448082119</v>
      </c>
      <c r="X135" s="2610">
        <f t="shared" si="114"/>
        <v>500.53762448082119</v>
      </c>
      <c r="Y135" s="2504" t="s">
        <v>1323</v>
      </c>
      <c r="Z135" s="2061"/>
      <c r="AA135" s="2431"/>
      <c r="AB135" s="2026"/>
      <c r="AC135" s="2568"/>
      <c r="AD135" s="1841"/>
      <c r="AE135" s="1841"/>
      <c r="AF135" s="1841"/>
      <c r="AG135" s="1841"/>
      <c r="AH135" s="1841"/>
      <c r="AI135" s="1841"/>
      <c r="AJ135" s="1841"/>
      <c r="AK135" s="1841"/>
    </row>
    <row r="136" spans="1:37" ht="18" customHeight="1" x14ac:dyDescent="0.2">
      <c r="A136" s="2061"/>
      <c r="B136" s="2547" t="s">
        <v>1112</v>
      </c>
      <c r="C136" s="2604"/>
      <c r="D136" s="2463"/>
      <c r="E136" s="2463"/>
      <c r="F136" s="2463"/>
      <c r="G136" s="2463"/>
      <c r="H136" s="2463"/>
      <c r="I136" s="2463"/>
      <c r="J136" s="2463"/>
      <c r="K136" s="2463"/>
      <c r="L136" s="2605" t="s">
        <v>194</v>
      </c>
      <c r="M136" s="2429"/>
      <c r="N136" s="2061"/>
      <c r="O136" s="2061"/>
      <c r="P136" s="2061"/>
      <c r="Q136" s="2061"/>
      <c r="R136" s="2061"/>
      <c r="S136" s="2061"/>
      <c r="T136" s="2061"/>
      <c r="U136" s="2061"/>
      <c r="V136" s="2061"/>
      <c r="W136" s="2061"/>
      <c r="X136" s="2061"/>
      <c r="Y136" s="2061"/>
      <c r="Z136" s="2061"/>
      <c r="AA136" s="2431"/>
      <c r="AB136" s="2026"/>
      <c r="AC136" s="2568"/>
      <c r="AD136" s="1841"/>
      <c r="AE136" s="1841"/>
      <c r="AF136" s="1841"/>
      <c r="AG136" s="1841"/>
      <c r="AH136" s="1841"/>
      <c r="AI136" s="1841"/>
      <c r="AJ136" s="1841"/>
      <c r="AK136" s="1841"/>
    </row>
    <row r="137" spans="1:37" ht="18" customHeight="1" x14ac:dyDescent="0.2">
      <c r="A137" s="2061"/>
      <c r="B137" s="2547" t="s">
        <v>1113</v>
      </c>
      <c r="C137" s="2604"/>
      <c r="D137" s="2463"/>
      <c r="E137" s="2463"/>
      <c r="F137" s="2463"/>
      <c r="G137" s="2463"/>
      <c r="H137" s="2463"/>
      <c r="I137" s="2463"/>
      <c r="J137" s="2463"/>
      <c r="K137" s="2463"/>
      <c r="L137" s="2605" t="s">
        <v>194</v>
      </c>
      <c r="M137" s="2429"/>
      <c r="N137" s="2611" t="s">
        <v>1463</v>
      </c>
      <c r="O137" s="2612"/>
      <c r="P137" s="2613"/>
      <c r="Q137" s="2061"/>
      <c r="R137" s="2061"/>
      <c r="S137" s="2061"/>
      <c r="T137" s="2061"/>
      <c r="U137" s="2061"/>
      <c r="V137" s="2061"/>
      <c r="W137" s="2061"/>
      <c r="X137" s="2061"/>
      <c r="Y137" s="2061"/>
      <c r="Z137" s="2061"/>
      <c r="AA137" s="2431"/>
      <c r="AB137" s="2026"/>
      <c r="AC137" s="2568"/>
      <c r="AD137" s="1841"/>
      <c r="AE137" s="1841"/>
      <c r="AF137" s="1841"/>
      <c r="AG137" s="1841"/>
      <c r="AH137" s="1841"/>
      <c r="AI137" s="1841"/>
      <c r="AJ137" s="1841"/>
      <c r="AK137" s="1841"/>
    </row>
    <row r="138" spans="1:37" ht="18" customHeight="1" x14ac:dyDescent="0.2">
      <c r="A138" s="2061"/>
      <c r="B138" s="2547" t="s">
        <v>1114</v>
      </c>
      <c r="C138" s="2604">
        <v>0.9</v>
      </c>
      <c r="D138" s="2463">
        <f t="shared" ref="D138:K143" si="115">D109*$C138</f>
        <v>4.1391070690367925E-2</v>
      </c>
      <c r="E138" s="2463">
        <f t="shared" si="115"/>
        <v>4.4543206910703396E-2</v>
      </c>
      <c r="F138" s="2463">
        <f t="shared" si="115"/>
        <v>4.4543206910703396E-2</v>
      </c>
      <c r="G138" s="2463">
        <f t="shared" si="115"/>
        <v>4.4543206910703396E-2</v>
      </c>
      <c r="H138" s="2463">
        <f t="shared" si="115"/>
        <v>4.4543206910703396E-2</v>
      </c>
      <c r="I138" s="2463">
        <f t="shared" si="115"/>
        <v>4.4543206910703396E-2</v>
      </c>
      <c r="J138" s="2463">
        <f t="shared" si="115"/>
        <v>4.4543206910703396E-2</v>
      </c>
      <c r="K138" s="2463">
        <f t="shared" si="115"/>
        <v>4.4543206910703396E-2</v>
      </c>
      <c r="L138" s="2605" t="s">
        <v>194</v>
      </c>
      <c r="M138" s="2429"/>
      <c r="N138" s="2614" t="s">
        <v>1464</v>
      </c>
      <c r="O138" s="2612"/>
      <c r="P138" s="2613"/>
      <c r="Q138" s="2615">
        <f>32.5*$C$3/1000</f>
        <v>2.4667500000000002</v>
      </c>
      <c r="R138" s="2615">
        <f t="shared" ref="R138:X138" si="116">32.5*$C$3/1000</f>
        <v>2.4667500000000002</v>
      </c>
      <c r="S138" s="2615">
        <f t="shared" si="116"/>
        <v>2.4667500000000002</v>
      </c>
      <c r="T138" s="2615">
        <f t="shared" si="116"/>
        <v>2.4667500000000002</v>
      </c>
      <c r="U138" s="2615">
        <f t="shared" si="116"/>
        <v>2.4667500000000002</v>
      </c>
      <c r="V138" s="2615">
        <f t="shared" si="116"/>
        <v>2.4667500000000002</v>
      </c>
      <c r="W138" s="2615">
        <f t="shared" si="116"/>
        <v>2.4667500000000002</v>
      </c>
      <c r="X138" s="2615">
        <f t="shared" si="116"/>
        <v>2.4667500000000002</v>
      </c>
      <c r="Y138" s="2060" t="s">
        <v>1323</v>
      </c>
      <c r="Z138" s="2061"/>
      <c r="AA138" s="2431"/>
      <c r="AB138" s="2026"/>
      <c r="AC138" s="2568"/>
      <c r="AD138" s="1841"/>
      <c r="AE138" s="1841"/>
      <c r="AF138" s="1841"/>
      <c r="AG138" s="1841"/>
      <c r="AH138" s="1841"/>
      <c r="AI138" s="1841"/>
      <c r="AJ138" s="1841"/>
      <c r="AK138" s="1841"/>
    </row>
    <row r="139" spans="1:37" ht="18" customHeight="1" x14ac:dyDescent="0.2">
      <c r="A139" s="2061"/>
      <c r="B139" s="2547" t="s">
        <v>1375</v>
      </c>
      <c r="C139" s="2604">
        <v>0.8</v>
      </c>
      <c r="D139" s="2463">
        <f t="shared" si="115"/>
        <v>7.9371641174038852E-3</v>
      </c>
      <c r="E139" s="2463">
        <f t="shared" si="115"/>
        <v>8.5416187034757056E-3</v>
      </c>
      <c r="F139" s="2463">
        <f t="shared" si="115"/>
        <v>8.5416187034757056E-3</v>
      </c>
      <c r="G139" s="2463">
        <f t="shared" si="115"/>
        <v>8.5416187034757056E-3</v>
      </c>
      <c r="H139" s="2463">
        <f t="shared" si="115"/>
        <v>8.5416187034757056E-3</v>
      </c>
      <c r="I139" s="2463">
        <f t="shared" si="115"/>
        <v>8.5416187034757056E-3</v>
      </c>
      <c r="J139" s="2463">
        <f t="shared" si="115"/>
        <v>8.5416187034757056E-3</v>
      </c>
      <c r="K139" s="2463">
        <f t="shared" si="115"/>
        <v>8.5416187034757056E-3</v>
      </c>
      <c r="L139" s="2605" t="s">
        <v>194</v>
      </c>
      <c r="M139" s="2429"/>
      <c r="N139" s="2616" t="s">
        <v>1465</v>
      </c>
      <c r="O139" s="2612"/>
      <c r="P139" s="2613"/>
      <c r="Q139" s="2617">
        <f>$D$144*$D$149*44/12*1000</f>
        <v>81.01946997934111</v>
      </c>
      <c r="R139" s="2617">
        <f>$E$144*$E$149*44/12*1000</f>
        <v>73.204738919990888</v>
      </c>
      <c r="S139" s="2617">
        <f>$G$144*$G$149*44/12*1000</f>
        <v>73.204738919990888</v>
      </c>
      <c r="T139" s="2617">
        <f>$G$144*$G$149*44/12*1000</f>
        <v>73.204738919990888</v>
      </c>
      <c r="U139" s="2617">
        <f>$H$144*$H$149*44/12*1000</f>
        <v>73.204738919990888</v>
      </c>
      <c r="V139" s="2617">
        <f>$I$144*$I$149*44/12*1000</f>
        <v>73.204738919990888</v>
      </c>
      <c r="W139" s="2617">
        <f>$I$144*$I$149*44/12*1000</f>
        <v>73.204738919990888</v>
      </c>
      <c r="X139" s="2617">
        <f>$I$144*$I$149*44/12*1000</f>
        <v>73.204738919990888</v>
      </c>
      <c r="Y139" s="2060" t="s">
        <v>1323</v>
      </c>
      <c r="Z139" s="2060"/>
      <c r="AA139" s="2431"/>
      <c r="AB139" s="2026"/>
      <c r="AC139" s="2568"/>
      <c r="AD139" s="1841"/>
      <c r="AE139" s="1841"/>
      <c r="AF139" s="1841"/>
      <c r="AG139" s="1841"/>
      <c r="AH139" s="1841"/>
      <c r="AI139" s="1841"/>
      <c r="AJ139" s="1841"/>
      <c r="AK139" s="1841"/>
    </row>
    <row r="140" spans="1:37" ht="18" customHeight="1" x14ac:dyDescent="0.2">
      <c r="A140" s="2061"/>
      <c r="B140" s="2547" t="s">
        <v>1321</v>
      </c>
      <c r="C140" s="2604">
        <v>1</v>
      </c>
      <c r="D140" s="2463">
        <f t="shared" si="115"/>
        <v>4.1339396444811903E-2</v>
      </c>
      <c r="E140" s="2463">
        <f t="shared" si="115"/>
        <v>4.4487597413935966E-2</v>
      </c>
      <c r="F140" s="2463">
        <f t="shared" si="115"/>
        <v>4.4487597413935966E-2</v>
      </c>
      <c r="G140" s="2463">
        <f t="shared" si="115"/>
        <v>4.4487597413935966E-2</v>
      </c>
      <c r="H140" s="2463">
        <f t="shared" si="115"/>
        <v>4.4487597413935966E-2</v>
      </c>
      <c r="I140" s="2463">
        <f t="shared" si="115"/>
        <v>4.4487597413935966E-2</v>
      </c>
      <c r="J140" s="2463">
        <f t="shared" si="115"/>
        <v>4.4487597413935966E-2</v>
      </c>
      <c r="K140" s="2463">
        <f t="shared" si="115"/>
        <v>4.4487597413935966E-2</v>
      </c>
      <c r="L140" s="2605" t="s">
        <v>194</v>
      </c>
      <c r="M140" s="2429"/>
      <c r="N140" s="2614" t="s">
        <v>1466</v>
      </c>
      <c r="O140" s="2618"/>
      <c r="P140" s="2619"/>
      <c r="Q140" s="2620">
        <v>0.35</v>
      </c>
      <c r="R140" s="2620">
        <v>0.35</v>
      </c>
      <c r="S140" s="2620">
        <v>0.35</v>
      </c>
      <c r="T140" s="2620">
        <v>0.35</v>
      </c>
      <c r="U140" s="2620">
        <v>0.35</v>
      </c>
      <c r="V140" s="2620">
        <v>0.35</v>
      </c>
      <c r="W140" s="2620">
        <v>0.35</v>
      </c>
      <c r="X140" s="2620">
        <v>0.35</v>
      </c>
      <c r="Y140" s="2060" t="s">
        <v>1418</v>
      </c>
      <c r="Z140" s="2061"/>
      <c r="AA140" s="2431"/>
      <c r="AB140" s="2026"/>
      <c r="AC140" s="2568"/>
      <c r="AD140" s="1841"/>
      <c r="AE140" s="1841"/>
      <c r="AF140" s="1841"/>
      <c r="AG140" s="1841"/>
      <c r="AH140" s="1841"/>
      <c r="AI140" s="1841"/>
      <c r="AJ140" s="1841"/>
      <c r="AK140" s="1841"/>
    </row>
    <row r="141" spans="1:37" ht="18" customHeight="1" x14ac:dyDescent="0.2">
      <c r="A141" s="2061"/>
      <c r="B141" s="2547" t="s">
        <v>1117</v>
      </c>
      <c r="C141" s="2604">
        <v>0.9</v>
      </c>
      <c r="D141" s="2463">
        <f t="shared" si="115"/>
        <v>6.7899958660603554E-3</v>
      </c>
      <c r="E141" s="2463">
        <f t="shared" si="115"/>
        <v>7.3070878752389823E-3</v>
      </c>
      <c r="F141" s="2463">
        <f t="shared" si="115"/>
        <v>7.3070878752389823E-3</v>
      </c>
      <c r="G141" s="2463">
        <f t="shared" si="115"/>
        <v>7.3070878752389823E-3</v>
      </c>
      <c r="H141" s="2463">
        <f t="shared" si="115"/>
        <v>7.3070878752389823E-3</v>
      </c>
      <c r="I141" s="2463">
        <f t="shared" si="115"/>
        <v>7.3070878752389823E-3</v>
      </c>
      <c r="J141" s="2463">
        <f t="shared" si="115"/>
        <v>7.3070878752389823E-3</v>
      </c>
      <c r="K141" s="2463">
        <f t="shared" si="115"/>
        <v>7.3070878752389823E-3</v>
      </c>
      <c r="L141" s="2605" t="s">
        <v>194</v>
      </c>
      <c r="N141" s="2614" t="s">
        <v>1467</v>
      </c>
      <c r="O141" s="2612"/>
      <c r="P141" s="2613"/>
      <c r="Q141" s="2621">
        <f>$D$179*(1-Q140)</f>
        <v>6.4854741659776782E-2</v>
      </c>
      <c r="R141" s="2621">
        <f>$E$179*(1-R140)</f>
        <v>6.7080587567607236E-2</v>
      </c>
      <c r="S141" s="2621">
        <f>$G$179*(1-S140)</f>
        <v>6.7080587567607236E-2</v>
      </c>
      <c r="T141" s="2621">
        <f>$G$179*(1-T140)</f>
        <v>6.7080587567607236E-2</v>
      </c>
      <c r="U141" s="2621">
        <f>$H$179*(1-U140)</f>
        <v>6.7080587567607236E-2</v>
      </c>
      <c r="V141" s="2621">
        <f>$I$179*(1-V140)</f>
        <v>6.7080587567607236E-2</v>
      </c>
      <c r="W141" s="2621">
        <f>$I$179*(1-W140)</f>
        <v>6.7080587567607236E-2</v>
      </c>
      <c r="X141" s="2621">
        <f>$I$179*(1-X140)</f>
        <v>6.7080587567607236E-2</v>
      </c>
      <c r="Y141" s="2060" t="s">
        <v>1418</v>
      </c>
      <c r="Z141" s="2061"/>
      <c r="AB141" s="1841"/>
      <c r="AC141" s="2568"/>
      <c r="AD141" s="1841"/>
      <c r="AE141" s="1841"/>
      <c r="AF141" s="1841"/>
      <c r="AG141" s="1841"/>
      <c r="AH141" s="1841"/>
      <c r="AI141" s="1841"/>
      <c r="AJ141" s="1841"/>
      <c r="AK141" s="1841"/>
    </row>
    <row r="142" spans="1:37" ht="18" customHeight="1" x14ac:dyDescent="0.2">
      <c r="A142" s="2061"/>
      <c r="B142" s="2547" t="s">
        <v>1118</v>
      </c>
      <c r="C142" s="2604"/>
      <c r="D142" s="2463"/>
      <c r="E142" s="2463"/>
      <c r="F142" s="2463"/>
      <c r="G142" s="2463"/>
      <c r="H142" s="2463"/>
      <c r="I142" s="2463"/>
      <c r="J142" s="2463"/>
      <c r="K142" s="2463"/>
      <c r="L142" s="2605" t="s">
        <v>194</v>
      </c>
      <c r="N142" s="2614" t="s">
        <v>1468</v>
      </c>
      <c r="O142" s="2618"/>
      <c r="P142" s="2619"/>
      <c r="Q142" s="2622">
        <f t="shared" ref="Q142:X142" si="117">D178</f>
        <v>2.9910834849111209E-2</v>
      </c>
      <c r="R142" s="2622">
        <f t="shared" si="117"/>
        <v>2.8092598969889689E-2</v>
      </c>
      <c r="S142" s="2622">
        <f t="shared" si="117"/>
        <v>2.8092598969889689E-2</v>
      </c>
      <c r="T142" s="2622">
        <f t="shared" si="117"/>
        <v>2.8092598969889689E-2</v>
      </c>
      <c r="U142" s="2622">
        <f t="shared" si="117"/>
        <v>2.8092598969889689E-2</v>
      </c>
      <c r="V142" s="2622">
        <f t="shared" si="117"/>
        <v>2.8092598969889689E-2</v>
      </c>
      <c r="W142" s="2622">
        <f t="shared" si="117"/>
        <v>2.8092598969889689E-2</v>
      </c>
      <c r="X142" s="2622">
        <f t="shared" si="117"/>
        <v>2.8092598969889689E-2</v>
      </c>
      <c r="Y142" s="2060" t="s">
        <v>1418</v>
      </c>
      <c r="Z142" s="2060"/>
      <c r="AB142" s="1841"/>
      <c r="AC142" s="2568"/>
      <c r="AD142" s="1841"/>
      <c r="AE142" s="1841"/>
      <c r="AF142" s="1841"/>
      <c r="AG142" s="1841"/>
      <c r="AH142" s="1841"/>
      <c r="AI142" s="1841"/>
      <c r="AJ142" s="1841"/>
      <c r="AK142" s="1841"/>
    </row>
    <row r="143" spans="1:37" ht="18" customHeight="1" x14ac:dyDescent="0.2">
      <c r="A143" s="2061"/>
      <c r="B143" s="2547" t="s">
        <v>1119</v>
      </c>
      <c r="C143" s="2604">
        <v>0.5</v>
      </c>
      <c r="D143" s="2463">
        <f t="shared" si="115"/>
        <v>3.389830508474577E-2</v>
      </c>
      <c r="E143" s="2463">
        <f t="shared" si="115"/>
        <v>3.6479829879427501E-2</v>
      </c>
      <c r="F143" s="2463">
        <f t="shared" si="115"/>
        <v>3.6479829879427501E-2</v>
      </c>
      <c r="G143" s="2463">
        <f t="shared" si="115"/>
        <v>3.6479829879427501E-2</v>
      </c>
      <c r="H143" s="2463">
        <f t="shared" si="115"/>
        <v>3.6479829879427501E-2</v>
      </c>
      <c r="I143" s="2463">
        <f t="shared" si="115"/>
        <v>3.6479829879427501E-2</v>
      </c>
      <c r="J143" s="2463">
        <f t="shared" si="115"/>
        <v>3.6479829879427501E-2</v>
      </c>
      <c r="K143" s="2463">
        <f t="shared" si="115"/>
        <v>3.6479829879427501E-2</v>
      </c>
      <c r="L143" s="2605" t="s">
        <v>194</v>
      </c>
      <c r="N143" s="2614" t="s">
        <v>1469</v>
      </c>
      <c r="O143" s="2618"/>
      <c r="P143" s="2619"/>
      <c r="Q143" s="2623">
        <v>100</v>
      </c>
      <c r="R143" s="2623">
        <v>100</v>
      </c>
      <c r="S143" s="2623">
        <v>100</v>
      </c>
      <c r="T143" s="2623">
        <v>100</v>
      </c>
      <c r="U143" s="2623">
        <v>100</v>
      </c>
      <c r="V143" s="2623">
        <v>100</v>
      </c>
      <c r="W143" s="2623">
        <v>100</v>
      </c>
      <c r="X143" s="2623">
        <v>100</v>
      </c>
      <c r="Y143" s="2060" t="s">
        <v>1470</v>
      </c>
      <c r="Z143" s="2060"/>
      <c r="AB143" s="1841"/>
      <c r="AC143" s="2568"/>
      <c r="AD143" s="1841"/>
      <c r="AE143" s="1841"/>
      <c r="AF143" s="1841"/>
      <c r="AG143" s="1841"/>
      <c r="AH143" s="1841"/>
      <c r="AI143" s="1841"/>
      <c r="AJ143" s="1841"/>
      <c r="AK143" s="1841"/>
    </row>
    <row r="144" spans="1:37" ht="18" customHeight="1" x14ac:dyDescent="0.2">
      <c r="A144" s="2435"/>
      <c r="B144" s="2527" t="s">
        <v>52</v>
      </c>
      <c r="C144" s="2502"/>
      <c r="D144" s="2592">
        <f t="shared" ref="D144:J144" si="118">SUM(D131:D143)</f>
        <v>0.30454733360892927</v>
      </c>
      <c r="E144" s="2592">
        <f t="shared" si="118"/>
        <v>0.29136473490396797</v>
      </c>
      <c r="F144" s="2592">
        <f t="shared" ref="F144" si="119">SUM(F131:F143)</f>
        <v>0.29136473490396797</v>
      </c>
      <c r="G144" s="2592">
        <f t="shared" si="118"/>
        <v>0.29136473490396797</v>
      </c>
      <c r="H144" s="2592">
        <f t="shared" si="118"/>
        <v>0.29136473490396797</v>
      </c>
      <c r="I144" s="2592">
        <f t="shared" si="118"/>
        <v>0.29136473490396797</v>
      </c>
      <c r="J144" s="2592">
        <f t="shared" si="118"/>
        <v>0.29136473490396797</v>
      </c>
      <c r="K144" s="2592">
        <f t="shared" ref="K144" si="120">SUM(K131:K143)</f>
        <v>0.29136473490396797</v>
      </c>
      <c r="L144" s="2605" t="s">
        <v>194</v>
      </c>
      <c r="N144" s="2614" t="s">
        <v>1471</v>
      </c>
      <c r="O144" s="2618"/>
      <c r="P144" s="2619"/>
      <c r="Q144" s="2623">
        <v>0.5</v>
      </c>
      <c r="R144" s="2623">
        <v>0.5</v>
      </c>
      <c r="S144" s="2623">
        <v>0.5</v>
      </c>
      <c r="T144" s="2623">
        <v>0.5</v>
      </c>
      <c r="U144" s="2623">
        <v>0.5</v>
      </c>
      <c r="V144" s="2623">
        <v>0.5</v>
      </c>
      <c r="W144" s="2623">
        <v>0.5</v>
      </c>
      <c r="X144" s="2623">
        <v>0.5</v>
      </c>
      <c r="Y144" s="2060" t="s">
        <v>1470</v>
      </c>
      <c r="Z144" s="2060"/>
      <c r="AB144" s="1841"/>
      <c r="AC144" s="2568"/>
      <c r="AD144" s="1841"/>
      <c r="AE144" s="1841"/>
      <c r="AF144" s="1841"/>
      <c r="AG144" s="1841"/>
      <c r="AH144" s="1841"/>
      <c r="AI144" s="1841"/>
      <c r="AJ144" s="1841"/>
      <c r="AK144" s="1841"/>
    </row>
    <row r="145" spans="1:37" ht="18" customHeight="1" x14ac:dyDescent="0.2">
      <c r="A145" s="2060"/>
      <c r="B145" s="2060"/>
      <c r="C145" s="2060"/>
      <c r="D145" s="2060"/>
      <c r="E145" s="2060"/>
      <c r="F145" s="2060"/>
      <c r="G145" s="2060"/>
      <c r="H145" s="2060"/>
      <c r="I145" s="2060"/>
      <c r="J145" s="2060"/>
      <c r="K145" s="2060"/>
      <c r="L145" s="2060"/>
      <c r="N145" s="2614" t="s">
        <v>1472</v>
      </c>
      <c r="O145" s="2618"/>
      <c r="P145" s="2619"/>
      <c r="Q145" s="2623">
        <v>2</v>
      </c>
      <c r="R145" s="2623">
        <v>2</v>
      </c>
      <c r="S145" s="2623">
        <v>2</v>
      </c>
      <c r="T145" s="2623">
        <v>2</v>
      </c>
      <c r="U145" s="2623">
        <v>2</v>
      </c>
      <c r="V145" s="2623">
        <v>2</v>
      </c>
      <c r="W145" s="2623">
        <v>2</v>
      </c>
      <c r="X145" s="2623">
        <v>2</v>
      </c>
      <c r="Y145" s="2060" t="s">
        <v>1470</v>
      </c>
      <c r="Z145" s="2060"/>
      <c r="AB145" s="1841"/>
      <c r="AC145" s="2568"/>
      <c r="AD145" s="1841"/>
      <c r="AE145" s="1841"/>
      <c r="AF145" s="1841"/>
      <c r="AG145" s="1841"/>
      <c r="AH145" s="1841"/>
      <c r="AI145" s="1841"/>
      <c r="AJ145" s="1841"/>
      <c r="AK145" s="1841"/>
    </row>
    <row r="146" spans="1:37" ht="18" customHeight="1" x14ac:dyDescent="0.2">
      <c r="A146" s="1985" t="s">
        <v>1473</v>
      </c>
      <c r="B146" s="2195"/>
      <c r="C146" s="2061"/>
      <c r="D146" s="2061"/>
      <c r="E146" s="2061"/>
      <c r="F146" s="2061"/>
      <c r="G146" s="2061"/>
      <c r="H146" s="2061"/>
      <c r="I146" s="2061"/>
      <c r="J146" s="2061"/>
      <c r="K146" s="2061"/>
      <c r="L146" s="2061"/>
      <c r="N146" s="2614" t="s">
        <v>1474</v>
      </c>
      <c r="O146" s="2612"/>
      <c r="P146" s="2624"/>
      <c r="Q146" s="2625">
        <f>$D$173*(Q143*$C$3+Q144*$C$4+Q145*$C$5)/1000</f>
        <v>6.8004147798334751</v>
      </c>
      <c r="R146" s="2625">
        <f>$E$173*(R143*$C$3+R144*$C$4+R145*$C$5)/1000</f>
        <v>6.9293195111001511</v>
      </c>
      <c r="S146" s="2625">
        <f>$E$173*(S143*$C$3+S144*$C$4+S145*$C$5)/1000</f>
        <v>6.9293195111001511</v>
      </c>
      <c r="T146" s="2625">
        <f>$E$173*(T143*$C$3+T144*$C$4+T145*$C$5)/1000</f>
        <v>6.9293195111001511</v>
      </c>
      <c r="U146" s="2625">
        <f>$H$173*(U143*$C$3+U144*$C$4+U145*$C$5)/1000</f>
        <v>6.9293195111001511</v>
      </c>
      <c r="V146" s="2625">
        <f>$I$173*(V143*$C$3+V144*$C$4+V145*$C$5)/1000</f>
        <v>6.9293195111001511</v>
      </c>
      <c r="W146" s="2625">
        <f>$I$173*(W143*$C$3+W144*$C$4+W145*$C$5)/1000</f>
        <v>6.9293195111001511</v>
      </c>
      <c r="X146" s="2625">
        <f>$I$173*(X143*$C$3+X144*$C$4+X145*$C$5)/1000</f>
        <v>6.9293195111001511</v>
      </c>
      <c r="Y146" s="2060" t="s">
        <v>1323</v>
      </c>
      <c r="Z146" s="2061"/>
      <c r="AB146" s="1841"/>
      <c r="AC146" s="2568"/>
      <c r="AD146" s="1841"/>
      <c r="AE146" s="1841"/>
      <c r="AF146" s="1841"/>
      <c r="AG146" s="1841"/>
      <c r="AH146" s="1841"/>
      <c r="AI146" s="1841"/>
      <c r="AJ146" s="1841"/>
      <c r="AK146" s="1841"/>
    </row>
    <row r="147" spans="1:37" ht="18" customHeight="1" x14ac:dyDescent="0.2">
      <c r="A147" s="2061"/>
      <c r="B147" s="2626" t="s">
        <v>1475</v>
      </c>
      <c r="C147" s="2195"/>
      <c r="D147" s="2075" t="str">
        <f t="shared" ref="D147:K147" si="121">+D101</f>
        <v>Cenário-Base</v>
      </c>
      <c r="E147" s="2075" t="str">
        <f t="shared" si="121"/>
        <v>Biodigestão RT1A + CDR TM</v>
      </c>
      <c r="F147" s="2075" t="str">
        <f t="shared" si="121"/>
        <v>Biodigestão RT1B + CDR TM</v>
      </c>
      <c r="G147" s="2075" t="str">
        <f t="shared" si="121"/>
        <v>Biodigestão RT1C + CDR TM</v>
      </c>
      <c r="H147" s="2075" t="str">
        <f t="shared" si="121"/>
        <v>Compostagem + CDR TM</v>
      </c>
      <c r="I147" s="2075" t="str">
        <f t="shared" si="121"/>
        <v xml:space="preserve">Biosecagem + CDR TMB </v>
      </c>
      <c r="J147" s="2075" t="str">
        <f t="shared" si="121"/>
        <v>Incineração Mass Burning</v>
      </c>
      <c r="K147" s="2075" t="str">
        <f t="shared" si="121"/>
        <v>Incineração Mass Burn. Descentralizada</v>
      </c>
      <c r="L147" s="2061"/>
      <c r="N147" s="2614" t="s">
        <v>1476</v>
      </c>
      <c r="O147" s="2612"/>
      <c r="P147" s="2624"/>
      <c r="Q147" s="2625">
        <v>0</v>
      </c>
      <c r="R147" s="2625">
        <v>0</v>
      </c>
      <c r="S147" s="2625">
        <v>0</v>
      </c>
      <c r="T147" s="2625">
        <v>0</v>
      </c>
      <c r="U147" s="2625">
        <v>0</v>
      </c>
      <c r="V147" s="2625">
        <v>0</v>
      </c>
      <c r="W147" s="2625">
        <v>0</v>
      </c>
      <c r="X147" s="2625">
        <v>0</v>
      </c>
      <c r="Y147" s="2060" t="s">
        <v>1323</v>
      </c>
      <c r="Z147" s="2060"/>
      <c r="AB147" s="1841"/>
      <c r="AC147" s="2568"/>
      <c r="AD147" s="1841"/>
      <c r="AE147" s="1841"/>
      <c r="AF147" s="1841"/>
      <c r="AG147" s="1841"/>
      <c r="AH147" s="1841"/>
      <c r="AI147" s="1841"/>
      <c r="AJ147" s="1841"/>
      <c r="AK147" s="1841"/>
    </row>
    <row r="148" spans="1:37" ht="18" customHeight="1" x14ac:dyDescent="0.2">
      <c r="A148" s="2061"/>
      <c r="B148" s="2190" t="s">
        <v>1477</v>
      </c>
      <c r="C148" s="2163"/>
      <c r="D148" s="2472">
        <f t="shared" ref="D148:K148" si="122">+D131*$C$11+D132*$C$12+D133*$C$13+D134*$C$14+D135*$C$15+D136*$C$16+D137*$C$17+D138*$C$18+D139*$C$19+D140*$C$20+D141*$C$21+D142*$C$22+D143*$C$23</f>
        <v>0.13763601694915256</v>
      </c>
      <c r="E148" s="2472">
        <f t="shared" si="122"/>
        <v>0.12882056105533479</v>
      </c>
      <c r="F148" s="2472">
        <f t="shared" si="122"/>
        <v>0.12882056105533479</v>
      </c>
      <c r="G148" s="2472">
        <f t="shared" si="122"/>
        <v>0.12882056105533479</v>
      </c>
      <c r="H148" s="2472">
        <f t="shared" si="122"/>
        <v>0.12882056105533479</v>
      </c>
      <c r="I148" s="2472">
        <f t="shared" si="122"/>
        <v>0.12882056105533479</v>
      </c>
      <c r="J148" s="2472">
        <f t="shared" si="122"/>
        <v>0.12882056105533479</v>
      </c>
      <c r="K148" s="2472">
        <f t="shared" si="122"/>
        <v>0.12882056105533479</v>
      </c>
      <c r="L148" s="2060" t="s">
        <v>1305</v>
      </c>
      <c r="N148" s="2614" t="s">
        <v>1478</v>
      </c>
      <c r="O148" s="2618"/>
      <c r="P148" s="2619"/>
      <c r="Q148" s="2620">
        <v>0.25</v>
      </c>
      <c r="R148" s="2620">
        <v>0.25</v>
      </c>
      <c r="S148" s="2620">
        <v>0.25</v>
      </c>
      <c r="T148" s="2620">
        <v>0.25</v>
      </c>
      <c r="U148" s="2620">
        <v>0.25</v>
      </c>
      <c r="V148" s="2620">
        <v>0.25</v>
      </c>
      <c r="W148" s="2620">
        <v>0.25</v>
      </c>
      <c r="X148" s="2620">
        <v>0.25</v>
      </c>
      <c r="Y148" s="2060" t="s">
        <v>1479</v>
      </c>
      <c r="Z148" s="2060"/>
      <c r="AB148" s="1841"/>
      <c r="AC148" s="2568"/>
      <c r="AD148" s="1841"/>
      <c r="AE148" s="1841"/>
      <c r="AF148" s="1841"/>
      <c r="AG148" s="1841"/>
      <c r="AH148" s="1841"/>
      <c r="AI148" s="1841"/>
      <c r="AJ148" s="1841"/>
      <c r="AK148" s="1841"/>
    </row>
    <row r="149" spans="1:37" ht="18" customHeight="1" x14ac:dyDescent="0.2">
      <c r="A149" s="2061"/>
      <c r="B149" s="2190" t="s">
        <v>1480</v>
      </c>
      <c r="C149" s="2163"/>
      <c r="D149" s="2597">
        <f t="shared" ref="D149:K149" si="123">+D131*$C$11*$D$11+D132*$C$12*$D$12+D133*$C$13*$D$13+D134*$C$14*$D$14+D135*$C$15*$D$15+D136*$C$16*$D$16+D137*$C$17*$D$17+D138*$C$18*$D$18+D139*$C$19*$D$19+D140*$C$20*$D$20+D141*$C$21*$D$21+D142*$C$22*$D$22+D143*$C$23*$D$23</f>
        <v>7.2554301570897053E-2</v>
      </c>
      <c r="E149" s="2597">
        <f t="shared" si="123"/>
        <v>6.8522118172405E-2</v>
      </c>
      <c r="F149" s="2597">
        <f t="shared" si="123"/>
        <v>6.8522118172405E-2</v>
      </c>
      <c r="G149" s="2597">
        <f t="shared" si="123"/>
        <v>6.8522118172405E-2</v>
      </c>
      <c r="H149" s="2597">
        <f t="shared" si="123"/>
        <v>6.8522118172405E-2</v>
      </c>
      <c r="I149" s="2627">
        <f t="shared" si="123"/>
        <v>6.8522118172405E-2</v>
      </c>
      <c r="J149" s="2627">
        <f t="shared" si="123"/>
        <v>6.8522118172405E-2</v>
      </c>
      <c r="K149" s="2627">
        <f t="shared" si="123"/>
        <v>6.8522118172405E-2</v>
      </c>
      <c r="L149" s="2060" t="s">
        <v>1305</v>
      </c>
      <c r="N149" s="2614" t="s">
        <v>1481</v>
      </c>
      <c r="O149" s="2618"/>
      <c r="P149" s="2619"/>
      <c r="Q149" s="2615">
        <f>($D$182+$D$183)/(1-Q148)</f>
        <v>5.648778458063366</v>
      </c>
      <c r="R149" s="2615">
        <f>($E$182+$E$183)/(1-R148)</f>
        <v>5.4251485239575858</v>
      </c>
      <c r="S149" s="2615">
        <f>($G$182+$G$183)/(1-S148)</f>
        <v>5.4251485239575858</v>
      </c>
      <c r="T149" s="2615">
        <f>($G$182+$G$183)/(1-T148)</f>
        <v>5.4251485239575858</v>
      </c>
      <c r="U149" s="2615">
        <f>($H$182+$H$183)/(1-U148)</f>
        <v>5.4251485239575858</v>
      </c>
      <c r="V149" s="2615">
        <f>($I$182+$I$183)/(1-V148)</f>
        <v>5.4251485239575858</v>
      </c>
      <c r="W149" s="2615">
        <f>($I$182+$I$183)/(1-W148)</f>
        <v>5.4251485239575858</v>
      </c>
      <c r="X149" s="2615">
        <f>($I$182+$I$183)/(1-X148)</f>
        <v>5.4251485239575858</v>
      </c>
      <c r="Y149" s="2060" t="s">
        <v>1482</v>
      </c>
      <c r="Z149" s="2060"/>
      <c r="AB149" s="1841"/>
      <c r="AC149" s="2568"/>
      <c r="AD149" s="1841"/>
      <c r="AE149" s="1841"/>
      <c r="AF149" s="1841"/>
      <c r="AG149" s="1841"/>
      <c r="AH149" s="1841"/>
      <c r="AI149" s="1841"/>
      <c r="AJ149" s="1841"/>
      <c r="AK149" s="1841"/>
    </row>
    <row r="150" spans="1:37" ht="18" customHeight="1" x14ac:dyDescent="0.2">
      <c r="A150" s="2061"/>
      <c r="B150" s="2190" t="s">
        <v>1483</v>
      </c>
      <c r="C150" s="2163"/>
      <c r="D150" s="2463">
        <f t="shared" ref="D150:K150" si="124">+D148-D149</f>
        <v>6.5081715378255509E-2</v>
      </c>
      <c r="E150" s="2463">
        <f t="shared" si="124"/>
        <v>6.0298442882929792E-2</v>
      </c>
      <c r="F150" s="2463">
        <f t="shared" si="124"/>
        <v>6.0298442882929792E-2</v>
      </c>
      <c r="G150" s="2463">
        <f t="shared" si="124"/>
        <v>6.0298442882929792E-2</v>
      </c>
      <c r="H150" s="2463">
        <f t="shared" si="124"/>
        <v>6.0298442882929792E-2</v>
      </c>
      <c r="I150" s="2463">
        <f t="shared" si="124"/>
        <v>6.0298442882929792E-2</v>
      </c>
      <c r="J150" s="2463">
        <f t="shared" si="124"/>
        <v>6.0298442882929792E-2</v>
      </c>
      <c r="K150" s="2463">
        <f t="shared" si="124"/>
        <v>6.0298442882929792E-2</v>
      </c>
      <c r="L150" s="2060" t="s">
        <v>1305</v>
      </c>
      <c r="N150" s="2616" t="s">
        <v>1484</v>
      </c>
      <c r="O150" s="2618"/>
      <c r="P150" s="2619"/>
      <c r="Q150" s="2615">
        <f>$D$173*Q142*44/12*1000</f>
        <v>76.272422782590269</v>
      </c>
      <c r="R150" s="2615">
        <f>$E$173*R142*44/12*1000</f>
        <v>72.993823166969108</v>
      </c>
      <c r="S150" s="2615">
        <f>$E$173*S142*44/12*1000</f>
        <v>72.993823166969108</v>
      </c>
      <c r="T150" s="2615">
        <f>$E$173*T142*44/12*1000</f>
        <v>72.993823166969108</v>
      </c>
      <c r="U150" s="2615">
        <f>$H$173*U142*44/12*1000</f>
        <v>72.993823166969108</v>
      </c>
      <c r="V150" s="2615">
        <f>$I$173*V142*44/12*1000</f>
        <v>72.993823166969108</v>
      </c>
      <c r="W150" s="2615">
        <f>$I$173*W142*44/12*1000</f>
        <v>72.993823166969108</v>
      </c>
      <c r="X150" s="2615">
        <f>$I$173*X142*44/12*1000</f>
        <v>72.993823166969108</v>
      </c>
      <c r="Y150" s="2060" t="s">
        <v>1323</v>
      </c>
      <c r="Z150" s="2061"/>
      <c r="AB150" s="1841"/>
      <c r="AC150" s="2568"/>
      <c r="AD150" s="1841"/>
      <c r="AE150" s="1841"/>
      <c r="AF150" s="1841"/>
      <c r="AG150" s="1841"/>
      <c r="AH150" s="1841"/>
      <c r="AI150" s="1841"/>
      <c r="AJ150" s="1841"/>
      <c r="AK150" s="1841"/>
    </row>
    <row r="151" spans="1:37" ht="18" customHeight="1" x14ac:dyDescent="0.2">
      <c r="A151" s="2061"/>
      <c r="B151" s="2061"/>
      <c r="C151" s="2061"/>
      <c r="D151" s="2061"/>
      <c r="E151" s="2061"/>
      <c r="F151" s="2061"/>
      <c r="G151" s="2061"/>
      <c r="H151" s="2061"/>
      <c r="I151" s="2061"/>
      <c r="J151" s="2061"/>
      <c r="K151" s="2061"/>
      <c r="L151" s="2061"/>
      <c r="N151" s="2628" t="s">
        <v>1367</v>
      </c>
      <c r="O151" s="2629"/>
      <c r="P151" s="2630"/>
      <c r="Q151" s="2631">
        <f t="shared" ref="Q151:X151" si="125">Q138+Q139+Q146+Q147+Q150</f>
        <v>166.55905754176484</v>
      </c>
      <c r="R151" s="2631">
        <f t="shared" si="125"/>
        <v>155.59463159806015</v>
      </c>
      <c r="S151" s="2631">
        <f t="shared" si="125"/>
        <v>155.59463159806015</v>
      </c>
      <c r="T151" s="2631">
        <f t="shared" si="125"/>
        <v>155.59463159806015</v>
      </c>
      <c r="U151" s="2631">
        <f t="shared" si="125"/>
        <v>155.59463159806015</v>
      </c>
      <c r="V151" s="2631">
        <f t="shared" si="125"/>
        <v>155.59463159806015</v>
      </c>
      <c r="W151" s="2631">
        <f t="shared" si="125"/>
        <v>155.59463159806015</v>
      </c>
      <c r="X151" s="2631">
        <f t="shared" si="125"/>
        <v>155.59463159806015</v>
      </c>
      <c r="Y151" s="2469" t="s">
        <v>1323</v>
      </c>
      <c r="Z151" s="2061"/>
      <c r="AB151" s="1841"/>
      <c r="AC151" s="2568"/>
      <c r="AD151" s="1841"/>
      <c r="AE151" s="1841"/>
      <c r="AF151" s="1841"/>
      <c r="AG151" s="1841"/>
      <c r="AH151" s="1841"/>
      <c r="AI151" s="1841"/>
      <c r="AJ151" s="1841"/>
      <c r="AK151" s="1841"/>
    </row>
    <row r="152" spans="1:37" ht="18" customHeight="1" x14ac:dyDescent="0.2">
      <c r="A152" s="2632"/>
      <c r="B152" s="2633" t="s">
        <v>1485</v>
      </c>
      <c r="C152" s="2195"/>
      <c r="D152" s="2075" t="str">
        <f t="shared" ref="D152:K152" si="126">+D101</f>
        <v>Cenário-Base</v>
      </c>
      <c r="E152" s="2075" t="str">
        <f t="shared" si="126"/>
        <v>Biodigestão RT1A + CDR TM</v>
      </c>
      <c r="F152" s="2075" t="str">
        <f t="shared" si="126"/>
        <v>Biodigestão RT1B + CDR TM</v>
      </c>
      <c r="G152" s="2075" t="str">
        <f t="shared" si="126"/>
        <v>Biodigestão RT1C + CDR TM</v>
      </c>
      <c r="H152" s="2075" t="str">
        <f t="shared" si="126"/>
        <v>Compostagem + CDR TM</v>
      </c>
      <c r="I152" s="2075" t="str">
        <f t="shared" si="126"/>
        <v xml:space="preserve">Biosecagem + CDR TMB </v>
      </c>
      <c r="J152" s="2075" t="str">
        <f t="shared" si="126"/>
        <v>Incineração Mass Burning</v>
      </c>
      <c r="K152" s="2075" t="str">
        <f t="shared" si="126"/>
        <v>Incineração Mass Burn. Descentralizada</v>
      </c>
      <c r="L152" s="2061"/>
      <c r="N152" s="2614" t="s">
        <v>1486</v>
      </c>
      <c r="O152" s="2612"/>
      <c r="P152" s="2613"/>
      <c r="Q152" s="2634">
        <f>$D$144*($D$153+$D$154)/33.5*0.9*44/12*1000</f>
        <v>526.49754740147955</v>
      </c>
      <c r="R152" s="2634">
        <f>$E$144*($E$153+$E$154)/33.5*0.9*44/12*1000</f>
        <v>500.53762448082119</v>
      </c>
      <c r="S152" s="2634">
        <f>$G$144*($G$153+$G$154)/33.5*0.9*44/12*1000</f>
        <v>500.53762448082119</v>
      </c>
      <c r="T152" s="2634">
        <f>$G$144*($G$153+$G$154)/33.5*0.9*44/12*1000</f>
        <v>500.53762448082119</v>
      </c>
      <c r="U152" s="2634">
        <f>$H$144*($H$153+$H$154)/33.5*0.9*44/12*1000</f>
        <v>500.53762448082119</v>
      </c>
      <c r="V152" s="2634">
        <f>$I$144*($I$153+$I$154)/33.5*0.9*44/12*1000</f>
        <v>500.53762448082119</v>
      </c>
      <c r="W152" s="2634">
        <f>$I$144*($I$153+$I$154)/33.5*0.9*44/12*1000</f>
        <v>500.53762448082119</v>
      </c>
      <c r="X152" s="2634">
        <f>$I$144*($I$153+$I$154)/33.5*0.9*44/12*1000</f>
        <v>500.53762448082119</v>
      </c>
      <c r="Y152" s="2060" t="s">
        <v>1351</v>
      </c>
      <c r="Z152" s="2061"/>
      <c r="AB152" s="1841"/>
      <c r="AC152" s="2568"/>
      <c r="AD152" s="1841"/>
      <c r="AE152" s="1841"/>
      <c r="AF152" s="1841"/>
      <c r="AG152" s="1841"/>
      <c r="AH152" s="1841"/>
      <c r="AI152" s="1841"/>
      <c r="AJ152" s="1841"/>
      <c r="AK152" s="1841"/>
    </row>
    <row r="153" spans="1:37" ht="18" customHeight="1" x14ac:dyDescent="0.2">
      <c r="A153" s="2598"/>
      <c r="B153" s="2599" t="s">
        <v>1487</v>
      </c>
      <c r="C153" s="2470"/>
      <c r="D153" s="2480">
        <f>+((D131+D132)*$C$29+D133*$C$31+D134*$C$32+D135*$C$33+(D136+D137)*$C$34+(D138+D139+D140)*$C$35+D141*$C$36+D142*$C$37+D143*$C$38)*'CO2 - Início'!$E$55/IF(D144=0,1,D144)</f>
        <v>0</v>
      </c>
      <c r="E153" s="2480">
        <f>+((E131+E132)*$C$29+E133*$C$31+E134*$C$32+E135*$C$33+(E136+E137)*$C$34+(E138+E139+E140)*$C$35+E141*$C$36+E142*$C$37+E143*$C$38)*'CO2 - Início'!$E$55/IF(E144=0,1,E144)</f>
        <v>0</v>
      </c>
      <c r="F153" s="2480">
        <f>+((F131+F132)*$C$29+F133*$C$31+F134*$C$32+F135*$C$33+(F136+F137)*$C$34+(F138+F139+F140)*$C$35+F141*$C$36+F142*$C$37+F143*$C$38)*'CO2 - Início'!$E$55/IF(F144=0,1,F144)</f>
        <v>0</v>
      </c>
      <c r="G153" s="2480">
        <f>+((G131+G132)*$C$29+G133*$C$31+G134*$C$32+G135*$C$33+(G136+G137)*$C$34+(G138+G139+G140)*$C$35+G141*$C$36+G142*$C$37+G143*$C$38)*'CO2 - Início'!$E$55/IF(G144=0,1,G144)</f>
        <v>0</v>
      </c>
      <c r="H153" s="2480">
        <f>+((H131+H132)*$C$29+H133*$C$31+H134*$C$32+H135*$C$33+(H136+H137)*$C$34+(H138+H139+H140)*$C$35+H141*$C$36+H142*$C$37+H143*$C$38)*'CO2 - Início'!$E$55/IF(H144=0,1,H144)</f>
        <v>0</v>
      </c>
      <c r="I153" s="2480">
        <f>+((I131+I132)*$C$29+I133*$C$31+I134*$C$32+I135*$C$33+(I136+I137)*$C$34+(I138+I139+I140)*$C$35+I141*$C$36+I142*$C$37+I143*$C$38)*'CO2 - Início'!$E$55/IF(I144=0,1,I144)</f>
        <v>0</v>
      </c>
      <c r="J153" s="2480">
        <f>+((J131+J132)*$C$29+J133*$C$31+J134*$C$32+J135*$C$33+(J136+J137)*$C$34+(J138+J139+J140)*$C$35+J141*$C$36+J142*$C$37+J143*$C$38)*'CO2 - Início'!$E$55/IF(J144=0,1,J144)</f>
        <v>0</v>
      </c>
      <c r="K153" s="2480">
        <f>+((K131+K132)*$C$29+K133*$C$31+K134*$C$32+K135*$C$33+(K136+K137)*$C$34+(K138+K139+K140)*$C$35+K141*$C$36+K142*$C$37+K143*$C$38)*'CO2 - Início'!$E$55/IF(K144=0,1,K144)</f>
        <v>0</v>
      </c>
      <c r="L153" s="2060" t="s">
        <v>1397</v>
      </c>
      <c r="N153" s="2614" t="s">
        <v>1488</v>
      </c>
      <c r="O153" s="2618"/>
      <c r="P153" s="2619"/>
      <c r="Q153" s="2634">
        <f>$D$173*Q149/33.5*0.9*44/12*1000</f>
        <v>386.98243384154057</v>
      </c>
      <c r="R153" s="2634">
        <f>$E$173*R149/33.5*0.9*44/12*1000</f>
        <v>378.70716883934637</v>
      </c>
      <c r="S153" s="2634">
        <f>$E$173*S149/33.5*0.9*44/12*1000</f>
        <v>378.70716883934637</v>
      </c>
      <c r="T153" s="2634">
        <f>$E$173*T149/33.5*0.9*44/12*1000</f>
        <v>378.70716883934637</v>
      </c>
      <c r="U153" s="2634">
        <f>$H$173*U149/33.5*0.9*44/12*1000</f>
        <v>378.70716883934637</v>
      </c>
      <c r="V153" s="2634">
        <f>$I$173*V149/33.5*0.9*44/12*1000</f>
        <v>378.70716883934637</v>
      </c>
      <c r="W153" s="2634">
        <f>$I$173*W149/33.5*0.9*44/12*1000</f>
        <v>378.70716883934637</v>
      </c>
      <c r="X153" s="2634">
        <f>$I$173*X149/33.5*0.9*44/12*1000</f>
        <v>378.70716883934637</v>
      </c>
      <c r="Y153" s="2060" t="s">
        <v>1351</v>
      </c>
      <c r="Z153" s="2061"/>
      <c r="AB153" s="1841"/>
      <c r="AC153" s="2568"/>
      <c r="AD153" s="1841"/>
      <c r="AE153" s="1841"/>
      <c r="AF153" s="1841"/>
      <c r="AG153" s="1841"/>
      <c r="AH153" s="1841"/>
      <c r="AI153" s="1841"/>
      <c r="AJ153" s="1841"/>
      <c r="AK153" s="1841"/>
    </row>
    <row r="154" spans="1:37" ht="18" customHeight="1" x14ac:dyDescent="0.2">
      <c r="A154" s="2598"/>
      <c r="B154" s="2599" t="s">
        <v>1489</v>
      </c>
      <c r="C154" s="2470"/>
      <c r="D154" s="2480">
        <f>+((D131+D132)*$C$30+D133*$C$31+D134*$C$32+D135*$C$33+(D136+D137)*$C$34+(D138+D139+D140)*$C$35+D141*$C$36+D142*$C$37+D143*$C$39)*'CO2 - Início'!$E$56/IF(D144=0,1,D144)</f>
        <v>17.549809963350079</v>
      </c>
      <c r="E154" s="2480">
        <f>+((E131+E132)*$C$30+E133*$C$31+E134*$C$32+E135*$C$33+(E136+E137)*$C$34+(E138+E139+E140)*$C$35+E141*$C$36+E142*$C$37+E143*$C$39)*'CO2 - Início'!$E$56/IF(E144=0,1,E144)</f>
        <v>17.439362661700272</v>
      </c>
      <c r="F154" s="2480">
        <f>+((F131+F132)*$C$30+F133*$C$31+F134*$C$32+F135*$C$33+(F136+F137)*$C$34+(F138+F139+F140)*$C$35+F141*$C$36+F142*$C$37+F143*$C$39)*'CO2 - Início'!$E$56/IF(F144=0,1,F144)</f>
        <v>17.439362661700272</v>
      </c>
      <c r="G154" s="2480">
        <f>+((G131+G132)*$C$30+G133*$C$31+G134*$C$32+G135*$C$33+(G136+G137)*$C$34+(G138+G139+G140)*$C$35+G141*$C$36+G142*$C$37+G143*$C$39)*'CO2 - Início'!$E$56/IF(G144=0,1,G144)</f>
        <v>17.439362661700272</v>
      </c>
      <c r="H154" s="2480">
        <f>+((H131+H132)*$C$30+H133*$C$31+H134*$C$32+H135*$C$33+(H136+H137)*$C$34+(H138+H139+H140)*$C$35+H141*$C$36+H142*$C$37+H143*$C$39)*'CO2 - Início'!$E$56/IF(H144=0,1,H144)</f>
        <v>17.439362661700272</v>
      </c>
      <c r="I154" s="2480">
        <f>+((I131+I132)*$C$30+I133*$C$31+I134*$C$32+I135*$C$33+(I136+I137)*$C$34+(I138+I139+I140)*$C$35+I141*$C$36+I142*$C$37+I143*$C$39)*'CO2 - Início'!$E$56/IF(I144=0,1,I144)</f>
        <v>17.439362661700272</v>
      </c>
      <c r="J154" s="2480">
        <f>+((J131+J132)*$C$30+J133*$C$31+J134*$C$32+J135*$C$33+(J136+J137)*$C$34+(J138+J139+J140)*$C$35+J141*$C$36+J142*$C$37+J143*$C$39)*'CO2 - Início'!$E$56/IF(J144=0,1,J144)</f>
        <v>17.439362661700272</v>
      </c>
      <c r="K154" s="2480">
        <f>+((K131+K132)*$C$30+K133*$C$31+K134*$C$32+K135*$C$33+(K136+K137)*$C$34+(K138+K139+K140)*$C$35+K141*$C$36+K142*$C$37+K143*$C$39)*'CO2 - Início'!$E$56/IF(K144=0,1,K144)</f>
        <v>17.439362661700272</v>
      </c>
      <c r="L154" s="2060" t="s">
        <v>1397</v>
      </c>
      <c r="N154" s="2628" t="s">
        <v>1436</v>
      </c>
      <c r="O154" s="2629"/>
      <c r="P154" s="2630"/>
      <c r="Q154" s="2635">
        <f>Q152+Q153</f>
        <v>913.47998124302012</v>
      </c>
      <c r="R154" s="2635">
        <f t="shared" ref="R154:X154" si="127">R152+R153</f>
        <v>879.24479332016756</v>
      </c>
      <c r="S154" s="2635">
        <f t="shared" si="127"/>
        <v>879.24479332016756</v>
      </c>
      <c r="T154" s="2635">
        <f t="shared" si="127"/>
        <v>879.24479332016756</v>
      </c>
      <c r="U154" s="2635">
        <f t="shared" si="127"/>
        <v>879.24479332016756</v>
      </c>
      <c r="V154" s="2635">
        <f t="shared" si="127"/>
        <v>879.24479332016756</v>
      </c>
      <c r="W154" s="2635">
        <f t="shared" si="127"/>
        <v>879.24479332016756</v>
      </c>
      <c r="X154" s="2635">
        <f t="shared" si="127"/>
        <v>879.24479332016756</v>
      </c>
      <c r="Y154" s="2469" t="s">
        <v>1323</v>
      </c>
      <c r="Z154" s="2061"/>
      <c r="AB154" s="1841"/>
      <c r="AC154" s="2568"/>
      <c r="AD154" s="1841"/>
      <c r="AE154" s="1841"/>
      <c r="AF154" s="1841"/>
      <c r="AG154" s="1841"/>
      <c r="AH154" s="1841"/>
      <c r="AI154" s="1841"/>
      <c r="AJ154" s="1841"/>
      <c r="AK154" s="1841"/>
    </row>
    <row r="155" spans="1:37" ht="18" customHeight="1" x14ac:dyDescent="0.2">
      <c r="A155" s="2060"/>
      <c r="B155" s="2060"/>
      <c r="C155" s="2060"/>
      <c r="D155" s="2060"/>
      <c r="E155" s="2060"/>
      <c r="F155" s="2060"/>
      <c r="G155" s="2060"/>
      <c r="H155" s="2060"/>
      <c r="I155" s="2060"/>
      <c r="J155" s="2060"/>
      <c r="K155" s="2060"/>
      <c r="L155" s="2060"/>
      <c r="N155" s="2389"/>
      <c r="O155" s="2389"/>
      <c r="P155" s="2389"/>
      <c r="Q155" s="2389"/>
      <c r="R155" s="2389"/>
      <c r="S155" s="2389"/>
      <c r="T155" s="2389"/>
      <c r="U155" s="2389"/>
      <c r="V155" s="2389"/>
      <c r="W155" s="2389"/>
      <c r="X155" s="2389"/>
      <c r="Y155" s="2389"/>
      <c r="Z155" s="2389"/>
      <c r="AB155" s="1841"/>
      <c r="AC155" s="2568"/>
      <c r="AD155" s="1841"/>
      <c r="AE155" s="1841"/>
      <c r="AF155" s="1841"/>
      <c r="AG155" s="1841"/>
      <c r="AH155" s="1841"/>
      <c r="AI155" s="1841"/>
      <c r="AJ155" s="1841"/>
      <c r="AK155" s="1841"/>
    </row>
    <row r="156" spans="1:37" ht="18" customHeight="1" x14ac:dyDescent="0.2">
      <c r="A156" s="2060"/>
      <c r="B156" s="2060"/>
      <c r="C156" s="2060"/>
      <c r="D156" s="2060"/>
      <c r="E156" s="2060"/>
      <c r="F156" s="2060"/>
      <c r="G156" s="2060"/>
      <c r="H156" s="2060"/>
      <c r="I156" s="2060"/>
      <c r="J156" s="2060"/>
      <c r="K156" s="2060"/>
      <c r="L156" s="2060"/>
      <c r="N156" s="2389"/>
      <c r="O156" s="2389"/>
      <c r="P156" s="2389"/>
      <c r="Q156" s="2389"/>
      <c r="R156" s="2389"/>
      <c r="S156" s="2389"/>
      <c r="T156" s="2389"/>
      <c r="U156" s="2389"/>
      <c r="V156" s="2389"/>
      <c r="W156" s="2389"/>
      <c r="X156" s="2389"/>
      <c r="Y156" s="2389"/>
      <c r="Z156" s="2389"/>
      <c r="AB156" s="1841"/>
      <c r="AC156" s="2568"/>
      <c r="AD156" s="1841"/>
      <c r="AE156" s="1841"/>
      <c r="AF156" s="1841"/>
      <c r="AG156" s="1841"/>
      <c r="AH156" s="1841"/>
      <c r="AI156" s="1841"/>
      <c r="AJ156" s="1841"/>
      <c r="AK156" s="1841"/>
    </row>
    <row r="157" spans="1:37" ht="18" customHeight="1" x14ac:dyDescent="0.2">
      <c r="A157" s="1985" t="s">
        <v>1490</v>
      </c>
      <c r="B157" s="2195"/>
      <c r="C157" s="2061"/>
      <c r="D157" s="2061"/>
      <c r="E157" s="2061"/>
      <c r="F157" s="2061"/>
      <c r="G157" s="2061"/>
      <c r="H157" s="2061"/>
      <c r="I157" s="2061"/>
      <c r="J157" s="2061"/>
      <c r="K157" s="2061"/>
      <c r="L157" s="2493"/>
      <c r="N157" s="1841"/>
      <c r="O157" s="1841"/>
      <c r="P157" s="1841"/>
      <c r="Q157" s="1841"/>
      <c r="R157" s="1841"/>
      <c r="S157" s="1841"/>
      <c r="T157" s="1841"/>
      <c r="U157" s="1841"/>
      <c r="V157" s="1841"/>
      <c r="W157" s="1841"/>
      <c r="X157" s="1841"/>
      <c r="Y157" s="1841"/>
      <c r="Z157" s="1841"/>
      <c r="AB157" s="1841"/>
      <c r="AC157" s="2568"/>
      <c r="AD157" s="1841"/>
      <c r="AE157" s="1841"/>
      <c r="AF157" s="1841"/>
      <c r="AG157" s="1841"/>
      <c r="AH157" s="1841"/>
      <c r="AI157" s="1841"/>
      <c r="AJ157" s="1841"/>
      <c r="AK157" s="1841"/>
    </row>
    <row r="158" spans="1:37" ht="18" customHeight="1" x14ac:dyDescent="0.2">
      <c r="A158" s="2061"/>
      <c r="B158" s="2061"/>
      <c r="C158" s="2061"/>
      <c r="D158" s="2061"/>
      <c r="E158" s="2061"/>
      <c r="F158" s="2061"/>
      <c r="G158" s="2061"/>
      <c r="H158" s="2061"/>
      <c r="I158" s="2061"/>
      <c r="J158" s="2061"/>
      <c r="K158" s="2061"/>
      <c r="L158" s="2493"/>
      <c r="N158" s="1841"/>
      <c r="O158" s="1841"/>
      <c r="P158" s="1841"/>
      <c r="Q158" s="1841"/>
      <c r="R158" s="1841"/>
      <c r="S158" s="1841"/>
      <c r="T158" s="1841"/>
      <c r="U158" s="1841"/>
      <c r="V158" s="1841"/>
      <c r="W158" s="1841"/>
      <c r="X158" s="1841"/>
      <c r="Y158" s="1841"/>
      <c r="Z158" s="1841"/>
      <c r="AB158" s="1841"/>
      <c r="AC158" s="2568"/>
      <c r="AD158" s="1841"/>
      <c r="AE158" s="1841"/>
      <c r="AF158" s="1841"/>
      <c r="AG158" s="1841"/>
      <c r="AH158" s="1841"/>
      <c r="AI158" s="1841"/>
      <c r="AJ158" s="1841"/>
      <c r="AK158" s="1841"/>
    </row>
    <row r="159" spans="1:37" ht="18" customHeight="1" x14ac:dyDescent="0.2">
      <c r="A159" s="2061"/>
      <c r="B159" s="2547" t="s">
        <v>1434</v>
      </c>
      <c r="C159" s="2470"/>
      <c r="D159" s="2075" t="str">
        <f t="shared" ref="D159:K159" si="128">+D130</f>
        <v>Cenário-Base</v>
      </c>
      <c r="E159" s="2075" t="str">
        <f t="shared" si="128"/>
        <v>Biodigestão RT1A + CDR TM</v>
      </c>
      <c r="F159" s="2075" t="str">
        <f t="shared" si="128"/>
        <v>Biodigestão RT1B + CDR TM</v>
      </c>
      <c r="G159" s="2075" t="str">
        <f t="shared" si="128"/>
        <v>Biodigestão RT1C + CDR TM</v>
      </c>
      <c r="H159" s="2075" t="str">
        <f t="shared" si="128"/>
        <v>Compostagem + CDR TM</v>
      </c>
      <c r="I159" s="2075" t="str">
        <f t="shared" si="128"/>
        <v xml:space="preserve">Biosecagem + CDR TMB </v>
      </c>
      <c r="J159" s="2075" t="str">
        <f t="shared" si="128"/>
        <v>Incineração Mass Burning</v>
      </c>
      <c r="K159" s="2075" t="str">
        <f t="shared" si="128"/>
        <v>Incineração Mass Burn. Descentralizada</v>
      </c>
      <c r="L159" s="2493"/>
      <c r="N159" s="1841"/>
      <c r="O159" s="1841"/>
      <c r="P159" s="1841"/>
      <c r="Q159" s="1841"/>
      <c r="R159" s="1841"/>
      <c r="S159" s="1841"/>
      <c r="T159" s="1841"/>
      <c r="U159" s="1841"/>
      <c r="V159" s="1841"/>
      <c r="W159" s="1841"/>
      <c r="X159" s="1841"/>
      <c r="Y159" s="1841"/>
      <c r="Z159" s="1841"/>
      <c r="AB159" s="1841"/>
      <c r="AC159" s="2568"/>
      <c r="AD159" s="1841"/>
      <c r="AE159" s="1841"/>
      <c r="AF159" s="1841"/>
      <c r="AG159" s="1841"/>
      <c r="AH159" s="1841"/>
      <c r="AI159" s="1841"/>
      <c r="AJ159" s="1841"/>
      <c r="AK159" s="1841"/>
    </row>
    <row r="160" spans="1:37" ht="18" customHeight="1" x14ac:dyDescent="0.2">
      <c r="A160" s="2061"/>
      <c r="B160" s="2547" t="s">
        <v>1108</v>
      </c>
      <c r="C160" s="2636"/>
      <c r="D160" s="2463">
        <f>D102-D131</f>
        <v>0.50020669698222409</v>
      </c>
      <c r="E160" s="2463">
        <f t="shared" ref="E160:K172" si="129">E102-E131</f>
        <v>0.5382999287086252</v>
      </c>
      <c r="F160" s="2463">
        <f t="shared" si="129"/>
        <v>0.5382999287086252</v>
      </c>
      <c r="G160" s="2463">
        <f t="shared" si="129"/>
        <v>0.5382999287086252</v>
      </c>
      <c r="H160" s="2463">
        <f t="shared" si="129"/>
        <v>0.5382999287086252</v>
      </c>
      <c r="I160" s="2463">
        <f t="shared" si="129"/>
        <v>0.5382999287086252</v>
      </c>
      <c r="J160" s="2463">
        <f t="shared" si="129"/>
        <v>0.5382999287086252</v>
      </c>
      <c r="K160" s="2463">
        <f t="shared" si="129"/>
        <v>0.5382999287086252</v>
      </c>
      <c r="L160" s="2605" t="s">
        <v>194</v>
      </c>
      <c r="N160" s="1841"/>
      <c r="O160" s="1841"/>
      <c r="P160" s="1841"/>
      <c r="Q160" s="1841"/>
      <c r="R160" s="1841"/>
      <c r="S160" s="1841"/>
      <c r="T160" s="1841"/>
      <c r="U160" s="1841"/>
      <c r="V160" s="1841"/>
      <c r="W160" s="1841"/>
      <c r="X160" s="1841"/>
      <c r="Y160" s="1841"/>
      <c r="Z160" s="1841"/>
      <c r="AB160" s="1841"/>
      <c r="AC160" s="2568"/>
      <c r="AD160" s="1841"/>
      <c r="AE160" s="1841"/>
      <c r="AF160" s="1841"/>
      <c r="AG160" s="1841"/>
      <c r="AH160" s="1841"/>
      <c r="AI160" s="1841"/>
      <c r="AJ160" s="1841"/>
      <c r="AK160" s="1841"/>
    </row>
    <row r="161" spans="1:37" ht="18" customHeight="1" x14ac:dyDescent="0.2">
      <c r="A161" s="2061"/>
      <c r="B161" s="2547" t="s">
        <v>1109</v>
      </c>
      <c r="C161" s="2636"/>
      <c r="D161" s="2463">
        <f>D103-D132</f>
        <v>3.1004547333608929E-2</v>
      </c>
      <c r="E161" s="2463">
        <f t="shared" si="129"/>
        <v>3.3365698060451976E-2</v>
      </c>
      <c r="F161" s="2463">
        <f t="shared" si="129"/>
        <v>3.3365698060451976E-2</v>
      </c>
      <c r="G161" s="2463">
        <f t="shared" si="129"/>
        <v>3.3365698060451976E-2</v>
      </c>
      <c r="H161" s="2463">
        <f t="shared" si="129"/>
        <v>3.3365698060451976E-2</v>
      </c>
      <c r="I161" s="2463">
        <f t="shared" si="129"/>
        <v>3.3365698060451976E-2</v>
      </c>
      <c r="J161" s="2463">
        <f t="shared" si="129"/>
        <v>3.3365698060451976E-2</v>
      </c>
      <c r="K161" s="2463">
        <f t="shared" si="129"/>
        <v>3.3365698060451976E-2</v>
      </c>
      <c r="L161" s="2605" t="s">
        <v>194</v>
      </c>
      <c r="N161" s="1841"/>
      <c r="O161" s="1841"/>
      <c r="P161" s="1841"/>
      <c r="Q161" s="1841"/>
      <c r="R161" s="1841"/>
      <c r="S161" s="1841"/>
      <c r="T161" s="1841"/>
      <c r="U161" s="1841"/>
      <c r="V161" s="1841"/>
      <c r="W161" s="1841"/>
      <c r="X161" s="1841"/>
      <c r="Y161" s="1841"/>
      <c r="Z161" s="1841"/>
      <c r="AB161" s="1841"/>
      <c r="AC161" s="2568"/>
      <c r="AD161" s="1841"/>
      <c r="AE161" s="1841"/>
      <c r="AF161" s="1841"/>
      <c r="AG161" s="1841"/>
      <c r="AH161" s="1841"/>
      <c r="AI161" s="1841"/>
      <c r="AJ161" s="1841"/>
      <c r="AK161" s="1841"/>
    </row>
    <row r="162" spans="1:37" ht="18" customHeight="1" x14ac:dyDescent="0.2">
      <c r="A162" s="2061"/>
      <c r="B162" s="2547" t="s">
        <v>1110</v>
      </c>
      <c r="C162" s="2636"/>
      <c r="D162" s="2463">
        <f>D104-D133</f>
        <v>3.6554361306324931E-2</v>
      </c>
      <c r="E162" s="2463">
        <f t="shared" si="129"/>
        <v>2.915394599428113E-2</v>
      </c>
      <c r="F162" s="2463">
        <f t="shared" si="129"/>
        <v>2.915394599428113E-2</v>
      </c>
      <c r="G162" s="2463">
        <f t="shared" si="129"/>
        <v>2.915394599428113E-2</v>
      </c>
      <c r="H162" s="2463">
        <f t="shared" si="129"/>
        <v>2.915394599428113E-2</v>
      </c>
      <c r="I162" s="2463">
        <f t="shared" si="129"/>
        <v>2.915394599428113E-2</v>
      </c>
      <c r="J162" s="2463">
        <f t="shared" si="129"/>
        <v>2.915394599428113E-2</v>
      </c>
      <c r="K162" s="2463">
        <f t="shared" si="129"/>
        <v>2.915394599428113E-2</v>
      </c>
      <c r="L162" s="2605" t="s">
        <v>194</v>
      </c>
      <c r="N162" s="1841"/>
      <c r="O162" s="1841"/>
      <c r="P162" s="1841"/>
      <c r="Q162" s="1841"/>
      <c r="R162" s="1841"/>
      <c r="S162" s="1841"/>
      <c r="T162" s="1841"/>
      <c r="U162" s="1841"/>
      <c r="V162" s="1841"/>
      <c r="W162" s="1841"/>
      <c r="X162" s="1841"/>
      <c r="Y162" s="1841"/>
      <c r="Z162" s="1841"/>
      <c r="AB162" s="1841"/>
      <c r="AC162" s="2568"/>
      <c r="AD162" s="1841"/>
      <c r="AE162" s="1841"/>
      <c r="AF162" s="1841"/>
      <c r="AG162" s="1841"/>
      <c r="AH162" s="1841"/>
      <c r="AI162" s="1841"/>
      <c r="AJ162" s="1841"/>
      <c r="AK162" s="1841"/>
    </row>
    <row r="163" spans="1:37" ht="18" customHeight="1" x14ac:dyDescent="0.2">
      <c r="A163" s="2061"/>
      <c r="B163" s="2547" t="s">
        <v>1111</v>
      </c>
      <c r="C163" s="2636"/>
      <c r="D163" s="2463">
        <f>D105-D134</f>
        <v>3.7670525010334854E-2</v>
      </c>
      <c r="E163" s="2463">
        <f t="shared" si="129"/>
        <v>3.5134080057655934E-2</v>
      </c>
      <c r="F163" s="2463">
        <f t="shared" si="129"/>
        <v>3.5134080057655934E-2</v>
      </c>
      <c r="G163" s="2463">
        <f t="shared" si="129"/>
        <v>3.5134080057655934E-2</v>
      </c>
      <c r="H163" s="2463">
        <f t="shared" si="129"/>
        <v>3.5134080057655934E-2</v>
      </c>
      <c r="I163" s="2463">
        <f t="shared" si="129"/>
        <v>3.5134080057655934E-2</v>
      </c>
      <c r="J163" s="2463">
        <f t="shared" si="129"/>
        <v>3.5134080057655934E-2</v>
      </c>
      <c r="K163" s="2463">
        <f t="shared" si="129"/>
        <v>3.5134080057655934E-2</v>
      </c>
      <c r="L163" s="2605" t="s">
        <v>194</v>
      </c>
      <c r="N163" s="1841"/>
      <c r="O163" s="1841"/>
      <c r="P163" s="1841"/>
      <c r="Q163" s="1841"/>
      <c r="R163" s="1841"/>
      <c r="S163" s="1841"/>
      <c r="T163" s="1841"/>
      <c r="U163" s="1841"/>
      <c r="V163" s="1841"/>
      <c r="W163" s="1841"/>
      <c r="X163" s="1841"/>
      <c r="Y163" s="1841"/>
      <c r="Z163" s="1841"/>
      <c r="AB163" s="1841"/>
      <c r="AC163" s="2568"/>
      <c r="AD163" s="1841"/>
      <c r="AE163" s="1841"/>
      <c r="AF163" s="1841"/>
      <c r="AG163" s="1841"/>
      <c r="AH163" s="1841"/>
      <c r="AI163" s="1841"/>
      <c r="AJ163" s="1841"/>
      <c r="AK163" s="1841"/>
    </row>
    <row r="164" spans="1:37" ht="18" customHeight="1" x14ac:dyDescent="0.2">
      <c r="A164" s="2061"/>
      <c r="B164" s="2547" t="s">
        <v>50</v>
      </c>
      <c r="C164" s="2636"/>
      <c r="D164" s="2463">
        <f t="shared" ref="D164:I172" si="130">D106-D135</f>
        <v>2.4803637866887142E-2</v>
      </c>
      <c r="E164" s="2463">
        <f t="shared" si="130"/>
        <v>2.6692558448361579E-2</v>
      </c>
      <c r="F164" s="2463">
        <f t="shared" si="129"/>
        <v>2.6692558448361579E-2</v>
      </c>
      <c r="G164" s="2463">
        <f t="shared" si="129"/>
        <v>2.6692558448361579E-2</v>
      </c>
      <c r="H164" s="2463">
        <f t="shared" si="130"/>
        <v>2.6692558448361579E-2</v>
      </c>
      <c r="I164" s="2463">
        <f t="shared" si="130"/>
        <v>2.6692558448361579E-2</v>
      </c>
      <c r="J164" s="2463">
        <f t="shared" si="129"/>
        <v>2.6692558448361579E-2</v>
      </c>
      <c r="K164" s="2463">
        <f t="shared" si="129"/>
        <v>2.6692558448361579E-2</v>
      </c>
      <c r="L164" s="2605" t="s">
        <v>194</v>
      </c>
      <c r="N164" s="1841"/>
      <c r="O164" s="1841"/>
      <c r="P164" s="1841"/>
      <c r="Q164" s="1841"/>
      <c r="R164" s="1841"/>
      <c r="S164" s="1841"/>
      <c r="T164" s="1841"/>
      <c r="U164" s="1841"/>
      <c r="V164" s="1841"/>
      <c r="W164" s="1841"/>
      <c r="X164" s="1841"/>
      <c r="Y164" s="1841"/>
      <c r="Z164" s="1841"/>
      <c r="AB164" s="1841"/>
      <c r="AC164" s="2568"/>
      <c r="AD164" s="1841"/>
      <c r="AE164" s="1841"/>
      <c r="AF164" s="1841"/>
      <c r="AG164" s="1841"/>
      <c r="AH164" s="1841"/>
      <c r="AI164" s="1841"/>
      <c r="AJ164" s="1841"/>
      <c r="AK164" s="1841"/>
    </row>
    <row r="165" spans="1:37" ht="18" customHeight="1" x14ac:dyDescent="0.2">
      <c r="A165" s="2061"/>
      <c r="B165" s="2547" t="s">
        <v>1491</v>
      </c>
      <c r="C165" s="2636"/>
      <c r="D165" s="2463">
        <f t="shared" si="130"/>
        <v>1.9016122364613478E-2</v>
      </c>
      <c r="E165" s="2463">
        <f t="shared" si="130"/>
        <v>1.2790184256506597E-3</v>
      </c>
      <c r="F165" s="2463">
        <f t="shared" si="129"/>
        <v>1.2790184256506597E-3</v>
      </c>
      <c r="G165" s="2463">
        <f t="shared" si="129"/>
        <v>1.2790184256506597E-3</v>
      </c>
      <c r="H165" s="2463">
        <f t="shared" si="130"/>
        <v>1.2790184256506597E-3</v>
      </c>
      <c r="I165" s="2463">
        <f t="shared" si="130"/>
        <v>1.2790184256506597E-3</v>
      </c>
      <c r="J165" s="2463">
        <f t="shared" si="129"/>
        <v>1.2790184256506597E-3</v>
      </c>
      <c r="K165" s="2463">
        <f t="shared" si="129"/>
        <v>1.2790184256506597E-3</v>
      </c>
      <c r="L165" s="2605" t="s">
        <v>194</v>
      </c>
      <c r="N165" s="1841"/>
      <c r="O165" s="1841"/>
      <c r="P165" s="1841"/>
      <c r="Q165" s="1841"/>
      <c r="R165" s="1841"/>
      <c r="S165" s="1841"/>
      <c r="T165" s="1841"/>
      <c r="U165" s="1841"/>
      <c r="V165" s="1841"/>
      <c r="W165" s="1841"/>
      <c r="X165" s="1841"/>
      <c r="Y165" s="1841"/>
      <c r="Z165" s="1841"/>
      <c r="AB165" s="1841"/>
      <c r="AC165" s="2568"/>
      <c r="AD165" s="1841"/>
      <c r="AE165" s="1841"/>
      <c r="AF165" s="1841"/>
      <c r="AG165" s="1841"/>
      <c r="AH165" s="1841"/>
      <c r="AI165" s="1841"/>
      <c r="AJ165" s="1841"/>
      <c r="AK165" s="1841"/>
    </row>
    <row r="166" spans="1:37" ht="18" customHeight="1" x14ac:dyDescent="0.2">
      <c r="A166" s="2061"/>
      <c r="B166" s="2547" t="s">
        <v>1113</v>
      </c>
      <c r="C166" s="2636"/>
      <c r="D166" s="2463">
        <f t="shared" si="130"/>
        <v>4.9607275733774278E-3</v>
      </c>
      <c r="E166" s="2463">
        <f t="shared" si="130"/>
        <v>3.3365698060452026E-4</v>
      </c>
      <c r="F166" s="2463">
        <f t="shared" si="129"/>
        <v>3.3365698060452026E-4</v>
      </c>
      <c r="G166" s="2463">
        <f t="shared" si="129"/>
        <v>3.3365698060452026E-4</v>
      </c>
      <c r="H166" s="2463">
        <f t="shared" si="130"/>
        <v>3.3365698060452026E-4</v>
      </c>
      <c r="I166" s="2463">
        <f t="shared" si="130"/>
        <v>3.3365698060452026E-4</v>
      </c>
      <c r="J166" s="2463">
        <f t="shared" si="129"/>
        <v>3.3365698060452026E-4</v>
      </c>
      <c r="K166" s="2463">
        <f t="shared" si="129"/>
        <v>3.3365698060452026E-4</v>
      </c>
      <c r="L166" s="2605" t="s">
        <v>194</v>
      </c>
      <c r="N166" s="1841"/>
      <c r="O166" s="1841"/>
      <c r="P166" s="1841"/>
      <c r="Q166" s="1841"/>
      <c r="R166" s="1841"/>
      <c r="S166" s="1841"/>
      <c r="T166" s="1841"/>
      <c r="U166" s="1841"/>
      <c r="V166" s="1841"/>
      <c r="W166" s="1841"/>
      <c r="X166" s="1841"/>
      <c r="Y166" s="1841"/>
      <c r="Z166" s="1841"/>
      <c r="AB166" s="1841"/>
      <c r="AC166" s="2568"/>
      <c r="AD166" s="1841"/>
      <c r="AE166" s="1841"/>
      <c r="AF166" s="1841"/>
      <c r="AG166" s="1841"/>
      <c r="AH166" s="1841"/>
      <c r="AI166" s="1841"/>
      <c r="AJ166" s="1841"/>
      <c r="AK166" s="1841"/>
    </row>
    <row r="167" spans="1:37" ht="18" customHeight="1" x14ac:dyDescent="0.2">
      <c r="A167" s="2061"/>
      <c r="B167" s="2547" t="s">
        <v>1114</v>
      </c>
      <c r="C167" s="2636"/>
      <c r="D167" s="2463">
        <f t="shared" si="130"/>
        <v>4.599007854485325E-3</v>
      </c>
      <c r="E167" s="2463">
        <f t="shared" si="130"/>
        <v>4.9492452123003766E-3</v>
      </c>
      <c r="F167" s="2463">
        <f t="shared" si="129"/>
        <v>4.9492452123003766E-3</v>
      </c>
      <c r="G167" s="2463">
        <f t="shared" si="129"/>
        <v>4.9492452123003766E-3</v>
      </c>
      <c r="H167" s="2463">
        <f t="shared" si="130"/>
        <v>4.9492452123003766E-3</v>
      </c>
      <c r="I167" s="2463">
        <f t="shared" si="130"/>
        <v>4.9492452123003766E-3</v>
      </c>
      <c r="J167" s="2463">
        <f t="shared" si="129"/>
        <v>4.9492452123003766E-3</v>
      </c>
      <c r="K167" s="2463">
        <f t="shared" si="129"/>
        <v>4.9492452123003766E-3</v>
      </c>
      <c r="L167" s="2605" t="s">
        <v>194</v>
      </c>
      <c r="N167" s="1841"/>
      <c r="O167" s="1841"/>
      <c r="P167" s="1841"/>
      <c r="Q167" s="1841"/>
      <c r="R167" s="1841"/>
      <c r="S167" s="1841"/>
      <c r="T167" s="1841"/>
      <c r="U167" s="1841"/>
      <c r="V167" s="1841"/>
      <c r="W167" s="1841"/>
      <c r="X167" s="1841"/>
      <c r="Y167" s="1841"/>
      <c r="Z167" s="1841"/>
      <c r="AB167" s="1841"/>
      <c r="AC167" s="2568"/>
      <c r="AD167" s="1841"/>
      <c r="AE167" s="1841"/>
      <c r="AF167" s="1841"/>
      <c r="AG167" s="1841"/>
      <c r="AH167" s="1841"/>
      <c r="AI167" s="1841"/>
      <c r="AJ167" s="1841"/>
      <c r="AK167" s="1841"/>
    </row>
    <row r="168" spans="1:37" ht="18" customHeight="1" x14ac:dyDescent="0.2">
      <c r="A168" s="2061"/>
      <c r="B168" s="2547" t="s">
        <v>1375</v>
      </c>
      <c r="C168" s="2636"/>
      <c r="D168" s="2463">
        <f t="shared" si="130"/>
        <v>1.9842910293509704E-3</v>
      </c>
      <c r="E168" s="2463">
        <f t="shared" si="130"/>
        <v>2.1354046758689255E-3</v>
      </c>
      <c r="F168" s="2463">
        <f t="shared" si="129"/>
        <v>2.1354046758689255E-3</v>
      </c>
      <c r="G168" s="2463">
        <f t="shared" si="129"/>
        <v>2.1354046758689255E-3</v>
      </c>
      <c r="H168" s="2463">
        <f t="shared" si="130"/>
        <v>2.1354046758689255E-3</v>
      </c>
      <c r="I168" s="2463">
        <f t="shared" si="130"/>
        <v>2.1354046758689255E-3</v>
      </c>
      <c r="J168" s="2463">
        <f t="shared" si="129"/>
        <v>2.1354046758689255E-3</v>
      </c>
      <c r="K168" s="2463">
        <f t="shared" si="129"/>
        <v>2.1354046758689255E-3</v>
      </c>
      <c r="L168" s="2605" t="s">
        <v>194</v>
      </c>
      <c r="N168" s="1841"/>
      <c r="O168" s="1841"/>
      <c r="P168" s="1841"/>
      <c r="Q168" s="1841"/>
      <c r="R168" s="1841"/>
      <c r="S168" s="1841"/>
      <c r="T168" s="1841"/>
      <c r="U168" s="1841"/>
      <c r="V168" s="1841"/>
      <c r="W168" s="1841"/>
      <c r="X168" s="1841"/>
      <c r="Y168" s="1841"/>
      <c r="Z168" s="1841"/>
      <c r="AB168" s="1841"/>
      <c r="AC168" s="2568"/>
      <c r="AD168" s="1841"/>
      <c r="AE168" s="1841"/>
      <c r="AF168" s="1841"/>
      <c r="AG168" s="1841"/>
      <c r="AH168" s="1841"/>
      <c r="AI168" s="1841"/>
      <c r="AJ168" s="1841"/>
      <c r="AK168" s="1841"/>
    </row>
    <row r="169" spans="1:37" ht="18" customHeight="1" x14ac:dyDescent="0.2">
      <c r="A169" s="2061"/>
      <c r="B169" s="2547" t="s">
        <v>1321</v>
      </c>
      <c r="C169" s="2636"/>
      <c r="D169" s="2463">
        <f t="shared" si="130"/>
        <v>0</v>
      </c>
      <c r="E169" s="2463">
        <f t="shared" si="130"/>
        <v>0</v>
      </c>
      <c r="F169" s="2463">
        <f t="shared" si="129"/>
        <v>0</v>
      </c>
      <c r="G169" s="2463">
        <f t="shared" si="129"/>
        <v>0</v>
      </c>
      <c r="H169" s="2463">
        <f t="shared" si="130"/>
        <v>0</v>
      </c>
      <c r="I169" s="2463">
        <f t="shared" si="130"/>
        <v>0</v>
      </c>
      <c r="J169" s="2463">
        <f t="shared" si="129"/>
        <v>0</v>
      </c>
      <c r="K169" s="2463">
        <f t="shared" si="129"/>
        <v>0</v>
      </c>
      <c r="L169" s="2605" t="s">
        <v>194</v>
      </c>
      <c r="N169" s="1841"/>
      <c r="O169" s="1841"/>
      <c r="P169" s="1841"/>
      <c r="Q169" s="1841"/>
      <c r="R169" s="1841"/>
      <c r="S169" s="1841"/>
      <c r="T169" s="1841"/>
      <c r="U169" s="1841"/>
      <c r="V169" s="1841"/>
      <c r="W169" s="1841"/>
      <c r="X169" s="1841"/>
      <c r="Y169" s="1841"/>
      <c r="Z169" s="1841"/>
      <c r="AB169" s="1841"/>
      <c r="AC169" s="2568"/>
      <c r="AD169" s="1841"/>
      <c r="AE169" s="1841"/>
      <c r="AF169" s="1841"/>
      <c r="AG169" s="1841"/>
      <c r="AH169" s="1841"/>
      <c r="AI169" s="1841"/>
      <c r="AJ169" s="1841"/>
      <c r="AK169" s="1841"/>
    </row>
    <row r="170" spans="1:37" ht="18" customHeight="1" x14ac:dyDescent="0.2">
      <c r="A170" s="2061"/>
      <c r="B170" s="2547" t="s">
        <v>1117</v>
      </c>
      <c r="C170" s="2636"/>
      <c r="D170" s="2463">
        <f t="shared" si="130"/>
        <v>7.5444398511781679E-4</v>
      </c>
      <c r="E170" s="2463">
        <f t="shared" si="130"/>
        <v>8.1189865280433156E-4</v>
      </c>
      <c r="F170" s="2463">
        <f t="shared" si="129"/>
        <v>8.1189865280433156E-4</v>
      </c>
      <c r="G170" s="2463">
        <f t="shared" si="129"/>
        <v>8.1189865280433156E-4</v>
      </c>
      <c r="H170" s="2463">
        <f t="shared" si="130"/>
        <v>8.1189865280433156E-4</v>
      </c>
      <c r="I170" s="2463">
        <f t="shared" si="130"/>
        <v>8.1189865280433156E-4</v>
      </c>
      <c r="J170" s="2463">
        <f t="shared" si="129"/>
        <v>8.1189865280433156E-4</v>
      </c>
      <c r="K170" s="2463">
        <f t="shared" si="129"/>
        <v>8.1189865280433156E-4</v>
      </c>
      <c r="L170" s="2605" t="s">
        <v>194</v>
      </c>
      <c r="N170" s="1841"/>
      <c r="O170" s="1841"/>
      <c r="P170" s="1841"/>
      <c r="Q170" s="1841"/>
      <c r="R170" s="1841"/>
      <c r="S170" s="1841"/>
      <c r="T170" s="1841"/>
      <c r="U170" s="1841"/>
      <c r="V170" s="1841"/>
      <c r="W170" s="1841"/>
      <c r="X170" s="1841"/>
      <c r="Y170" s="1841"/>
      <c r="Z170" s="1841"/>
      <c r="AB170" s="1841"/>
      <c r="AC170" s="2568"/>
      <c r="AD170" s="1841"/>
      <c r="AE170" s="1841"/>
      <c r="AF170" s="1841"/>
      <c r="AG170" s="1841"/>
      <c r="AH170" s="1841"/>
      <c r="AI170" s="1841"/>
      <c r="AJ170" s="1841"/>
      <c r="AK170" s="1841"/>
    </row>
    <row r="171" spans="1:37" ht="18" customHeight="1" x14ac:dyDescent="0.2">
      <c r="A171" s="2061"/>
      <c r="B171" s="2547" t="s">
        <v>1118</v>
      </c>
      <c r="C171" s="2636"/>
      <c r="D171" s="2463">
        <f t="shared" si="130"/>
        <v>0</v>
      </c>
      <c r="E171" s="2463">
        <f t="shared" si="130"/>
        <v>0</v>
      </c>
      <c r="F171" s="2463">
        <f t="shared" si="129"/>
        <v>0</v>
      </c>
      <c r="G171" s="2463">
        <f t="shared" si="129"/>
        <v>0</v>
      </c>
      <c r="H171" s="2463">
        <f t="shared" si="130"/>
        <v>0</v>
      </c>
      <c r="I171" s="2463">
        <f t="shared" si="130"/>
        <v>0</v>
      </c>
      <c r="J171" s="2463">
        <f t="shared" si="129"/>
        <v>0</v>
      </c>
      <c r="K171" s="2463">
        <f t="shared" si="129"/>
        <v>0</v>
      </c>
      <c r="L171" s="2605" t="s">
        <v>194</v>
      </c>
      <c r="N171" s="1841"/>
      <c r="O171" s="1841"/>
      <c r="P171" s="1841"/>
      <c r="Q171" s="1841"/>
      <c r="R171" s="1841"/>
      <c r="S171" s="1841"/>
      <c r="T171" s="1841"/>
      <c r="U171" s="1841"/>
      <c r="V171" s="1841"/>
      <c r="W171" s="1841"/>
      <c r="X171" s="1841"/>
      <c r="Y171" s="1841"/>
      <c r="Z171" s="1841"/>
      <c r="AB171" s="1841"/>
      <c r="AC171" s="2568"/>
      <c r="AD171" s="1841"/>
      <c r="AE171" s="1841"/>
      <c r="AF171" s="1841"/>
      <c r="AG171" s="1841"/>
      <c r="AH171" s="1841"/>
      <c r="AI171" s="1841"/>
      <c r="AJ171" s="1841"/>
      <c r="AK171" s="1841"/>
    </row>
    <row r="172" spans="1:37" ht="18" customHeight="1" x14ac:dyDescent="0.2">
      <c r="A172" s="2061"/>
      <c r="B172" s="2547" t="s">
        <v>1119</v>
      </c>
      <c r="C172" s="2636"/>
      <c r="D172" s="2463">
        <f t="shared" si="130"/>
        <v>3.389830508474577E-2</v>
      </c>
      <c r="E172" s="2463">
        <f t="shared" si="130"/>
        <v>3.6479829879427501E-2</v>
      </c>
      <c r="F172" s="2463">
        <f t="shared" si="129"/>
        <v>3.6479829879427501E-2</v>
      </c>
      <c r="G172" s="2463">
        <f t="shared" si="129"/>
        <v>3.6479829879427501E-2</v>
      </c>
      <c r="H172" s="2463">
        <f t="shared" si="130"/>
        <v>3.6479829879427501E-2</v>
      </c>
      <c r="I172" s="2463">
        <f t="shared" si="130"/>
        <v>3.6479829879427501E-2</v>
      </c>
      <c r="J172" s="2463">
        <f t="shared" si="129"/>
        <v>3.6479829879427501E-2</v>
      </c>
      <c r="K172" s="2463">
        <f t="shared" si="129"/>
        <v>3.6479829879427501E-2</v>
      </c>
      <c r="L172" s="2605" t="s">
        <v>194</v>
      </c>
      <c r="N172" s="1841"/>
      <c r="O172" s="1841"/>
      <c r="P172" s="1841"/>
      <c r="Q172" s="1841"/>
      <c r="R172" s="1841"/>
      <c r="S172" s="1841"/>
      <c r="T172" s="1841"/>
      <c r="U172" s="1841"/>
      <c r="V172" s="1841"/>
      <c r="W172" s="1841"/>
      <c r="X172" s="1841"/>
      <c r="Y172" s="1841"/>
      <c r="Z172" s="1841"/>
      <c r="AB172" s="1841"/>
      <c r="AC172" s="2568"/>
      <c r="AD172" s="1841"/>
      <c r="AE172" s="1841"/>
      <c r="AF172" s="1841"/>
      <c r="AG172" s="1841"/>
      <c r="AH172" s="1841"/>
      <c r="AI172" s="1841"/>
      <c r="AJ172" s="1841"/>
      <c r="AK172" s="1841"/>
    </row>
    <row r="173" spans="1:37" ht="18" customHeight="1" x14ac:dyDescent="0.2">
      <c r="A173" s="2435"/>
      <c r="B173" s="2527" t="s">
        <v>52</v>
      </c>
      <c r="C173" s="2502"/>
      <c r="D173" s="2592">
        <f t="shared" ref="D173:J173" si="131">SUM(D160:D172)</f>
        <v>0.69545266639107062</v>
      </c>
      <c r="E173" s="2592">
        <f t="shared" si="131"/>
        <v>0.70863526509603214</v>
      </c>
      <c r="F173" s="2592">
        <f t="shared" ref="F173" si="132">SUM(F160:F172)</f>
        <v>0.70863526509603214</v>
      </c>
      <c r="G173" s="2592">
        <f t="shared" si="131"/>
        <v>0.70863526509603214</v>
      </c>
      <c r="H173" s="2592">
        <f t="shared" si="131"/>
        <v>0.70863526509603214</v>
      </c>
      <c r="I173" s="2592">
        <f t="shared" si="131"/>
        <v>0.70863526509603214</v>
      </c>
      <c r="J173" s="2592">
        <f t="shared" si="131"/>
        <v>0.70863526509603214</v>
      </c>
      <c r="K173" s="2592">
        <f t="shared" ref="K173" si="133">SUM(K160:K172)</f>
        <v>0.70863526509603214</v>
      </c>
      <c r="L173" s="2605" t="s">
        <v>194</v>
      </c>
      <c r="N173" s="1841"/>
      <c r="O173" s="1841"/>
      <c r="P173" s="1841"/>
      <c r="Q173" s="1841"/>
      <c r="R173" s="1841"/>
      <c r="S173" s="1841"/>
      <c r="T173" s="1841"/>
      <c r="U173" s="1841"/>
      <c r="V173" s="1841"/>
      <c r="W173" s="1841"/>
      <c r="X173" s="1841"/>
      <c r="Y173" s="1841"/>
      <c r="Z173" s="1841"/>
      <c r="AB173" s="1841"/>
      <c r="AC173" s="2568"/>
      <c r="AD173" s="1841"/>
      <c r="AE173" s="1841"/>
      <c r="AF173" s="1841"/>
      <c r="AG173" s="1841"/>
      <c r="AH173" s="1841"/>
      <c r="AI173" s="1841"/>
      <c r="AJ173" s="1841"/>
      <c r="AK173" s="1841"/>
    </row>
    <row r="174" spans="1:37" ht="18" customHeight="1" x14ac:dyDescent="0.2">
      <c r="A174" s="2060"/>
      <c r="B174" s="2060"/>
      <c r="C174" s="2060"/>
      <c r="D174" s="2637"/>
      <c r="E174" s="2637"/>
      <c r="F174" s="2637"/>
      <c r="G174" s="2637"/>
      <c r="H174" s="2637"/>
      <c r="I174" s="2637"/>
      <c r="J174" s="2637"/>
      <c r="K174" s="2637"/>
      <c r="L174" s="2060"/>
      <c r="N174" s="1841"/>
      <c r="O174" s="1841"/>
      <c r="P174" s="1841"/>
      <c r="Q174" s="1841"/>
      <c r="R174" s="1841"/>
      <c r="S174" s="1841"/>
      <c r="T174" s="1841"/>
      <c r="U174" s="1841"/>
      <c r="V174" s="1841"/>
      <c r="W174" s="1841"/>
      <c r="X174" s="1841"/>
      <c r="Y174" s="1841"/>
      <c r="Z174" s="1841"/>
      <c r="AB174" s="1841"/>
      <c r="AC174" s="2568"/>
      <c r="AD174" s="1841"/>
      <c r="AE174" s="1841"/>
      <c r="AF174" s="1841"/>
      <c r="AG174" s="1841"/>
      <c r="AH174" s="1841"/>
      <c r="AI174" s="1841"/>
      <c r="AJ174" s="1841"/>
      <c r="AK174" s="1841"/>
    </row>
    <row r="175" spans="1:37" ht="18" customHeight="1" x14ac:dyDescent="0.2">
      <c r="A175" s="1985" t="s">
        <v>1492</v>
      </c>
      <c r="B175" s="1986"/>
      <c r="C175" s="2195"/>
      <c r="D175" s="2061"/>
      <c r="E175" s="2061"/>
      <c r="F175" s="2061"/>
      <c r="G175" s="2061"/>
      <c r="H175" s="2061"/>
      <c r="I175" s="2061"/>
      <c r="J175" s="2061"/>
      <c r="K175" s="2061"/>
      <c r="L175" s="2061"/>
      <c r="N175" s="1841"/>
      <c r="O175" s="1841"/>
      <c r="P175" s="1841"/>
      <c r="Q175" s="1841"/>
      <c r="R175" s="1841"/>
      <c r="S175" s="1841"/>
      <c r="T175" s="1841"/>
      <c r="U175" s="1841"/>
      <c r="V175" s="1841"/>
      <c r="W175" s="1841"/>
      <c r="X175" s="1841"/>
      <c r="Y175" s="1841"/>
      <c r="Z175" s="1841"/>
      <c r="AB175" s="1841"/>
      <c r="AC175" s="2568"/>
      <c r="AD175" s="1841"/>
      <c r="AE175" s="1841"/>
      <c r="AF175" s="1841"/>
      <c r="AG175" s="1841"/>
      <c r="AH175" s="1841"/>
      <c r="AI175" s="1841"/>
      <c r="AJ175" s="1841"/>
      <c r="AK175" s="1841"/>
    </row>
    <row r="176" spans="1:37" ht="18" customHeight="1" x14ac:dyDescent="0.2">
      <c r="A176" s="2061"/>
      <c r="B176" s="2527" t="s">
        <v>1475</v>
      </c>
      <c r="C176" s="2195"/>
      <c r="D176" s="2075" t="str">
        <f t="shared" ref="D176:K176" si="134">+D130</f>
        <v>Cenário-Base</v>
      </c>
      <c r="E176" s="2075" t="str">
        <f t="shared" si="134"/>
        <v>Biodigestão RT1A + CDR TM</v>
      </c>
      <c r="F176" s="2075" t="str">
        <f t="shared" si="134"/>
        <v>Biodigestão RT1B + CDR TM</v>
      </c>
      <c r="G176" s="2075" t="str">
        <f t="shared" si="134"/>
        <v>Biodigestão RT1C + CDR TM</v>
      </c>
      <c r="H176" s="2075" t="str">
        <f t="shared" si="134"/>
        <v>Compostagem + CDR TM</v>
      </c>
      <c r="I176" s="2075" t="str">
        <f t="shared" si="134"/>
        <v xml:space="preserve">Biosecagem + CDR TMB </v>
      </c>
      <c r="J176" s="2075" t="str">
        <f t="shared" si="134"/>
        <v>Incineração Mass Burning</v>
      </c>
      <c r="K176" s="2075" t="str">
        <f t="shared" si="134"/>
        <v>Incineração Mass Burn. Descentralizada</v>
      </c>
      <c r="L176" s="2061"/>
      <c r="N176" s="1841"/>
      <c r="O176" s="1841"/>
      <c r="P176" s="1841"/>
      <c r="Q176" s="1841"/>
      <c r="R176" s="1841"/>
      <c r="S176" s="1841"/>
      <c r="T176" s="1841"/>
      <c r="U176" s="1841"/>
      <c r="V176" s="1841"/>
      <c r="W176" s="1841"/>
      <c r="X176" s="1841"/>
      <c r="Y176" s="1841"/>
      <c r="Z176" s="1841"/>
      <c r="AB176" s="1841"/>
      <c r="AC176" s="2568"/>
      <c r="AD176" s="1841"/>
      <c r="AE176" s="1841"/>
      <c r="AF176" s="1841"/>
      <c r="AG176" s="1841"/>
      <c r="AH176" s="1841"/>
      <c r="AI176" s="1841"/>
      <c r="AJ176" s="1841"/>
      <c r="AK176" s="1841"/>
    </row>
    <row r="177" spans="1:37" ht="18" customHeight="1" x14ac:dyDescent="0.2">
      <c r="A177" s="2061"/>
      <c r="B177" s="2547" t="s">
        <v>1448</v>
      </c>
      <c r="C177" s="2470"/>
      <c r="D177" s="2472">
        <f t="shared" ref="D177:K177" si="135">+D160*$C$11+D161*$C$12+D162*$C$13+D163*$C$14+D164*$C$15+D165*$C$16+D166*$C$17+D167*$C$18+D168*$C$19+D169*$C$20+D170*$C$21+D171*$C$22+D172*$C$23</f>
        <v>0.12968736047953702</v>
      </c>
      <c r="E177" s="2472">
        <f t="shared" si="135"/>
        <v>0.13129350292005468</v>
      </c>
      <c r="F177" s="2472">
        <f t="shared" si="135"/>
        <v>0.13129350292005468</v>
      </c>
      <c r="G177" s="2472">
        <f t="shared" si="135"/>
        <v>0.13129350292005468</v>
      </c>
      <c r="H177" s="2472">
        <f t="shared" si="135"/>
        <v>0.13129350292005468</v>
      </c>
      <c r="I177" s="2472">
        <f t="shared" si="135"/>
        <v>0.13129350292005468</v>
      </c>
      <c r="J177" s="2472">
        <f t="shared" si="135"/>
        <v>0.13129350292005468</v>
      </c>
      <c r="K177" s="2472">
        <f t="shared" si="135"/>
        <v>0.13129350292005468</v>
      </c>
      <c r="L177" s="2060" t="s">
        <v>1305</v>
      </c>
      <c r="N177" s="1841"/>
      <c r="O177" s="1841"/>
      <c r="P177" s="1841"/>
      <c r="Q177" s="1841"/>
      <c r="R177" s="1841"/>
      <c r="S177" s="1841"/>
      <c r="T177" s="1841"/>
      <c r="U177" s="1841"/>
      <c r="V177" s="1841"/>
      <c r="W177" s="1841"/>
      <c r="X177" s="1841"/>
      <c r="Y177" s="1841"/>
      <c r="Z177" s="1841"/>
      <c r="AB177" s="1841"/>
      <c r="AC177" s="2568"/>
      <c r="AD177" s="1841"/>
      <c r="AE177" s="1841"/>
      <c r="AF177" s="1841"/>
      <c r="AG177" s="1841"/>
      <c r="AH177" s="1841"/>
      <c r="AI177" s="1841"/>
      <c r="AJ177" s="1841"/>
      <c r="AK177" s="1841"/>
    </row>
    <row r="178" spans="1:37" ht="18" customHeight="1" x14ac:dyDescent="0.2">
      <c r="A178" s="2061"/>
      <c r="B178" s="2547" t="s">
        <v>1449</v>
      </c>
      <c r="C178" s="2470"/>
      <c r="D178" s="2597">
        <f t="shared" ref="D178:K178" si="136">+D160*$C$11*$D$11+D161*$C$12*$D$12+D162*$C$13*$D$13+D163*$C$14*$D$14+D164*$C$15*$D$15+D165*$C$16*$D$16+D166*$C$17*$D$17+D167*$C$18*$D$18+D168*$C$19*$D$19+D169*$C$20*$D$20+D170*$C$21*$D$21+D171*$C$22*$D$22+D172*$C$23*$D$23</f>
        <v>2.9910834849111209E-2</v>
      </c>
      <c r="E178" s="2597">
        <f t="shared" si="136"/>
        <v>2.8092598969889689E-2</v>
      </c>
      <c r="F178" s="2597">
        <f t="shared" si="136"/>
        <v>2.8092598969889689E-2</v>
      </c>
      <c r="G178" s="2597">
        <f t="shared" si="136"/>
        <v>2.8092598969889689E-2</v>
      </c>
      <c r="H178" s="2597">
        <f t="shared" si="136"/>
        <v>2.8092598969889689E-2</v>
      </c>
      <c r="I178" s="2597">
        <f t="shared" si="136"/>
        <v>2.8092598969889689E-2</v>
      </c>
      <c r="J178" s="2597">
        <f t="shared" si="136"/>
        <v>2.8092598969889689E-2</v>
      </c>
      <c r="K178" s="2597">
        <f t="shared" si="136"/>
        <v>2.8092598969889689E-2</v>
      </c>
      <c r="L178" s="2060" t="s">
        <v>1305</v>
      </c>
      <c r="N178" s="1841"/>
      <c r="O178" s="1841"/>
      <c r="P178" s="1841"/>
      <c r="Q178" s="1841"/>
      <c r="R178" s="1841"/>
      <c r="S178" s="1841"/>
      <c r="T178" s="1841"/>
      <c r="U178" s="1841"/>
      <c r="V178" s="1841"/>
      <c r="W178" s="1841"/>
      <c r="X178" s="1841"/>
      <c r="Y178" s="1841"/>
      <c r="Z178" s="1841"/>
      <c r="AB178" s="1841"/>
      <c r="AC178" s="2568"/>
      <c r="AD178" s="1841"/>
      <c r="AE178" s="1841"/>
      <c r="AF178" s="1841"/>
      <c r="AG178" s="1841"/>
      <c r="AH178" s="1841"/>
      <c r="AI178" s="1841"/>
      <c r="AJ178" s="1841"/>
      <c r="AK178" s="1841"/>
    </row>
    <row r="179" spans="1:37" ht="18" customHeight="1" x14ac:dyDescent="0.2">
      <c r="A179" s="2061"/>
      <c r="B179" s="2547" t="s">
        <v>1450</v>
      </c>
      <c r="C179" s="2470"/>
      <c r="D179" s="2463">
        <f t="shared" ref="D179:K179" si="137">+D177-D178</f>
        <v>9.9776525630425814E-2</v>
      </c>
      <c r="E179" s="2463">
        <f t="shared" si="137"/>
        <v>0.10320090395016498</v>
      </c>
      <c r="F179" s="2463">
        <f t="shared" si="137"/>
        <v>0.10320090395016498</v>
      </c>
      <c r="G179" s="2463">
        <f t="shared" si="137"/>
        <v>0.10320090395016498</v>
      </c>
      <c r="H179" s="2463">
        <f t="shared" si="137"/>
        <v>0.10320090395016498</v>
      </c>
      <c r="I179" s="2463">
        <f t="shared" si="137"/>
        <v>0.10320090395016498</v>
      </c>
      <c r="J179" s="2463">
        <f t="shared" si="137"/>
        <v>0.10320090395016498</v>
      </c>
      <c r="K179" s="2463">
        <f t="shared" si="137"/>
        <v>0.10320090395016498</v>
      </c>
      <c r="L179" s="2060" t="s">
        <v>1305</v>
      </c>
      <c r="N179" s="1841"/>
      <c r="O179" s="1841"/>
      <c r="P179" s="1841"/>
      <c r="Q179" s="1841"/>
      <c r="R179" s="1841"/>
      <c r="S179" s="1841"/>
      <c r="T179" s="1841"/>
      <c r="U179" s="1841"/>
      <c r="V179" s="1841"/>
      <c r="W179" s="1841"/>
      <c r="X179" s="1841"/>
      <c r="Y179" s="1841"/>
      <c r="Z179" s="1841"/>
      <c r="AB179" s="1841"/>
      <c r="AC179" s="2568"/>
      <c r="AD179" s="1841"/>
      <c r="AE179" s="1841"/>
      <c r="AF179" s="1841"/>
      <c r="AG179" s="1841"/>
      <c r="AH179" s="1841"/>
      <c r="AI179" s="1841"/>
      <c r="AJ179" s="1841"/>
      <c r="AK179" s="1841"/>
    </row>
    <row r="180" spans="1:37" ht="18" customHeight="1" x14ac:dyDescent="0.2">
      <c r="A180" s="2061"/>
      <c r="B180" s="2061"/>
      <c r="C180" s="2061"/>
      <c r="D180" s="2061"/>
      <c r="E180" s="2061"/>
      <c r="F180" s="2061"/>
      <c r="G180" s="2061"/>
      <c r="H180" s="2061"/>
      <c r="I180" s="2061"/>
      <c r="J180" s="2061"/>
      <c r="K180" s="2061"/>
      <c r="L180" s="2061"/>
      <c r="N180" s="1841"/>
      <c r="O180" s="1841"/>
      <c r="P180" s="1841"/>
      <c r="Q180" s="1841"/>
      <c r="R180" s="1841"/>
      <c r="S180" s="1841"/>
      <c r="T180" s="1841"/>
      <c r="U180" s="1841"/>
      <c r="V180" s="1841"/>
      <c r="W180" s="1841"/>
      <c r="X180" s="1841"/>
      <c r="Y180" s="1841"/>
      <c r="Z180" s="1841"/>
      <c r="AB180" s="1841"/>
      <c r="AC180" s="2568"/>
      <c r="AD180" s="1841"/>
      <c r="AE180" s="1841"/>
      <c r="AF180" s="1841"/>
      <c r="AG180" s="1841"/>
      <c r="AH180" s="1841"/>
      <c r="AI180" s="1841"/>
      <c r="AJ180" s="1841"/>
      <c r="AK180" s="1841"/>
    </row>
    <row r="181" spans="1:37" ht="18" customHeight="1" x14ac:dyDescent="0.2">
      <c r="A181" s="2632"/>
      <c r="B181" s="2633" t="s">
        <v>1485</v>
      </c>
      <c r="C181" s="2195"/>
      <c r="D181" s="2075" t="str">
        <f t="shared" ref="D181:K181" si="138">+D130</f>
        <v>Cenário-Base</v>
      </c>
      <c r="E181" s="2075" t="str">
        <f t="shared" si="138"/>
        <v>Biodigestão RT1A + CDR TM</v>
      </c>
      <c r="F181" s="2075" t="str">
        <f t="shared" si="138"/>
        <v>Biodigestão RT1B + CDR TM</v>
      </c>
      <c r="G181" s="2075" t="str">
        <f t="shared" si="138"/>
        <v>Biodigestão RT1C + CDR TM</v>
      </c>
      <c r="H181" s="2075" t="str">
        <f t="shared" si="138"/>
        <v>Compostagem + CDR TM</v>
      </c>
      <c r="I181" s="2075" t="str">
        <f t="shared" si="138"/>
        <v xml:space="preserve">Biosecagem + CDR TMB </v>
      </c>
      <c r="J181" s="2075" t="str">
        <f t="shared" si="138"/>
        <v>Incineração Mass Burning</v>
      </c>
      <c r="K181" s="2075" t="str">
        <f t="shared" si="138"/>
        <v>Incineração Mass Burn. Descentralizada</v>
      </c>
      <c r="L181" s="2061"/>
      <c r="N181" s="1841"/>
      <c r="O181" s="1841"/>
      <c r="P181" s="1841"/>
      <c r="Q181" s="1841"/>
      <c r="R181" s="1841"/>
      <c r="S181" s="1841"/>
      <c r="T181" s="1841"/>
      <c r="U181" s="1841"/>
      <c r="V181" s="1841"/>
      <c r="W181" s="1841"/>
      <c r="X181" s="1841"/>
      <c r="Y181" s="1841"/>
      <c r="Z181" s="1841"/>
      <c r="AB181" s="1841"/>
      <c r="AC181" s="2568"/>
      <c r="AD181" s="1841"/>
      <c r="AE181" s="1841"/>
      <c r="AF181" s="1841"/>
      <c r="AG181" s="1841"/>
      <c r="AH181" s="1841"/>
      <c r="AI181" s="1841"/>
      <c r="AJ181" s="1841"/>
      <c r="AK181" s="1841"/>
    </row>
    <row r="182" spans="1:37" ht="18" customHeight="1" x14ac:dyDescent="0.2">
      <c r="A182" s="2976" t="s">
        <v>1493</v>
      </c>
      <c r="B182" s="2977"/>
      <c r="C182" s="2978"/>
      <c r="D182" s="2480">
        <f>+((D160+D161)*$C$29+D162*$C$31+D163*$C$32+D164*$C$33+(D165+D166)*$C$34+(D167+D168+D169)*$C$35+D170*$C$36+D171*$C$37+D172*$C$38)*'CO2 - Início'!$E$55/IF(D173=0,1,D173)</f>
        <v>0</v>
      </c>
      <c r="E182" s="2480">
        <f>+((E160+E161)*$C$29+E162*$C$31+E163*$C$32+E164*$C$33+(E165+E166)*$C$34+(E167+E168+E169)*$C$35+E170*$C$36+E171*$C$37+E172*$C$38)*'CO2 - Início'!$E$55/IF(E173=0,1,E173)</f>
        <v>0</v>
      </c>
      <c r="F182" s="2480">
        <f>+((F160+F161)*$C$29+F162*$C$31+F163*$C$32+F164*$C$33+(F165+F166)*$C$34+(F167+F168+F169)*$C$35+F170*$C$36+F171*$C$37+F172*$C$38)*'CO2 - Início'!$E$55/IF(F173=0,1,F173)</f>
        <v>0</v>
      </c>
      <c r="G182" s="2480">
        <f>+((G160+G161)*$C$29+G162*$C$31+G163*$C$32+G164*$C$33+(G165+G166)*$C$34+(G167+G168+G169)*$C$35+G170*$C$36+G171*$C$37+G172*$C$38)*'CO2 - Início'!$E$55/IF(G173=0,1,G173)</f>
        <v>0</v>
      </c>
      <c r="H182" s="2480">
        <f>+((H160+H161)*$C$29+H162*$C$31+H163*$C$32+H164*$C$33+(H165+H166)*$C$34+(H167+H168+H169)*$C$35+H170*$C$36+H171*$C$37+H172*$C$38)*'CO2 - Início'!$E$55/IF(H173=0,1,H173)</f>
        <v>0</v>
      </c>
      <c r="I182" s="2480">
        <f>+((I160+I161)*$C$29+I162*$C$31+I163*$C$32+I164*$C$33+(I165+I166)*$C$34+(I167+I168+I169)*$C$35+I170*$C$36+I171*$C$37+I172*$C$38)*'CO2 - Início'!$E$55/IF(I173=0,1,I173)</f>
        <v>0</v>
      </c>
      <c r="J182" s="2480">
        <f>+((J160+J161)*$C$29+J162*$C$31+J163*$C$32+J164*$C$33+(J165+J166)*$C$34+(J167+J168+J169)*$C$35+J170*$C$36+J171*$C$37+J172*$C$38)*'CO2 - Início'!$E$55/IF(J173=0,1,J173)</f>
        <v>0</v>
      </c>
      <c r="K182" s="2480">
        <f>+((K160+K161)*$C$29+K162*$C$31+K163*$C$32+K164*$C$33+(K165+K166)*$C$34+(K167+K168+K169)*$C$35+K170*$C$36+K171*$C$37+K172*$C$38)*'CO2 - Início'!$E$55/IF(K173=0,1,K173)</f>
        <v>0</v>
      </c>
      <c r="L182" s="2060" t="s">
        <v>1397</v>
      </c>
      <c r="N182" s="1841"/>
      <c r="O182" s="1841"/>
      <c r="P182" s="1841"/>
      <c r="Q182" s="1841"/>
      <c r="R182" s="1841"/>
      <c r="S182" s="1841"/>
      <c r="T182" s="1841"/>
      <c r="U182" s="1841"/>
      <c r="V182" s="1841"/>
      <c r="W182" s="1841"/>
      <c r="X182" s="1841"/>
      <c r="Y182" s="1841"/>
      <c r="Z182" s="1841"/>
      <c r="AB182" s="1841"/>
      <c r="AC182" s="2568"/>
      <c r="AD182" s="1841"/>
      <c r="AE182" s="1841"/>
      <c r="AF182" s="1841"/>
      <c r="AG182" s="1841"/>
      <c r="AH182" s="1841"/>
      <c r="AI182" s="1841"/>
      <c r="AJ182" s="1841"/>
      <c r="AK182" s="1841"/>
    </row>
    <row r="183" spans="1:37" ht="18" customHeight="1" x14ac:dyDescent="0.2">
      <c r="A183" s="2976" t="s">
        <v>1494</v>
      </c>
      <c r="B183" s="2977"/>
      <c r="C183" s="2978"/>
      <c r="D183" s="2480">
        <f>+((D160+D161)*$C$30+D162*$C$31+D163*$C$32+D164*$C$33+(D165+D166)*$C$34+(D167+D168+D169)*$C$35+D170*$C$36+D171*$C$37+D172*$C$39)*'CO2 - Início'!$E$56/IF(D173=0,1,D173)</f>
        <v>4.2365838435475247</v>
      </c>
      <c r="E183" s="2480">
        <f>+((E160+E161)*$C$30+E162*$C$31+E163*$C$32+E164*$C$33+(E165+E166)*$C$34+(E167+E168+E169)*$C$35+E170*$C$36+E171*$C$37+E172*$C$39)*'CO2 - Início'!$E$56/IF(E173=0,1,E173)</f>
        <v>4.0688613929681896</v>
      </c>
      <c r="F183" s="2480">
        <f>+((F160+F161)*$C$30+F162*$C$31+F163*$C$32+F164*$C$33+(F165+F166)*$C$34+(F167+F168+F169)*$C$35+F170*$C$36+F171*$C$37+F172*$C$39)*'CO2 - Início'!$E$56/IF(F173=0,1,F173)</f>
        <v>4.0688613929681896</v>
      </c>
      <c r="G183" s="2480">
        <f>+((G160+G161)*$C$30+G162*$C$31+G163*$C$32+G164*$C$33+(G165+G166)*$C$34+(G167+G168+G169)*$C$35+G170*$C$36+G171*$C$37+G172*$C$39)*'CO2 - Início'!$E$56/IF(G173=0,1,G173)</f>
        <v>4.0688613929681896</v>
      </c>
      <c r="H183" s="2480">
        <f>+((H160+H161)*$C$30+H162*$C$31+H163*$C$32+H164*$C$33+(H165+H166)*$C$34+(H167+H168+H169)*$C$35+H170*$C$36+H171*$C$37+H172*$C$39)*'CO2 - Início'!$E$56/IF(H173=0,1,H173)</f>
        <v>4.0688613929681896</v>
      </c>
      <c r="I183" s="2480">
        <f>+((I160+I161)*$C$30+I162*$C$31+I163*$C$32+I164*$C$33+(I165+I166)*$C$34+(I167+I168+I169)*$C$35+I170*$C$36+I171*$C$37+I172*$C$39)*'CO2 - Início'!$E$56/IF(I173=0,1,I173)</f>
        <v>4.0688613929681896</v>
      </c>
      <c r="J183" s="2480">
        <f>+((J160+J161)*$C$30+J162*$C$31+J163*$C$32+J164*$C$33+(J165+J166)*$C$34+(J167+J168+J169)*$C$35+J170*$C$36+J171*$C$37+J172*$C$39)*'CO2 - Início'!$E$56/IF(J173=0,1,J173)</f>
        <v>4.0688613929681896</v>
      </c>
      <c r="K183" s="2480">
        <f>+((K160+K161)*$C$30+K162*$C$31+K163*$C$32+K164*$C$33+(K165+K166)*$C$34+(K167+K168+K169)*$C$35+K170*$C$36+K171*$C$37+K172*$C$39)*'CO2 - Início'!$E$56/IF(K173=0,1,K173)</f>
        <v>4.0688613929681896</v>
      </c>
      <c r="L183" s="2060" t="s">
        <v>1397</v>
      </c>
      <c r="N183" s="1841"/>
      <c r="O183" s="1841"/>
      <c r="P183" s="1841"/>
      <c r="Q183" s="1841"/>
      <c r="R183" s="1841"/>
      <c r="S183" s="1841"/>
      <c r="T183" s="1841"/>
      <c r="U183" s="1841"/>
      <c r="V183" s="1841"/>
      <c r="W183" s="1841"/>
      <c r="X183" s="1841"/>
      <c r="Y183" s="1841"/>
      <c r="Z183" s="1841"/>
      <c r="AB183" s="1841"/>
      <c r="AC183" s="2568"/>
      <c r="AD183" s="1841"/>
      <c r="AE183" s="1841"/>
      <c r="AF183" s="1841"/>
      <c r="AG183" s="1841"/>
      <c r="AH183" s="1841"/>
      <c r="AI183" s="1841"/>
      <c r="AJ183" s="1841"/>
      <c r="AK183" s="1841"/>
    </row>
    <row r="184" spans="1:37" ht="14.25" x14ac:dyDescent="0.25">
      <c r="A184" s="2063"/>
      <c r="B184" s="2063"/>
      <c r="C184" s="2063"/>
      <c r="D184" s="2063"/>
      <c r="E184" s="2063"/>
      <c r="F184" s="2063"/>
      <c r="G184" s="2063"/>
      <c r="H184" s="2063"/>
      <c r="I184" s="2063"/>
      <c r="J184" s="2063"/>
      <c r="K184" s="2063"/>
      <c r="L184" s="2063"/>
      <c r="N184" s="1841"/>
      <c r="O184" s="1841"/>
      <c r="P184" s="1841"/>
      <c r="Q184" s="1841"/>
      <c r="R184" s="1841"/>
      <c r="S184" s="1841"/>
      <c r="T184" s="1841"/>
      <c r="U184" s="1841"/>
      <c r="V184" s="1841"/>
      <c r="W184" s="1841"/>
      <c r="X184" s="1841"/>
      <c r="Y184" s="1841"/>
      <c r="Z184" s="1841"/>
      <c r="AB184" s="1841"/>
      <c r="AC184" s="2568"/>
      <c r="AD184" s="1841"/>
      <c r="AE184" s="1841"/>
      <c r="AF184" s="1841"/>
      <c r="AG184" s="1841"/>
      <c r="AH184" s="1841"/>
      <c r="AI184" s="1841"/>
      <c r="AJ184" s="1841"/>
      <c r="AK184" s="1841"/>
    </row>
    <row r="185" spans="1:37" x14ac:dyDescent="0.2">
      <c r="N185" s="1841"/>
      <c r="O185" s="1841"/>
      <c r="P185" s="1841"/>
      <c r="Q185" s="1841"/>
      <c r="R185" s="1841"/>
      <c r="S185" s="1841"/>
      <c r="T185" s="1841"/>
      <c r="U185" s="1841"/>
      <c r="V185" s="1841"/>
      <c r="W185" s="1841"/>
      <c r="X185" s="1841"/>
      <c r="Y185" s="1841"/>
      <c r="Z185" s="1841"/>
      <c r="AB185" s="1841"/>
      <c r="AC185" s="2568"/>
      <c r="AD185" s="1841"/>
      <c r="AE185" s="1841"/>
      <c r="AF185" s="1841"/>
      <c r="AG185" s="1841"/>
      <c r="AH185" s="1841"/>
      <c r="AI185" s="1841"/>
      <c r="AJ185" s="1841"/>
      <c r="AK185" s="1841"/>
    </row>
    <row r="186" spans="1:37" x14ac:dyDescent="0.2">
      <c r="AB186" s="1841"/>
      <c r="AC186" s="2568"/>
      <c r="AD186" s="1841"/>
      <c r="AE186" s="1841"/>
      <c r="AF186" s="1841"/>
      <c r="AG186" s="1841"/>
      <c r="AH186" s="1841"/>
      <c r="AI186" s="1841"/>
      <c r="AJ186" s="1841"/>
      <c r="AK186" s="1841"/>
    </row>
    <row r="187" spans="1:37" x14ac:dyDescent="0.2">
      <c r="AC187" s="2568"/>
      <c r="AD187" s="1841"/>
      <c r="AE187" s="1841"/>
      <c r="AF187" s="1841"/>
      <c r="AG187" s="1841"/>
      <c r="AH187" s="1841"/>
      <c r="AI187" s="1841"/>
      <c r="AJ187" s="1841"/>
      <c r="AK187" s="1841"/>
    </row>
  </sheetData>
  <sheetProtection selectLockedCells="1" selectUnlockedCells="1"/>
  <mergeCells count="5">
    <mergeCell ref="N3:Q3"/>
    <mergeCell ref="H8:I8"/>
    <mergeCell ref="A123:C123"/>
    <mergeCell ref="A182:C182"/>
    <mergeCell ref="A183:C183"/>
  </mergeCells>
  <pageMargins left="0.78740157499999996" right="0.78740157499999996" top="0.984251969" bottom="0.984251969" header="0.4921259845" footer="0.4921259845"/>
  <pageSetup paperSize="9" orientation="landscape"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2</vt:i4>
      </vt:variant>
    </vt:vector>
  </HeadingPairs>
  <TitlesOfParts>
    <vt:vector size="34" baseType="lpstr">
      <vt:lpstr>Apresentação</vt:lpstr>
      <vt:lpstr>R-Entrada</vt:lpstr>
      <vt:lpstr>R-Definição</vt:lpstr>
      <vt:lpstr>R-Avançado</vt:lpstr>
      <vt:lpstr>R-Fluxo Massa</vt:lpstr>
      <vt:lpstr>R-Resumo Bal. Massa</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CO2 - Intro</vt:lpstr>
      <vt:lpstr>CO2 - Início</vt:lpstr>
      <vt:lpstr>CO2 - Reciclagem</vt:lpstr>
      <vt:lpstr>CO2 - Destinação</vt:lpstr>
      <vt:lpstr>CO2 - Cenário Base</vt:lpstr>
      <vt:lpstr>CO2 - Cenário RT 1A</vt:lpstr>
      <vt:lpstr>CO2 - Cenário RT 1B</vt:lpstr>
      <vt:lpstr>CO2 - Cenário RT 1C</vt:lpstr>
      <vt:lpstr>CO2 - Cenário RT 2</vt:lpstr>
      <vt:lpstr>CO2 - Cenário RT 3</vt:lpstr>
      <vt:lpstr>CO2 - Cenário RT 4</vt:lpstr>
      <vt:lpstr>CO2 - Cenário RT 5</vt:lpstr>
      <vt:lpstr>CO2 - Todos Resultados</vt:lpstr>
      <vt:lpstr>CO2 - Cálculos</vt:lpstr>
      <vt:lpstr>'CO2 - Intro'!Area_de_impressao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Alaim de Paula</cp:lastModifiedBy>
  <cp:lastPrinted>2019-11-28T14:59:28Z</cp:lastPrinted>
  <dcterms:created xsi:type="dcterms:W3CDTF">2019-08-09T12:30:35Z</dcterms:created>
  <dcterms:modified xsi:type="dcterms:W3CDTF">2024-06-05T15:15:18Z</dcterms:modified>
</cp:coreProperties>
</file>