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23 Fev\templates\"/>
    </mc:Choice>
  </mc:AlternateContent>
  <xr:revisionPtr revIDLastSave="0" documentId="13_ncr:1_{CA8D3D7C-352C-444E-AE38-5F1BBF10206A}" xr6:coauthVersionLast="47" xr6:coauthVersionMax="47" xr10:uidLastSave="{00000000-0000-0000-0000-000000000000}"/>
  <bookViews>
    <workbookView xWindow="-120" yWindow="-120" windowWidth="29040" windowHeight="15720" tabRatio="882" firstSheet="6" activeTab="17"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<sst xmlns="http://schemas.openxmlformats.org/spreadsheetml/2006/main" count="2683" uniqueCount="1128">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</sst>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8">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3" t="s">
        <v>473</v>
      </c>
      <c r="D2" s="1984"/>
      <c r="E2" s="1984"/>
      <c r="F2" s="1984"/>
      <c r="G2" s="1984"/>
      <c r="H2" s="395"/>
      <c r="I2" s="1987" t="s">
        <v>962</v>
      </c>
      <c r="J2" s="1988"/>
      <c r="K2" s="1988"/>
    </row>
    <row r="3" spans="2:18" ht="10.5" customHeight="1" x14ac:dyDescent="0.25">
      <c r="B3" s="394"/>
      <c r="C3" s="393"/>
      <c r="D3" s="393"/>
      <c r="E3" s="393"/>
      <c r="F3" s="393"/>
      <c r="G3" s="393"/>
      <c r="H3" s="394"/>
      <c r="I3" s="394"/>
      <c r="J3" s="394"/>
      <c r="K3" s="394"/>
    </row>
    <row r="4" spans="2:18" ht="37.9" customHeight="1" x14ac:dyDescent="0.25">
      <c r="B4" s="396"/>
      <c r="C4" s="1985" t="s">
        <v>770</v>
      </c>
      <c r="D4" s="1986"/>
      <c r="E4" s="1986"/>
      <c r="F4" s="1986"/>
      <c r="G4" s="1986"/>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0" t="s">
        <v>497</v>
      </c>
      <c r="K6" s="1982"/>
      <c r="L6" s="1982"/>
      <c r="M6" s="1982"/>
      <c r="N6" s="1982"/>
      <c r="O6" s="1982"/>
      <c r="P6" s="1982"/>
      <c r="Q6" s="1982"/>
      <c r="R6" s="1982"/>
    </row>
    <row r="7" spans="2:18" ht="18" customHeight="1" x14ac:dyDescent="0.25">
      <c r="B7" s="71"/>
      <c r="I7" s="397"/>
      <c r="J7" s="1982"/>
      <c r="K7" s="1982"/>
      <c r="L7" s="1982"/>
      <c r="M7" s="1982"/>
      <c r="N7" s="1982"/>
      <c r="O7" s="1982"/>
      <c r="P7" s="1982"/>
      <c r="Q7" s="1982"/>
      <c r="R7" s="1982"/>
    </row>
    <row r="8" spans="2:18" ht="18" customHeight="1" x14ac:dyDescent="0.25">
      <c r="B8" s="71"/>
      <c r="I8" s="397"/>
      <c r="J8" s="72"/>
      <c r="K8" s="72"/>
      <c r="L8" s="72"/>
      <c r="M8" s="72"/>
      <c r="N8" s="72"/>
      <c r="O8" s="72"/>
      <c r="P8" s="72"/>
      <c r="Q8" s="72"/>
      <c r="R8" s="72"/>
    </row>
    <row r="9" spans="2:18" ht="22.9" customHeight="1" x14ac:dyDescent="0.25">
      <c r="B9" s="71"/>
      <c r="I9" s="105" t="s">
        <v>772</v>
      </c>
      <c r="J9" s="1980" t="s">
        <v>775</v>
      </c>
      <c r="K9" s="1982"/>
      <c r="L9" s="1982"/>
      <c r="M9" s="1982"/>
      <c r="N9" s="1982"/>
      <c r="O9" s="1982"/>
      <c r="P9" s="1982"/>
      <c r="Q9" s="1982"/>
      <c r="R9" s="1982"/>
    </row>
    <row r="10" spans="2:18" ht="22.9" customHeight="1" x14ac:dyDescent="0.25">
      <c r="B10" s="71"/>
      <c r="I10" s="397"/>
      <c r="J10" s="1982"/>
      <c r="K10" s="1982"/>
      <c r="L10" s="1982"/>
      <c r="M10" s="1982"/>
      <c r="N10" s="1982"/>
      <c r="O10" s="1982"/>
      <c r="P10" s="1982"/>
      <c r="Q10" s="1982"/>
      <c r="R10" s="1982"/>
    </row>
    <row r="11" spans="2:18" ht="22.9" customHeight="1" x14ac:dyDescent="0.25">
      <c r="I11" s="397"/>
      <c r="J11" s="1982"/>
      <c r="K11" s="1982"/>
      <c r="L11" s="1982"/>
      <c r="M11" s="1982"/>
      <c r="N11" s="1982"/>
      <c r="O11" s="1982"/>
      <c r="P11" s="1982"/>
      <c r="Q11" s="1982"/>
      <c r="R11" s="1982"/>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1" t="s">
        <v>776</v>
      </c>
      <c r="K13" s="1981"/>
      <c r="L13" s="1981"/>
      <c r="M13" s="1981"/>
      <c r="N13" s="1981"/>
      <c r="O13" s="1981"/>
      <c r="P13" s="1981"/>
      <c r="Q13" s="1981"/>
      <c r="R13" s="1981"/>
    </row>
    <row r="14" spans="2:18" ht="18" customHeight="1" x14ac:dyDescent="0.25">
      <c r="B14" s="71"/>
      <c r="C14" s="76"/>
      <c r="I14" s="397"/>
      <c r="J14" s="1981"/>
      <c r="K14" s="1981"/>
      <c r="L14" s="1981"/>
      <c r="M14" s="1981"/>
      <c r="N14" s="1981"/>
      <c r="O14" s="1981"/>
      <c r="P14" s="1981"/>
      <c r="Q14" s="1981"/>
      <c r="R14" s="1981"/>
    </row>
    <row r="15" spans="2:18" ht="18" customHeight="1" x14ac:dyDescent="0.25">
      <c r="B15" s="71"/>
      <c r="C15" s="76"/>
      <c r="I15" s="397"/>
      <c r="J15" s="1981"/>
      <c r="K15" s="1981"/>
      <c r="L15" s="1981"/>
      <c r="M15" s="1981"/>
      <c r="N15" s="1981"/>
      <c r="O15" s="1981"/>
      <c r="P15" s="1981"/>
      <c r="Q15" s="1981"/>
      <c r="R15" s="1981"/>
    </row>
    <row r="16" spans="2:18" ht="18" customHeight="1" x14ac:dyDescent="0.25">
      <c r="B16" s="71"/>
      <c r="C16" s="76"/>
      <c r="I16" s="397"/>
      <c r="J16" s="1981"/>
      <c r="K16" s="1981"/>
      <c r="L16" s="1981"/>
      <c r="M16" s="1981"/>
      <c r="N16" s="1981"/>
      <c r="O16" s="1981"/>
      <c r="P16" s="1981"/>
      <c r="Q16" s="1981"/>
      <c r="R16" s="1981"/>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0" t="s">
        <v>498</v>
      </c>
      <c r="K18" s="1980"/>
      <c r="L18" s="1980"/>
      <c r="M18" s="1980"/>
      <c r="N18" s="1980"/>
      <c r="O18" s="1980"/>
      <c r="P18" s="1980"/>
      <c r="Q18" s="1980"/>
      <c r="R18" s="1980"/>
    </row>
    <row r="19" spans="1:18" ht="18" customHeight="1" x14ac:dyDescent="0.25">
      <c r="B19" s="71"/>
      <c r="D19" s="76"/>
      <c r="E19" s="76"/>
      <c r="F19" s="76"/>
      <c r="G19" s="76"/>
      <c r="H19" s="76"/>
      <c r="I19" s="76"/>
      <c r="J19" s="1980"/>
      <c r="K19" s="1980"/>
      <c r="L19" s="1980"/>
      <c r="M19" s="1980"/>
      <c r="N19" s="1980"/>
      <c r="O19" s="1980"/>
      <c r="P19" s="1980"/>
      <c r="Q19" s="1980"/>
      <c r="R19" s="1980"/>
    </row>
    <row r="20" spans="1:18" ht="18" customHeight="1" x14ac:dyDescent="0.25">
      <c r="B20" s="71"/>
      <c r="C20" s="76"/>
      <c r="D20" s="76"/>
      <c r="E20" s="76"/>
      <c r="F20" s="76"/>
      <c r="G20" s="76"/>
      <c r="H20" s="76"/>
      <c r="I20" s="76"/>
      <c r="J20" s="1980"/>
      <c r="K20" s="1980"/>
      <c r="L20" s="1980"/>
      <c r="M20" s="1980"/>
      <c r="N20" s="1980"/>
      <c r="O20" s="1980"/>
      <c r="P20" s="1980"/>
      <c r="Q20" s="1980"/>
      <c r="R20" s="1980"/>
    </row>
    <row r="21" spans="1:18" ht="40.15" customHeight="1" x14ac:dyDescent="0.25">
      <c r="A21" s="496"/>
      <c r="B21" s="398"/>
      <c r="C21" s="399"/>
      <c r="D21" s="399"/>
      <c r="E21" s="399"/>
      <c r="F21" s="399"/>
      <c r="G21" s="402"/>
      <c r="I21" s="76"/>
      <c r="J21" s="1980"/>
      <c r="K21" s="1980"/>
      <c r="L21" s="1980"/>
      <c r="M21" s="1980"/>
      <c r="N21" s="1980"/>
      <c r="O21" s="1980"/>
      <c r="P21" s="1980"/>
      <c r="Q21" s="1980"/>
      <c r="R21" s="1980"/>
    </row>
    <row r="22" spans="1:18" ht="34.9" customHeight="1" x14ac:dyDescent="0.25">
      <c r="B22" s="73"/>
      <c r="C22" s="73"/>
      <c r="D22" s="73"/>
      <c r="E22" s="73"/>
      <c r="F22" s="73"/>
      <c r="G22" s="73"/>
      <c r="H22" s="73"/>
      <c r="I22" s="73"/>
      <c r="J22" s="1980"/>
      <c r="K22" s="1980"/>
      <c r="L22" s="1980"/>
      <c r="M22" s="1980"/>
      <c r="N22" s="1980"/>
      <c r="O22" s="1980"/>
      <c r="P22" s="1980"/>
      <c r="Q22" s="1980"/>
      <c r="R22" s="1980"/>
    </row>
    <row r="23" spans="1:18" ht="18" customHeight="1" x14ac:dyDescent="0.25">
      <c r="B23" s="73"/>
      <c r="C23" s="198" t="s">
        <v>499</v>
      </c>
      <c r="D23" s="497" t="s">
        <v>472</v>
      </c>
      <c r="E23" s="74"/>
      <c r="F23" s="73"/>
      <c r="G23" s="73"/>
      <c r="H23" s="73"/>
      <c r="J23" s="1980"/>
      <c r="K23" s="1980"/>
      <c r="L23" s="1980"/>
      <c r="M23" s="1980"/>
      <c r="N23" s="1980"/>
      <c r="O23" s="1980"/>
      <c r="P23" s="1980"/>
      <c r="Q23" s="1980"/>
      <c r="R23" s="1980"/>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89" t="s">
        <v>1000</v>
      </c>
      <c r="E2" s="1990"/>
      <c r="F2" s="1991"/>
      <c r="G2" s="414"/>
      <c r="H2" s="1992" t="s">
        <v>5</v>
      </c>
      <c r="I2" s="1993"/>
      <c r="J2" s="1994"/>
      <c r="K2" s="414"/>
      <c r="L2" s="414"/>
      <c r="M2" s="414"/>
      <c r="N2" s="414"/>
      <c r="O2" s="939"/>
      <c r="P2" s="939" t="s">
        <v>6</v>
      </c>
      <c r="Q2" s="939"/>
      <c r="R2" s="939"/>
      <c r="S2" s="939"/>
      <c r="T2" s="939"/>
      <c r="U2" s="939"/>
      <c r="V2" s="3"/>
      <c r="W2" s="3"/>
      <c r="X2" s="3"/>
      <c r="Y2" s="3"/>
    </row>
    <row r="3" spans="1:25" ht="18" customHeight="1" x14ac:dyDescent="0.25">
      <c r="B3" s="414"/>
      <c r="C3" s="504" t="s">
        <v>486</v>
      </c>
      <c r="D3" s="1989" t="s">
        <v>1001</v>
      </c>
      <c r="E3" s="1990"/>
      <c r="F3" s="1991"/>
      <c r="G3" s="414"/>
      <c r="H3" s="1995"/>
      <c r="I3" s="1996"/>
      <c r="J3" s="1997"/>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2" t="s">
        <v>473</v>
      </c>
      <c r="M4" s="2003"/>
      <c r="N4" s="2003"/>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4" t="str">
        <f>Apresentação!I2</f>
        <v>RC-RSU V.1.0 - 15/10/2020</v>
      </c>
      <c r="M5" s="2004"/>
      <c r="N5" s="2004"/>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12" t="s">
        <v>931</v>
      </c>
      <c r="D16" s="2013"/>
      <c r="E16" s="2013"/>
      <c r="F16" s="2013"/>
      <c r="G16" s="2013"/>
      <c r="H16" s="2013"/>
      <c r="I16" s="2013"/>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1998" t="s">
        <v>16</v>
      </c>
      <c r="D23" s="2001" t="s">
        <v>736</v>
      </c>
      <c r="E23" s="1999"/>
      <c r="F23" s="1999"/>
      <c r="G23" s="2007" t="s">
        <v>830</v>
      </c>
      <c r="H23" s="2007" t="s">
        <v>17</v>
      </c>
      <c r="I23" s="1999"/>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9"/>
      <c r="D24" s="2000" t="s">
        <v>18</v>
      </c>
      <c r="E24" s="2000" t="s">
        <v>19</v>
      </c>
      <c r="F24" s="2000" t="s">
        <v>20</v>
      </c>
      <c r="G24" s="1999"/>
      <c r="H24" s="1999"/>
      <c r="I24" s="1999"/>
      <c r="J24" s="502"/>
      <c r="K24" s="519"/>
      <c r="L24" s="502"/>
      <c r="M24" s="502"/>
      <c r="N24" s="414"/>
      <c r="O24" s="939"/>
      <c r="P24" s="939"/>
      <c r="Q24" s="939"/>
      <c r="R24" s="939"/>
      <c r="S24" s="939"/>
      <c r="T24" s="939"/>
      <c r="U24" s="939"/>
      <c r="V24" s="3"/>
      <c r="W24" s="7"/>
      <c r="X24" s="7"/>
      <c r="Y24" s="7"/>
    </row>
    <row r="25" spans="1:25" ht="30.4" customHeight="1" x14ac:dyDescent="0.25">
      <c r="B25" s="414"/>
      <c r="C25" s="1999"/>
      <c r="D25" s="1999"/>
      <c r="E25" s="1999"/>
      <c r="F25" s="1999"/>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08">
        <f>E26+E27</f>
        <v>51.4</v>
      </c>
      <c r="I26" s="2010"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09"/>
      <c r="I27" s="2011"/>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08">
        <f>SUM(E28:E33)</f>
        <v>31.900000000000002</v>
      </c>
      <c r="I28" s="2010"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09"/>
      <c r="I29" s="2011"/>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09"/>
      <c r="I30" s="2011"/>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09"/>
      <c r="I31" s="2011"/>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09"/>
      <c r="I32" s="2011"/>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09"/>
      <c r="I33" s="2011"/>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08">
        <f>SUM(E34:E37)</f>
        <v>10.14</v>
      </c>
      <c r="I34" s="2015"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09"/>
      <c r="I35" s="2011"/>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09"/>
      <c r="I36" s="2011"/>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09"/>
      <c r="I37" s="2011"/>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8">
        <f>SUM(E38:E39)</f>
        <v>6.5600000000000023</v>
      </c>
      <c r="I38" s="2015"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09"/>
      <c r="I39" s="2011"/>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19" t="s">
        <v>48</v>
      </c>
      <c r="D51" s="2017" t="s">
        <v>508</v>
      </c>
      <c r="E51" s="2018"/>
      <c r="F51" s="2018"/>
      <c r="G51" s="2018"/>
      <c r="H51" s="2018"/>
      <c r="I51" s="2018"/>
      <c r="J51" s="2018"/>
      <c r="K51" s="2018"/>
      <c r="L51" s="2018"/>
      <c r="M51" s="2018"/>
      <c r="N51" s="2018"/>
      <c r="O51" s="939"/>
      <c r="P51" s="939"/>
      <c r="Q51" s="939"/>
      <c r="R51" s="939"/>
      <c r="S51" s="939"/>
      <c r="T51" s="939"/>
      <c r="U51" s="939"/>
      <c r="V51" s="3"/>
      <c r="W51" s="3"/>
      <c r="X51" s="3"/>
      <c r="Y51" s="3"/>
    </row>
    <row r="52" spans="1:25" ht="18" customHeight="1" x14ac:dyDescent="0.25">
      <c r="B52" s="414"/>
      <c r="C52" s="2006"/>
      <c r="D52" s="2005" t="s">
        <v>25</v>
      </c>
      <c r="E52" s="2006"/>
      <c r="F52" s="2020" t="s">
        <v>49</v>
      </c>
      <c r="G52" s="2005" t="s">
        <v>475</v>
      </c>
      <c r="H52" s="2006"/>
      <c r="I52" s="2005" t="s">
        <v>476</v>
      </c>
      <c r="J52" s="2005" t="s">
        <v>52</v>
      </c>
      <c r="K52" s="2006"/>
      <c r="L52" s="2005" t="s">
        <v>477</v>
      </c>
      <c r="M52" s="2016"/>
      <c r="N52" s="2014" t="s">
        <v>53</v>
      </c>
      <c r="O52" s="939"/>
      <c r="P52" s="939"/>
      <c r="Q52" s="939"/>
      <c r="R52" s="939"/>
      <c r="S52" s="939"/>
      <c r="T52" s="939"/>
      <c r="U52" s="939"/>
      <c r="V52" s="3"/>
      <c r="W52" s="3"/>
      <c r="X52" s="3"/>
      <c r="Y52" s="3"/>
    </row>
    <row r="53" spans="1:25" ht="31.15" customHeight="1" x14ac:dyDescent="0.25">
      <c r="B53" s="414"/>
      <c r="C53" s="2006"/>
      <c r="D53" s="476" t="s">
        <v>54</v>
      </c>
      <c r="E53" s="476" t="s">
        <v>55</v>
      </c>
      <c r="F53" s="2006"/>
      <c r="G53" s="476" t="s">
        <v>56</v>
      </c>
      <c r="H53" s="476" t="s">
        <v>57</v>
      </c>
      <c r="I53" s="2006"/>
      <c r="J53" s="476" t="s">
        <v>58</v>
      </c>
      <c r="K53" s="476" t="s">
        <v>510</v>
      </c>
      <c r="L53" s="476" t="s">
        <v>478</v>
      </c>
      <c r="M53" s="477" t="s">
        <v>509</v>
      </c>
      <c r="N53" s="2006"/>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21" t="str">
        <f>IF('R-Entrada'!D2&lt;&gt;0,'R-Entrada'!D2,"")</f>
        <v>CIRSOP - Consórcio RSU Oeste Paulista</v>
      </c>
      <c r="E2" s="2022"/>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21" t="str">
        <f>IF('R-Entrada'!D3&lt;&gt;0,'R-Entrada'!D3,"")</f>
        <v>Biodigestão c/ Prod. E. Elétrica</v>
      </c>
      <c r="E3" s="2022"/>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92" t="s">
        <v>737</v>
      </c>
      <c r="G5" s="2038"/>
      <c r="H5" s="2039"/>
      <c r="I5" s="414"/>
      <c r="J5" s="125"/>
      <c r="K5" s="556" t="s">
        <v>725</v>
      </c>
      <c r="L5" s="414"/>
      <c r="M5" s="414"/>
      <c r="N5" s="2002" t="s">
        <v>473</v>
      </c>
      <c r="O5" s="2047"/>
      <c r="P5" s="2047"/>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40"/>
      <c r="G6" s="2041"/>
      <c r="H6" s="2042"/>
      <c r="I6" s="505"/>
      <c r="J6" s="672"/>
      <c r="K6" s="556" t="s">
        <v>726</v>
      </c>
      <c r="L6" s="414"/>
      <c r="M6" s="414"/>
      <c r="N6" s="2004" t="str">
        <f>Apresentação!I2</f>
        <v>RC-RSU V.1.0 - 15/10/2020</v>
      </c>
      <c r="O6" s="2004"/>
      <c r="P6" s="2004"/>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48" t="s">
        <v>511</v>
      </c>
      <c r="C8" s="2048"/>
      <c r="D8" s="2048"/>
      <c r="E8" s="2048"/>
      <c r="F8" s="2048"/>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7" t="s">
        <v>48</v>
      </c>
      <c r="D10" s="2001" t="s">
        <v>508</v>
      </c>
      <c r="E10" s="1999"/>
      <c r="F10" s="1999"/>
      <c r="G10" s="1999"/>
      <c r="H10" s="1999"/>
      <c r="I10" s="1999"/>
      <c r="J10" s="1999"/>
      <c r="K10" s="1999"/>
      <c r="L10" s="1999"/>
      <c r="M10" s="1999"/>
      <c r="N10" s="1999"/>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9"/>
      <c r="D11" s="2001" t="s">
        <v>25</v>
      </c>
      <c r="E11" s="1999"/>
      <c r="F11" s="2007" t="s">
        <v>49</v>
      </c>
      <c r="G11" s="2001" t="s">
        <v>475</v>
      </c>
      <c r="H11" s="1999"/>
      <c r="I11" s="2001" t="s">
        <v>476</v>
      </c>
      <c r="J11" s="2001" t="s">
        <v>52</v>
      </c>
      <c r="K11" s="1999"/>
      <c r="L11" s="2001" t="s">
        <v>477</v>
      </c>
      <c r="M11" s="1999"/>
      <c r="N11" s="2037"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9"/>
      <c r="D12" s="480" t="s">
        <v>54</v>
      </c>
      <c r="E12" s="480" t="s">
        <v>55</v>
      </c>
      <c r="F12" s="1999"/>
      <c r="G12" s="480" t="s">
        <v>56</v>
      </c>
      <c r="H12" s="480" t="s">
        <v>57</v>
      </c>
      <c r="I12" s="1999"/>
      <c r="J12" s="480" t="s">
        <v>58</v>
      </c>
      <c r="K12" s="480" t="s">
        <v>510</v>
      </c>
      <c r="L12" s="480" t="s">
        <v>478</v>
      </c>
      <c r="M12" s="474" t="s">
        <v>509</v>
      </c>
      <c r="N12" s="1999"/>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15.325320512820513</v>
      </c>
      <c r="M24" s="108">
        <f>IF($E$28="Sim",F$13*'R-Avançado'!$H$11/100*$E$29/$N$13,0)</f>
        <v>0</v>
      </c>
      <c r="N24" s="108">
        <f>IF($E$32="Sim",F$13*'R-Avançado'!$G$11/100*$E$33/$N$13,0)</f>
        <v>0</v>
      </c>
      <c r="O24" s="600">
        <f>IF(AND($I$25&gt;0,$I$24="Sim"),$I$27/$N$15*F$15*'R-Avançado'!$F$11/100,0)</f>
        <v>15.325320512820513</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10.411858974358974</v>
      </c>
      <c r="M25" s="108">
        <f>IF($E$28="Sim",G$13*'R-Avançado'!$H$11/100*$E$29/$N$13,0)</f>
        <v>0</v>
      </c>
      <c r="N25" s="108">
        <f>IF($E$32="Sim",G$13*'R-Avançado'!$G$11/100*$E$33/$N$13,0)</f>
        <v>0</v>
      </c>
      <c r="O25" s="600">
        <f>IF(AND($I$25&gt;0,$I$24="Sim"),$I$27/$N$15*G$15*'R-Avançado'!$F$11/100,0)</f>
        <v>10.411858974358974</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44" t="str">
        <f>IF(AND(I24="Sim",I27&lt;&gt;0,I27&lt;50),"Mín. é 50 t/d. Rever Célula I26","")</f>
        <v/>
      </c>
      <c r="K26" s="597" t="s">
        <v>78</v>
      </c>
      <c r="L26" s="107">
        <f t="shared" si="1"/>
        <v>5.3814102564102564</v>
      </c>
      <c r="M26" s="108">
        <f>IF($E$28="Sim",H$13*'R-Avançado'!$H$11/100*$E$29/$N$13,0)</f>
        <v>0</v>
      </c>
      <c r="N26" s="108">
        <f>IF($E$32="Sim",H$13*'R-Avançado'!$G$11/100*$E$33/$N$13,0)</f>
        <v>0</v>
      </c>
      <c r="O26" s="600">
        <f>IF(AND($I$25&gt;0,$I$24="Sim"),$I$27/$N$15*H$15*'R-Avançado'!$F$11/100,0)</f>
        <v>5.3814102564102564</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467.94871794871801</v>
      </c>
      <c r="J27" s="2045"/>
      <c r="K27" s="597" t="s">
        <v>31</v>
      </c>
      <c r="L27" s="107">
        <f t="shared" si="1"/>
        <v>2.8076923076923079</v>
      </c>
      <c r="M27" s="108">
        <f>IF($E$28="Sim",I$13*'R-Avançado'!$H$11/100*$E$29/$N$13,0)</f>
        <v>0</v>
      </c>
      <c r="N27" s="108">
        <f>IF($E$32="Sim",I$13*'R-Avançado'!$G$11/100*$E$33/$N$13,0)</f>
        <v>0</v>
      </c>
      <c r="O27" s="600">
        <f>IF(AND($I$25&gt;0,$I$24="Sim"),$I$27/$N$15*I$15*'R-Avançado'!$F$11/100,0)</f>
        <v>2.8076923076923079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44" t="str">
        <f>IF(E29&gt;100,"Máx. é 100 t/d. Rever Célula E25","")</f>
        <v/>
      </c>
      <c r="G28" s="612"/>
      <c r="H28" s="566" t="s">
        <v>81</v>
      </c>
      <c r="I28" s="915" t="s">
        <v>62</v>
      </c>
      <c r="J28" s="503"/>
      <c r="K28" s="597" t="s">
        <v>32</v>
      </c>
      <c r="L28" s="107">
        <f t="shared" si="1"/>
        <v>2.6907051282051282</v>
      </c>
      <c r="M28" s="108">
        <f>IF($E$28="Sim",J$13*'R-Avançado'!$H$11/100*$E$29/$N$13,0)</f>
        <v>0</v>
      </c>
      <c r="N28" s="108">
        <f>IF($E$32="Sim",J$13*'R-Avançado'!$G$11/100*$E$33/$N$13,0)</f>
        <v>0</v>
      </c>
      <c r="O28" s="600">
        <f>IF(AND($I$25&gt;0,$I$24="Sim"),$I$27/$N$15*J$15*'R-Avançado'!$F$11/100,0)</f>
        <v>2.6907051282051282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45"/>
      <c r="G29" s="612"/>
      <c r="H29" s="566" t="s">
        <v>83</v>
      </c>
      <c r="I29" s="915" t="s">
        <v>63</v>
      </c>
      <c r="J29" s="503"/>
      <c r="K29" s="597" t="s">
        <v>84</v>
      </c>
      <c r="L29" s="107">
        <f t="shared" si="1"/>
        <v>0.70192307692307698</v>
      </c>
      <c r="M29" s="108">
        <f>IF($E$28="Sim",K$13*'R-Avançado'!$H$11/100*$E$29/$N$13,0)</f>
        <v>0</v>
      </c>
      <c r="N29" s="108">
        <f>IF($E$32="Sim",K$13*'R-Avançado'!$G$11/100*$E$33/$N$13,0)</f>
        <v>0</v>
      </c>
      <c r="O29" s="600">
        <f>IF(AND($I$25&gt;0,$I$24="Sim"),$I$27/$N$15*K$15*'R-Avançado'!$F$11/100,0)</f>
        <v>0.70192307692307698</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45"/>
      <c r="G30" s="414"/>
      <c r="H30" s="414"/>
      <c r="I30" s="414"/>
      <c r="J30" s="574"/>
      <c r="K30" s="598" t="s">
        <v>513</v>
      </c>
      <c r="L30" s="109">
        <f>SUM(L24:L29)</f>
        <v>37.318910256410263</v>
      </c>
      <c r="M30" s="190">
        <f>SUM(M24:M29)</f>
        <v>0</v>
      </c>
      <c r="N30" s="190">
        <f>SUM(N24:N29)</f>
        <v>0</v>
      </c>
      <c r="O30" s="601">
        <f>SUM(O24:O29)</f>
        <v>37.318910256410263</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25" t="s">
        <v>85</v>
      </c>
      <c r="H31" s="2026"/>
      <c r="I31" s="2027"/>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44" t="str">
        <f>IF(AND(E24&gt;0,E33&lt;50,E33&gt;0),"Mín. é 50 t/d. Rever Célula E25","")</f>
        <v/>
      </c>
      <c r="G32" s="603"/>
      <c r="H32" s="566" t="s">
        <v>92</v>
      </c>
      <c r="I32" s="703" t="s">
        <v>89</v>
      </c>
      <c r="J32" s="414"/>
      <c r="K32" s="223" t="s">
        <v>780</v>
      </c>
      <c r="L32" s="92">
        <f>O32+O33</f>
        <v>204.44679487179491</v>
      </c>
      <c r="M32" s="616"/>
      <c r="N32" s="943" t="s">
        <v>54</v>
      </c>
      <c r="O32" s="941">
        <f>IF(AND($I$25&gt;0,$I$24="Sim"),I27/N15*D15*'R-Avançado'!E11/100,0)</f>
        <v>192.51410256410259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45"/>
      <c r="G33" s="603"/>
      <c r="H33" s="566" t="s">
        <v>93</v>
      </c>
      <c r="I33" s="703" t="s">
        <v>89</v>
      </c>
      <c r="J33" s="414"/>
      <c r="K33" s="223" t="s">
        <v>781</v>
      </c>
      <c r="L33" s="92">
        <f>'R-Entrada'!E45</f>
        <v>0</v>
      </c>
      <c r="M33" s="617"/>
      <c r="N33" s="943" t="s">
        <v>55</v>
      </c>
      <c r="O33" s="941">
        <f>IF(AND($I$25&gt;0,$I$24="Sim"),I27/N15*E15*'R-Avançado'!E11/100,0)</f>
        <v>11.932692307692307</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45"/>
      <c r="G34" s="613"/>
      <c r="H34" s="566" t="s">
        <v>960</v>
      </c>
      <c r="I34" s="914" t="s">
        <v>89</v>
      </c>
      <c r="J34" s="414"/>
      <c r="K34" s="614" t="s">
        <v>818</v>
      </c>
      <c r="L34" s="92">
        <f>SUM(M34:O34)</f>
        <v>176.88461538461536</v>
      </c>
      <c r="M34" s="92">
        <f>IF(E28="Sim",E29*(1-'R-Avançado'!H11/100)*0.9,0)</f>
        <v>0</v>
      </c>
      <c r="N34" s="942">
        <f>IF(E32="Sim",E33*(1-'R-Avançado'!G11/100)*0.9,0)</f>
        <v>0</v>
      </c>
      <c r="O34" s="92">
        <f>D43+E43+F43+G43+H43+L43</f>
        <v>176.88461538461536</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49.298397435897456</v>
      </c>
      <c r="M35" s="92">
        <f>IF(E28="Sim",E29*(1-'R-Avançado'!H11/100)*0.1,0)</f>
        <v>0</v>
      </c>
      <c r="N35" s="92">
        <f>IF(E32="Sim",E33*(1-'R-Avançado'!G11/100)*0.1,0)</f>
        <v>0</v>
      </c>
      <c r="O35" s="92">
        <f>M43+K43+J43+I43</f>
        <v>49.298397435897456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05" t="s">
        <v>514</v>
      </c>
      <c r="E38" s="2006"/>
      <c r="F38" s="2006"/>
      <c r="G38" s="2006"/>
      <c r="H38" s="2006"/>
      <c r="I38" s="2006"/>
      <c r="J38" s="2006"/>
      <c r="K38" s="2006"/>
      <c r="L38" s="2006"/>
      <c r="M38" s="2006"/>
      <c r="N38" s="2006"/>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05" t="s">
        <v>25</v>
      </c>
      <c r="E39" s="2043"/>
      <c r="F39" s="2020" t="s">
        <v>49</v>
      </c>
      <c r="G39" s="2005" t="s">
        <v>475</v>
      </c>
      <c r="H39" s="2043"/>
      <c r="I39" s="2005" t="s">
        <v>51</v>
      </c>
      <c r="J39" s="2005" t="s">
        <v>52</v>
      </c>
      <c r="K39" s="2043"/>
      <c r="L39" s="2005" t="s">
        <v>477</v>
      </c>
      <c r="M39" s="2043"/>
      <c r="N39" s="2014"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6"/>
      <c r="G40" s="476" t="s">
        <v>56</v>
      </c>
      <c r="H40" s="476" t="s">
        <v>57</v>
      </c>
      <c r="I40" s="2043"/>
      <c r="J40" s="476" t="s">
        <v>58</v>
      </c>
      <c r="K40" s="476" t="s">
        <v>510</v>
      </c>
      <c r="L40" s="476" t="s">
        <v>478</v>
      </c>
      <c r="M40" s="477" t="s">
        <v>509</v>
      </c>
      <c r="N40" s="2043"/>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226.4871794871795</v>
      </c>
      <c r="E41" s="114">
        <f t="shared" si="2"/>
        <v>14.038461538461538</v>
      </c>
      <c r="F41" s="114">
        <f t="shared" si="2"/>
        <v>61.301282051282051</v>
      </c>
      <c r="G41" s="114">
        <f t="shared" si="2"/>
        <v>41.647435897435898</v>
      </c>
      <c r="H41" s="114">
        <f t="shared" si="2"/>
        <v>21.525641025641026</v>
      </c>
      <c r="I41" s="114">
        <f t="shared" si="2"/>
        <v>11.230769230769232</v>
      </c>
      <c r="J41" s="114">
        <f t="shared" si="2"/>
        <v>10.762820512820513</v>
      </c>
      <c r="K41" s="114">
        <f t="shared" si="2"/>
        <v>2.8076923076923079</v>
      </c>
      <c r="L41" s="114">
        <f t="shared" si="2"/>
        <v>47.45</v>
      </c>
      <c r="M41" s="114">
        <f t="shared" si="2"/>
        <v>30.697435897435909</v>
      </c>
      <c r="N41" s="92">
        <f>SUM(D41:M41)</f>
        <v>467.94871794871801</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192.51410256410259</v>
      </c>
      <c r="E42" s="114">
        <f>O33</f>
        <v>11.932692307692307</v>
      </c>
      <c r="F42" s="114">
        <f>O24</f>
        <v>15.325320512820513</v>
      </c>
      <c r="G42" s="114">
        <f>O25</f>
        <v>10.411858974358974</v>
      </c>
      <c r="H42" s="114">
        <f>O26</f>
        <v>5.3814102564102564</v>
      </c>
      <c r="I42" s="114">
        <f>O27</f>
        <v>2.8076923076923079</v>
      </c>
      <c r="J42" s="114">
        <f>O28</f>
        <v>2.6907051282051282</v>
      </c>
      <c r="K42" s="114">
        <f>O29</f>
        <v>0.70192307692307698</v>
      </c>
      <c r="L42" s="114">
        <v>0</v>
      </c>
      <c r="M42" s="114">
        <v>0</v>
      </c>
      <c r="N42" s="92">
        <f>SUM(D42:M42)</f>
        <v>241.76570512820518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33.973076923076917</v>
      </c>
      <c r="E43" s="115">
        <f t="shared" si="3"/>
        <v>2.1057692307692317</v>
      </c>
      <c r="F43" s="115">
        <f t="shared" si="3"/>
        <v>45.97596153846154</v>
      </c>
      <c r="G43" s="115">
        <f t="shared" si="3"/>
        <v>31.235576923076923</v>
      </c>
      <c r="H43" s="115">
        <f t="shared" si="3"/>
        <v>16.14423076923077</v>
      </c>
      <c r="I43" s="115">
        <f t="shared" si="3"/>
        <v>8.4230769230769234</v>
      </c>
      <c r="J43" s="115">
        <f t="shared" si="3"/>
        <v>8.072115384615385</v>
      </c>
      <c r="K43" s="115">
        <f t="shared" si="3"/>
        <v>2.1057692307692308</v>
      </c>
      <c r="L43" s="115">
        <f t="shared" si="3"/>
        <v>47.45</v>
      </c>
      <c r="M43" s="115">
        <f t="shared" si="3"/>
        <v>30.697435897435909</v>
      </c>
      <c r="N43" s="92">
        <f>SUM(D43:M43)</f>
        <v>226.18301282051283</v>
      </c>
      <c r="O43" s="520"/>
      <c r="P43" s="469"/>
      <c r="Q43" s="516"/>
      <c r="R43" s="516"/>
      <c r="S43" s="516" t="s">
        <v>62</v>
      </c>
      <c r="T43" s="516">
        <f>IF($I$28="CDR",O34,0)</f>
        <v>176.88461538461536</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381.33141025641027</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162.06584935897433</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176.88461538461536</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204.44679487179491</v>
      </c>
      <c r="F52" s="414"/>
      <c r="G52" s="86"/>
      <c r="H52" s="111" t="s">
        <v>521</v>
      </c>
      <c r="I52" s="92">
        <f>IF(E52&gt;0,I49,0)</f>
        <v>381.33141025641027</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114.39942307692309</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104.86613782051283</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100</v>
      </c>
      <c r="K60" s="415" t="str">
        <f>IF(J60&lt;&gt;0,"&gt;&gt;&gt;&gt;","")</f>
        <v>&gt;&gt;&gt;&gt;</v>
      </c>
      <c r="L60" s="623">
        <f>IF(J60&gt;0,J60/100*E60,"")</f>
        <v>0</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23" t="s">
        <v>113</v>
      </c>
      <c r="O61" s="2024"/>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2" t="s">
        <v>126</v>
      </c>
      <c r="J72" s="2033"/>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30" t="s">
        <v>533</v>
      </c>
      <c r="E77" s="2031"/>
      <c r="F77" s="2031"/>
      <c r="G77" s="2031"/>
      <c r="H77" s="2031"/>
      <c r="I77" s="2031"/>
      <c r="J77" s="2031"/>
      <c r="K77" s="2031"/>
      <c r="L77" s="2031"/>
      <c r="M77" s="2031"/>
      <c r="N77" s="2031"/>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30" t="s">
        <v>25</v>
      </c>
      <c r="E78" s="2031"/>
      <c r="F78" s="2035" t="s">
        <v>49</v>
      </c>
      <c r="G78" s="2030" t="s">
        <v>475</v>
      </c>
      <c r="H78" s="2031"/>
      <c r="I78" s="2030" t="s">
        <v>476</v>
      </c>
      <c r="J78" s="2030" t="s">
        <v>52</v>
      </c>
      <c r="K78" s="2031"/>
      <c r="L78" s="2030" t="s">
        <v>477</v>
      </c>
      <c r="M78" s="2031"/>
      <c r="N78" s="2034"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6"/>
      <c r="G79" s="481" t="s">
        <v>56</v>
      </c>
      <c r="H79" s="481" t="s">
        <v>57</v>
      </c>
      <c r="I79" s="2031"/>
      <c r="J79" s="481" t="s">
        <v>58</v>
      </c>
      <c r="K79" s="481" t="s">
        <v>510</v>
      </c>
      <c r="L79" s="481" t="s">
        <v>478</v>
      </c>
      <c r="M79" s="482" t="s">
        <v>509</v>
      </c>
      <c r="N79" s="2031"/>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33.973076923076917</v>
      </c>
      <c r="E80" s="128">
        <f t="shared" si="5"/>
        <v>2.1057692307692317</v>
      </c>
      <c r="F80" s="128">
        <f t="shared" si="5"/>
        <v>45.97596153846154</v>
      </c>
      <c r="G80" s="128">
        <f t="shared" si="5"/>
        <v>31.235576923076923</v>
      </c>
      <c r="H80" s="128">
        <f t="shared" si="5"/>
        <v>16.14423076923077</v>
      </c>
      <c r="I80" s="128">
        <f t="shared" si="5"/>
        <v>8.4230769230769234</v>
      </c>
      <c r="J80" s="128">
        <f t="shared" si="5"/>
        <v>8.072115384615385</v>
      </c>
      <c r="K80" s="128">
        <f t="shared" si="5"/>
        <v>2.1057692307692308</v>
      </c>
      <c r="L80" s="128">
        <f t="shared" si="5"/>
        <v>47.45</v>
      </c>
      <c r="M80" s="128">
        <f t="shared" si="5"/>
        <v>30.697435897435909</v>
      </c>
      <c r="N80" s="641">
        <f>SUM(D80:M80)</f>
        <v>226.18301282051283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33.973076923076917</v>
      </c>
      <c r="E82" s="134">
        <f t="shared" si="7"/>
        <v>2.1057692307692317</v>
      </c>
      <c r="F82" s="134">
        <f t="shared" si="7"/>
        <v>45.97596153846154</v>
      </c>
      <c r="G82" s="134">
        <f t="shared" si="7"/>
        <v>31.235576923076923</v>
      </c>
      <c r="H82" s="134">
        <f t="shared" si="7"/>
        <v>16.14423076923077</v>
      </c>
      <c r="I82" s="134">
        <f t="shared" si="7"/>
        <v>8.4230769230769234</v>
      </c>
      <c r="J82" s="134">
        <f t="shared" si="7"/>
        <v>8.072115384615385</v>
      </c>
      <c r="K82" s="134">
        <f t="shared" si="7"/>
        <v>2.1057692307692308</v>
      </c>
      <c r="L82" s="134">
        <f t="shared" si="7"/>
        <v>47.45</v>
      </c>
      <c r="M82" s="134">
        <f t="shared" si="7"/>
        <v>30.697435897435909</v>
      </c>
      <c r="N82" s="642">
        <f>SUM(D82:M82)</f>
        <v>226.18301282051283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33.973076923076917</v>
      </c>
      <c r="E86" s="191">
        <f t="shared" si="8"/>
        <v>2.1057692307692317</v>
      </c>
      <c r="F86" s="191">
        <f t="shared" si="8"/>
        <v>45.97596153846154</v>
      </c>
      <c r="G86" s="191">
        <f t="shared" si="8"/>
        <v>31.235576923076923</v>
      </c>
      <c r="H86" s="191">
        <f t="shared" si="8"/>
        <v>16.14423076923077</v>
      </c>
      <c r="I86" s="191">
        <f t="shared" si="8"/>
        <v>0</v>
      </c>
      <c r="J86" s="191">
        <f t="shared" si="8"/>
        <v>0</v>
      </c>
      <c r="K86" s="191">
        <f t="shared" si="8"/>
        <v>0</v>
      </c>
      <c r="L86" s="191">
        <f t="shared" si="8"/>
        <v>47.45</v>
      </c>
      <c r="M86" s="191">
        <f t="shared" si="8"/>
        <v>0</v>
      </c>
      <c r="N86" s="191">
        <f>SUM(D86:M86)</f>
        <v>176.88461538461536</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33.973076923076917</v>
      </c>
      <c r="E87" s="136">
        <f>IF($E$51&gt;0,E43,0)</f>
        <v>2.1057692307692317</v>
      </c>
      <c r="F87" s="136">
        <f>IF($E$51&gt;0,F43,0)</f>
        <v>45.97596153846154</v>
      </c>
      <c r="G87" s="136">
        <f>IF($E$51&gt;0,G43,0)</f>
        <v>31.235576923076923</v>
      </c>
      <c r="H87" s="136">
        <f>IF($E$51&gt;0,H43,0)</f>
        <v>16.14423076923077</v>
      </c>
      <c r="I87" s="126"/>
      <c r="J87" s="126"/>
      <c r="K87" s="126"/>
      <c r="L87" s="149">
        <f>IF($E$51&gt;0,L43,0)</f>
        <v>47.45</v>
      </c>
      <c r="M87" s="136"/>
      <c r="N87" s="649">
        <f>SUM(D87:M87)</f>
        <v>176.88461538461536</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8.4230769230769234</v>
      </c>
      <c r="J90" s="128">
        <f t="shared" si="9"/>
        <v>8.072115384615385</v>
      </c>
      <c r="K90" s="128">
        <f t="shared" si="9"/>
        <v>2.1057692307692308</v>
      </c>
      <c r="L90" s="128">
        <f t="shared" si="9"/>
        <v>0</v>
      </c>
      <c r="M90" s="128">
        <f t="shared" si="9"/>
        <v>30.697435897435909</v>
      </c>
      <c r="N90" s="641">
        <f>SUM(D90:M90)</f>
        <v>49.298397435897442</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-1.4210854715202004E-14</v>
      </c>
      <c r="N92" s="191">
        <f>SUM(D92:M93)</f>
        <v>-1.4210854715202004E-14</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8.4230769230769234</v>
      </c>
      <c r="J94" s="191">
        <f t="shared" si="11"/>
        <v>8.072115384615385</v>
      </c>
      <c r="K94" s="191">
        <f t="shared" si="11"/>
        <v>2.1057692307692308</v>
      </c>
      <c r="L94" s="191">
        <f t="shared" si="11"/>
        <v>0</v>
      </c>
      <c r="M94" s="191">
        <f>SUM(M95:M101)</f>
        <v>145.09685897435901</v>
      </c>
      <c r="N94" s="191">
        <f t="shared" ref="N94:N101" si="12">SUM(D94:M94)</f>
        <v>163.69782051282056</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8.4230769230769234</v>
      </c>
      <c r="J96" s="134">
        <f t="shared" si="14"/>
        <v>8.072115384615385</v>
      </c>
      <c r="K96" s="134">
        <f t="shared" si="14"/>
        <v>2.1057692307692308</v>
      </c>
      <c r="L96" s="134">
        <f>IF(OR($I$28="Incineração",I28="CDR"),0,L43)</f>
        <v>0</v>
      </c>
      <c r="M96" s="134">
        <f>IF($I$28="Incineração",0,M43)</f>
        <v>30.697435897435909</v>
      </c>
      <c r="N96" s="642">
        <f t="shared" si="12"/>
        <v>49.298397435897442</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114.39942307692309</v>
      </c>
      <c r="N100" s="642">
        <f t="shared" si="12"/>
        <v>114.39942307692309</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28"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29"/>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29"/>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29"/>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29"/>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29"/>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29"/>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163.69782051282056</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110.40501282051285</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49" t="str">
        <f>IF('R-Entrada'!D2&lt;&gt;0,'R-Entrada'!D2,"")</f>
        <v>CIRSOP - Consórcio RSU Oeste Paulista</v>
      </c>
      <c r="E2" s="2050"/>
      <c r="F2" s="463"/>
      <c r="G2" s="463"/>
      <c r="H2" s="463"/>
      <c r="I2" s="463"/>
      <c r="J2" s="463"/>
      <c r="K2" s="463"/>
      <c r="L2" s="463"/>
      <c r="M2" s="463"/>
      <c r="N2" s="463"/>
      <c r="O2" s="463"/>
      <c r="P2" s="463"/>
      <c r="Q2" s="463"/>
      <c r="R2" s="463"/>
      <c r="S2" s="463"/>
      <c r="T2" s="463"/>
      <c r="U2" s="463"/>
    </row>
    <row r="3" spans="1:21" ht="15" customHeight="1" x14ac:dyDescent="0.25">
      <c r="B3" s="463"/>
      <c r="C3" s="445" t="s">
        <v>486</v>
      </c>
      <c r="D3" s="2049" t="str">
        <f>IF('R-Entrada'!D3&lt;&gt;0,'R-Entrada'!D3,"")</f>
        <v>Biodigestão c/ Prod. E. Elétrica</v>
      </c>
      <c r="E3" s="2050"/>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51" t="s">
        <v>473</v>
      </c>
      <c r="O5" s="2052"/>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4" t="str">
        <f>Apresentação!I2</f>
        <v>RC-RSU V.1.0 - 15/10/2020</v>
      </c>
      <c r="O6" s="2052"/>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4" t="s">
        <v>958</v>
      </c>
      <c r="F8" s="2065"/>
      <c r="G8" s="2065"/>
      <c r="H8" s="2066"/>
      <c r="I8" s="463"/>
      <c r="J8" s="2069"/>
      <c r="K8" s="2070"/>
      <c r="L8" s="2067" t="s">
        <v>186</v>
      </c>
      <c r="M8" s="2067" t="s">
        <v>535</v>
      </c>
      <c r="N8" s="463"/>
      <c r="O8" s="463"/>
      <c r="P8" s="463"/>
      <c r="Q8" s="463"/>
      <c r="R8" s="463"/>
      <c r="S8" s="463"/>
      <c r="T8" s="463"/>
      <c r="U8" s="463"/>
    </row>
    <row r="9" spans="1:21" ht="18" customHeight="1" x14ac:dyDescent="0.25">
      <c r="A9" s="463"/>
      <c r="B9" s="463"/>
      <c r="C9" s="463"/>
      <c r="D9" s="2075"/>
      <c r="E9" s="718" t="s">
        <v>25</v>
      </c>
      <c r="F9" s="2064" t="s">
        <v>959</v>
      </c>
      <c r="G9" s="2065"/>
      <c r="H9" s="2066"/>
      <c r="I9" s="463"/>
      <c r="J9" s="2071"/>
      <c r="K9" s="2072"/>
      <c r="L9" s="2068"/>
      <c r="M9" s="2068"/>
      <c r="N9" s="463"/>
      <c r="O9" s="463"/>
      <c r="P9" s="463"/>
      <c r="Q9" s="463"/>
      <c r="R9" s="463"/>
      <c r="S9" s="463"/>
      <c r="T9" s="463"/>
      <c r="U9" s="463"/>
    </row>
    <row r="10" spans="1:21" ht="18" customHeight="1" x14ac:dyDescent="0.25">
      <c r="A10" s="463"/>
      <c r="B10" s="463"/>
      <c r="C10" s="463"/>
      <c r="D10" s="2076"/>
      <c r="E10" s="492" t="s">
        <v>730</v>
      </c>
      <c r="F10" s="492" t="s">
        <v>730</v>
      </c>
      <c r="G10" s="492" t="s">
        <v>731</v>
      </c>
      <c r="H10" s="492" t="s">
        <v>557</v>
      </c>
      <c r="I10" s="463"/>
      <c r="J10" s="2073"/>
      <c r="K10" s="2074"/>
      <c r="L10" s="2068"/>
      <c r="M10" s="2068"/>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9" t="s">
        <v>536</v>
      </c>
      <c r="K11" s="2059"/>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9" t="s">
        <v>537</v>
      </c>
      <c r="K12" s="2059"/>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7" t="s">
        <v>191</v>
      </c>
      <c r="E17" s="489" t="s">
        <v>192</v>
      </c>
      <c r="F17" s="489" t="s">
        <v>999</v>
      </c>
      <c r="G17" s="463"/>
      <c r="H17" s="2079"/>
      <c r="I17" s="2079" t="s">
        <v>193</v>
      </c>
      <c r="J17" s="2031"/>
      <c r="K17" s="463"/>
      <c r="L17" s="2078" t="s">
        <v>744</v>
      </c>
      <c r="M17" s="2043"/>
      <c r="N17" s="463"/>
      <c r="O17" s="463"/>
      <c r="P17" s="463"/>
      <c r="Q17" s="463"/>
      <c r="R17" s="463"/>
      <c r="S17" s="463"/>
      <c r="T17" s="463"/>
      <c r="U17" s="463"/>
    </row>
    <row r="18" spans="1:21" ht="18" customHeight="1" x14ac:dyDescent="0.25">
      <c r="A18" s="463"/>
      <c r="B18" s="463"/>
      <c r="C18" s="700"/>
      <c r="D18" s="2031"/>
      <c r="E18" s="489" t="s">
        <v>1062</v>
      </c>
      <c r="F18" s="489" t="s">
        <v>998</v>
      </c>
      <c r="G18" s="463"/>
      <c r="H18" s="2031"/>
      <c r="I18" s="489" t="s">
        <v>189</v>
      </c>
      <c r="J18" s="689" t="s">
        <v>132</v>
      </c>
      <c r="K18" s="463"/>
      <c r="L18" s="2043"/>
      <c r="M18" s="2043"/>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7" t="s">
        <v>745</v>
      </c>
      <c r="E23" s="2058"/>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7" t="s">
        <v>538</v>
      </c>
      <c r="E24" s="2058"/>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61"/>
      <c r="D27" s="2062"/>
      <c r="E27" s="2062"/>
      <c r="F27" s="321" t="s">
        <v>195</v>
      </c>
      <c r="G27" s="463"/>
      <c r="H27" s="2063" t="s">
        <v>539</v>
      </c>
      <c r="I27" s="2043"/>
      <c r="J27" s="2043"/>
      <c r="K27" s="463"/>
      <c r="L27" s="2060"/>
      <c r="M27" s="2031"/>
      <c r="N27" s="2031"/>
      <c r="O27" s="489" t="s">
        <v>289</v>
      </c>
      <c r="P27" s="463"/>
      <c r="Q27" s="463"/>
      <c r="R27" s="463"/>
      <c r="S27" s="463"/>
      <c r="T27" s="463"/>
      <c r="U27" s="463"/>
    </row>
    <row r="28" spans="1:21" ht="18" customHeight="1" x14ac:dyDescent="0.25">
      <c r="A28" s="463"/>
      <c r="B28" s="463"/>
      <c r="C28" s="2057" t="s">
        <v>746</v>
      </c>
      <c r="D28" s="2058"/>
      <c r="E28" s="2058"/>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7" t="s">
        <v>196</v>
      </c>
      <c r="D29" s="2058"/>
      <c r="E29" s="2058"/>
      <c r="F29" s="205">
        <v>20</v>
      </c>
      <c r="G29" s="463"/>
      <c r="H29" s="205">
        <v>50</v>
      </c>
      <c r="I29" s="205">
        <v>30</v>
      </c>
      <c r="J29" s="205">
        <v>10</v>
      </c>
      <c r="K29" s="463"/>
      <c r="L29" s="2059" t="s">
        <v>541</v>
      </c>
      <c r="M29" s="2054"/>
      <c r="N29" s="2054"/>
      <c r="O29" s="1516">
        <v>35</v>
      </c>
      <c r="P29" s="463"/>
      <c r="Q29" s="463"/>
      <c r="R29" s="463"/>
      <c r="S29" s="463"/>
      <c r="T29" s="463"/>
      <c r="U29" s="463"/>
    </row>
    <row r="30" spans="1:21" ht="18" customHeight="1" x14ac:dyDescent="0.25">
      <c r="A30" s="463"/>
      <c r="B30" s="463"/>
      <c r="C30" s="2057" t="s">
        <v>159</v>
      </c>
      <c r="D30" s="2058"/>
      <c r="E30" s="2058"/>
      <c r="F30" s="205">
        <v>90</v>
      </c>
      <c r="G30" s="463"/>
      <c r="H30" s="163"/>
      <c r="I30" s="204"/>
      <c r="J30" s="163"/>
      <c r="K30" s="463"/>
      <c r="L30" s="2059" t="s">
        <v>747</v>
      </c>
      <c r="M30" s="2054"/>
      <c r="N30" s="2054"/>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55"/>
      <c r="C33" s="2056"/>
      <c r="D33" s="2056"/>
      <c r="E33" s="2005" t="s">
        <v>198</v>
      </c>
      <c r="F33" s="2043"/>
      <c r="G33" s="2043"/>
      <c r="H33" s="2043"/>
      <c r="I33" s="2043"/>
      <c r="J33" s="2043"/>
      <c r="K33" s="2043"/>
      <c r="L33" s="2043"/>
      <c r="M33" s="2043"/>
      <c r="N33" s="2043"/>
      <c r="O33" s="463"/>
      <c r="P33" s="463"/>
      <c r="Q33" s="463"/>
      <c r="R33" s="463"/>
      <c r="S33" s="463"/>
      <c r="T33" s="463"/>
      <c r="U33" s="463"/>
    </row>
    <row r="34" spans="1:21" ht="18" customHeight="1" x14ac:dyDescent="0.25">
      <c r="A34" s="463"/>
      <c r="B34" s="2056"/>
      <c r="C34" s="2056"/>
      <c r="D34" s="2056"/>
      <c r="E34" s="2005" t="s">
        <v>25</v>
      </c>
      <c r="F34" s="2043"/>
      <c r="G34" s="2020" t="s">
        <v>49</v>
      </c>
      <c r="H34" s="2005" t="s">
        <v>475</v>
      </c>
      <c r="I34" s="2043"/>
      <c r="J34" s="2005" t="s">
        <v>476</v>
      </c>
      <c r="K34" s="2005" t="s">
        <v>52</v>
      </c>
      <c r="L34" s="2043"/>
      <c r="M34" s="2005" t="s">
        <v>477</v>
      </c>
      <c r="N34" s="2043"/>
      <c r="O34" s="463"/>
      <c r="P34" s="463"/>
      <c r="Q34" s="463"/>
      <c r="R34" s="463"/>
      <c r="S34" s="463"/>
      <c r="T34" s="463"/>
      <c r="U34" s="463"/>
    </row>
    <row r="35" spans="1:21" ht="18" customHeight="1" x14ac:dyDescent="0.25">
      <c r="A35" s="463"/>
      <c r="B35" s="2056"/>
      <c r="C35" s="2056"/>
      <c r="D35" s="2056"/>
      <c r="E35" s="476" t="s">
        <v>54</v>
      </c>
      <c r="F35" s="476" t="s">
        <v>479</v>
      </c>
      <c r="G35" s="2043"/>
      <c r="H35" s="476" t="s">
        <v>56</v>
      </c>
      <c r="I35" s="476" t="s">
        <v>57</v>
      </c>
      <c r="J35" s="2043"/>
      <c r="K35" s="476" t="s">
        <v>58</v>
      </c>
      <c r="L35" s="476" t="s">
        <v>510</v>
      </c>
      <c r="M35" s="476" t="s">
        <v>478</v>
      </c>
      <c r="N35" s="476" t="s">
        <v>509</v>
      </c>
      <c r="O35" s="463"/>
      <c r="P35" s="463"/>
      <c r="Q35" s="463"/>
      <c r="R35" s="463"/>
      <c r="S35" s="463"/>
      <c r="T35" s="463"/>
      <c r="U35" s="463"/>
    </row>
    <row r="36" spans="1:21" ht="18" customHeight="1" x14ac:dyDescent="0.25">
      <c r="A36" s="463"/>
      <c r="B36" s="2059" t="s">
        <v>480</v>
      </c>
      <c r="C36" s="2054"/>
      <c r="D36" s="2054"/>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9" t="s">
        <v>748</v>
      </c>
      <c r="C37" s="2054"/>
      <c r="D37" s="2054"/>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53" t="s">
        <v>831</v>
      </c>
      <c r="C38" s="2054"/>
      <c r="D38" s="2054"/>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8" t="s">
        <v>834</v>
      </c>
      <c r="C1" s="2109"/>
      <c r="D1" s="2109"/>
      <c r="E1" s="2109"/>
      <c r="F1" s="2109"/>
      <c r="G1" s="2109"/>
      <c r="H1" s="2109"/>
      <c r="I1" s="2109"/>
      <c r="J1" s="2109"/>
      <c r="K1" s="2109"/>
      <c r="L1" s="2109"/>
      <c r="M1" s="2109"/>
      <c r="N1" s="2109"/>
      <c r="O1" s="2109"/>
      <c r="P1" s="2110"/>
      <c r="Q1" s="2110"/>
      <c r="R1" s="2095" t="s">
        <v>199</v>
      </c>
      <c r="S1" s="2096"/>
      <c r="T1" s="2096"/>
      <c r="U1" s="2096"/>
      <c r="V1" s="2101" t="str">
        <f>IF('R-Entrada'!D3&lt;&gt;0,'R-Entrada'!D3,"")</f>
        <v>Biodigestão c/ Prod. E. Elétrica</v>
      </c>
      <c r="W1" s="2102"/>
      <c r="X1" s="2102"/>
      <c r="Y1" s="2102"/>
      <c r="Z1" s="2102"/>
      <c r="AA1" s="2102"/>
      <c r="AB1" s="2103"/>
      <c r="AC1" s="2095" t="s">
        <v>4</v>
      </c>
      <c r="AD1" s="2096"/>
      <c r="AE1" s="2096"/>
      <c r="AF1" s="2096"/>
      <c r="AG1" s="2101" t="str">
        <f>IF('R-Entrada'!D2&lt;&gt;0,'R-Entrada'!D2,"")</f>
        <v>CIRSOP - Consórcio RSU Oeste Paulista</v>
      </c>
      <c r="AH1" s="2102"/>
      <c r="AI1" s="2102"/>
      <c r="AJ1" s="2102"/>
      <c r="AK1" s="2102"/>
      <c r="AL1" s="2102"/>
      <c r="AM1" s="2102"/>
      <c r="AN1" s="2102"/>
      <c r="AO1" s="2102"/>
      <c r="AP1" s="2102"/>
      <c r="AQ1" s="2102"/>
      <c r="AR1" s="2103"/>
      <c r="AS1" s="980" t="s">
        <v>828</v>
      </c>
      <c r="AT1" s="977"/>
      <c r="AV1" s="158"/>
    </row>
    <row r="2" spans="2:69" s="157" customFormat="1" ht="3" customHeight="1" x14ac:dyDescent="0.25">
      <c r="B2" s="2104"/>
      <c r="C2" s="2086"/>
      <c r="D2" s="2086"/>
      <c r="E2" s="2086"/>
      <c r="F2" s="2086"/>
      <c r="G2" s="2086"/>
      <c r="H2" s="2086"/>
      <c r="I2" s="2087"/>
      <c r="J2" s="159"/>
      <c r="K2" s="2099"/>
      <c r="L2" s="2086"/>
      <c r="M2" s="2086"/>
      <c r="N2" s="2086"/>
      <c r="O2" s="2086"/>
      <c r="P2" s="2086"/>
      <c r="Q2" s="2086"/>
      <c r="R2" s="2086"/>
      <c r="S2" s="2086"/>
      <c r="T2" s="2086"/>
      <c r="U2" s="2086"/>
      <c r="V2" s="2086"/>
      <c r="W2" s="2086"/>
      <c r="X2" s="2086"/>
      <c r="Y2" s="2086"/>
      <c r="Z2" s="2086"/>
      <c r="AA2" s="2086"/>
      <c r="AB2" s="2086"/>
      <c r="AC2" s="2086"/>
      <c r="AD2" s="2086"/>
      <c r="AE2" s="2086"/>
      <c r="AF2" s="2086"/>
      <c r="AG2" s="2086"/>
      <c r="AH2" s="2086"/>
      <c r="AI2" s="2086"/>
      <c r="AJ2" s="2087"/>
      <c r="AK2" s="2099"/>
      <c r="AL2" s="2086"/>
      <c r="AM2" s="2086"/>
      <c r="AN2" s="2086"/>
      <c r="AO2" s="2086"/>
      <c r="AP2" s="2086"/>
      <c r="AQ2" s="2086"/>
      <c r="AR2" s="2086"/>
      <c r="AS2" s="2086"/>
      <c r="AT2" s="2100"/>
      <c r="AU2" s="158"/>
    </row>
    <row r="3" spans="2:69" s="157" customFormat="1" ht="16.899999999999999" customHeight="1" x14ac:dyDescent="0.25">
      <c r="B3" s="160"/>
      <c r="C3" s="151">
        <f>'R-Entrada'!E14</f>
        <v>467.94871794871796</v>
      </c>
      <c r="D3" s="161"/>
      <c r="E3" s="2085" t="s">
        <v>200</v>
      </c>
      <c r="F3" s="2086"/>
      <c r="G3" s="2086"/>
      <c r="H3" s="2087"/>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5" t="s">
        <v>201</v>
      </c>
      <c r="F5" s="2086"/>
      <c r="G5" s="2086"/>
      <c r="H5" s="2087"/>
      <c r="I5" s="159"/>
      <c r="J5" s="159"/>
      <c r="K5" s="159"/>
      <c r="L5" s="159"/>
      <c r="M5" s="159"/>
      <c r="N5" s="159"/>
      <c r="O5" s="159"/>
      <c r="P5" s="159"/>
      <c r="Q5" s="159"/>
      <c r="R5" s="159"/>
      <c r="S5" s="159"/>
      <c r="T5" s="159"/>
      <c r="U5" s="159"/>
      <c r="V5" s="159"/>
      <c r="W5" s="159"/>
      <c r="X5" s="159"/>
      <c r="Y5" s="159"/>
      <c r="Z5" s="159"/>
      <c r="AA5" s="159"/>
      <c r="AB5" s="2105" t="s">
        <v>473</v>
      </c>
      <c r="AC5" s="2047"/>
      <c r="AD5" s="2047"/>
      <c r="AE5" s="2047"/>
      <c r="AF5" s="2047"/>
      <c r="AG5" s="2047"/>
      <c r="AH5" s="2047"/>
      <c r="AI5" s="2047"/>
      <c r="AJ5" s="2047"/>
      <c r="AK5" s="2047"/>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5" t="s">
        <v>59</v>
      </c>
      <c r="F7" s="2086"/>
      <c r="G7" s="2086"/>
      <c r="H7" s="2087"/>
      <c r="I7" s="159"/>
      <c r="J7" s="159"/>
      <c r="K7" s="159"/>
      <c r="L7" s="159"/>
      <c r="M7" s="159"/>
      <c r="N7" s="159"/>
      <c r="O7" s="159"/>
      <c r="P7" s="159"/>
      <c r="Q7" s="159"/>
      <c r="R7" s="159"/>
      <c r="S7" s="159"/>
      <c r="T7" s="159"/>
      <c r="U7" s="159"/>
      <c r="V7" s="159"/>
      <c r="W7" s="159"/>
      <c r="X7" s="159"/>
      <c r="Y7" s="159"/>
      <c r="Z7" s="159"/>
      <c r="AA7" s="159"/>
      <c r="AB7" s="2106" t="str">
        <f>Apresentação!I2</f>
        <v>RC-RSU V.1.0 - 15/10/2020</v>
      </c>
      <c r="AC7" s="2107"/>
      <c r="AD7" s="2107"/>
      <c r="AE7" s="2107"/>
      <c r="AF7" s="2107"/>
      <c r="AG7" s="2107"/>
      <c r="AH7" s="2107"/>
      <c r="AI7" s="2107"/>
      <c r="AJ7" s="2107"/>
      <c r="AK7" s="2107"/>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085" t="s">
        <v>202</v>
      </c>
      <c r="F9" s="2086"/>
      <c r="G9" s="2086"/>
      <c r="H9" s="2087"/>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7" t="s">
        <v>835</v>
      </c>
      <c r="F11" s="2098"/>
      <c r="G11" s="2098"/>
      <c r="H11" s="2098"/>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0" t="s">
        <v>203</v>
      </c>
      <c r="AP11" s="152"/>
      <c r="AQ11" s="2090" t="s">
        <v>204</v>
      </c>
      <c r="AR11" s="152"/>
      <c r="AS11" s="2090"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3"/>
      <c r="AP12" s="152"/>
      <c r="AQ12" s="2091"/>
      <c r="AR12" s="152"/>
      <c r="AS12" s="2091"/>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4"/>
      <c r="AP13" s="152"/>
      <c r="AQ13" s="2092"/>
      <c r="AR13" s="152"/>
      <c r="AS13" s="2092"/>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88" t="s">
        <v>832</v>
      </c>
      <c r="J15" s="2086"/>
      <c r="K15" s="2086"/>
      <c r="L15" s="2086"/>
      <c r="M15" s="2086"/>
      <c r="N15" s="2086"/>
      <c r="O15" s="2087"/>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88" t="s">
        <v>833</v>
      </c>
      <c r="M19" s="2086"/>
      <c r="N19" s="2086"/>
      <c r="O19" s="2086"/>
      <c r="P19" s="2086"/>
      <c r="Q19" s="2086"/>
      <c r="R19" s="2087"/>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467.94871794871801</v>
      </c>
      <c r="G23" s="159"/>
      <c r="H23" s="159"/>
      <c r="I23" s="159"/>
      <c r="J23" s="159"/>
      <c r="K23" s="159"/>
      <c r="L23" s="159"/>
      <c r="M23" s="159"/>
      <c r="N23" s="159"/>
      <c r="O23" s="159"/>
      <c r="P23" s="159"/>
      <c r="Q23" s="2088" t="s">
        <v>836</v>
      </c>
      <c r="R23" s="2086"/>
      <c r="S23" s="2086"/>
      <c r="T23" s="2086"/>
      <c r="U23" s="2086"/>
      <c r="V23" s="2086"/>
      <c r="W23" s="2087"/>
      <c r="X23" s="159"/>
      <c r="Y23" s="159"/>
      <c r="Z23" s="159"/>
      <c r="AA23" s="159"/>
      <c r="AB23" s="159"/>
      <c r="AC23" s="159"/>
      <c r="AD23" s="159"/>
      <c r="AE23" s="159"/>
      <c r="AF23" s="159"/>
      <c r="AG23" s="159"/>
      <c r="AH23" s="159"/>
      <c r="AI23" s="159"/>
      <c r="AJ23" s="159"/>
      <c r="AK23" s="159"/>
      <c r="AL23" s="159"/>
      <c r="AM23" s="159"/>
      <c r="AN23" s="152"/>
      <c r="AO23" s="151">
        <f>'R-Resumo Bal. Massa'!G64</f>
        <v>37.318910256410263</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89">
        <f>F15+F19+F23-AO15-AO19-AO23-AS17-AS21-AS25-S25</f>
        <v>176.88461538461542</v>
      </c>
      <c r="K25" s="2083"/>
      <c r="L25" s="2083"/>
      <c r="M25" s="2084"/>
      <c r="N25" s="159"/>
      <c r="O25" s="159"/>
      <c r="P25" s="159"/>
      <c r="Q25" s="159"/>
      <c r="R25" s="159"/>
      <c r="S25" s="2082">
        <f>IF('R-Definição'!I29&lt;&gt;"Aterro sanitário",'R-Resumo Bal. Massa'!F22,0)</f>
        <v>204.44679487179491</v>
      </c>
      <c r="T25" s="2084"/>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49.298397435897442</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176.88461538461536</v>
      </c>
      <c r="O27" s="159"/>
      <c r="P27" s="159"/>
      <c r="Q27" s="159"/>
      <c r="R27" s="159"/>
      <c r="S27" s="159"/>
      <c r="T27" s="159"/>
      <c r="U27" s="159"/>
      <c r="V27" s="2082">
        <f>'R-Resumo Bal. Massa'!B25</f>
        <v>381.33141025641027</v>
      </c>
      <c r="W27" s="2084"/>
      <c r="X27" s="159"/>
      <c r="Y27" s="2111" t="s">
        <v>100</v>
      </c>
      <c r="Z27" s="2086"/>
      <c r="AA27" s="2086"/>
      <c r="AB27" s="2087"/>
      <c r="AC27" s="159"/>
      <c r="AD27" s="159"/>
      <c r="AE27" s="159"/>
      <c r="AF27" s="159"/>
      <c r="AG27" s="159"/>
      <c r="AH27" s="159"/>
      <c r="AI27" s="159"/>
      <c r="AJ27" s="159"/>
      <c r="AK27" s="159"/>
      <c r="AL27" s="159"/>
      <c r="AM27" s="159"/>
      <c r="AN27" s="152"/>
      <c r="AO27" s="151">
        <f>'R-Resumo Bal. Massa'!E29</f>
        <v>162.06584935897433</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2">
        <f>'R-Definição'!E59</f>
        <v>0</v>
      </c>
      <c r="T29" s="2084"/>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104.86613782051283</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2">
        <f>SUM('R-Resumo Bal. Massa'!D40:D42)</f>
        <v>0</v>
      </c>
      <c r="K31" s="2083"/>
      <c r="L31" s="2083"/>
      <c r="M31" s="2084"/>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114.39942307692309</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2">
        <f>'R-Resumo Bal. Massa'!D36</f>
        <v>0</v>
      </c>
      <c r="T33" s="2084"/>
      <c r="U33" s="159"/>
      <c r="V33" s="159"/>
      <c r="W33" s="159"/>
      <c r="X33" s="159"/>
      <c r="Y33" s="2082">
        <f>'R-Definição'!E60*'R-Definição'!J59/100</f>
        <v>0</v>
      </c>
      <c r="Z33" s="2084"/>
      <c r="AA33" s="159"/>
      <c r="AB33" s="2114" t="s">
        <v>115</v>
      </c>
      <c r="AC33" s="2115"/>
      <c r="AD33" s="2115"/>
      <c r="AE33" s="2115"/>
      <c r="AF33" s="2116"/>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2">
        <f>'R-Definição'!J68</f>
        <v>0</v>
      </c>
      <c r="AE35" s="2084"/>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2">
        <f>'R-Resumo Bal. Massa'!D35</f>
        <v>0</v>
      </c>
      <c r="T37" s="2084"/>
      <c r="U37" s="159"/>
      <c r="V37" s="159"/>
      <c r="W37" s="159"/>
      <c r="X37" s="159"/>
      <c r="Y37" s="159"/>
      <c r="Z37" s="159"/>
      <c r="AA37" s="159"/>
      <c r="AB37" s="159"/>
      <c r="AC37" s="159"/>
      <c r="AD37" s="2111" t="s">
        <v>132</v>
      </c>
      <c r="AE37" s="2086"/>
      <c r="AF37" s="2086"/>
      <c r="AG37" s="2087"/>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2">
        <f>'R-Resumo Bal. Massa'!D43</f>
        <v>0</v>
      </c>
      <c r="U41" s="2084"/>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2">
        <f>SUM('R-Resumo Bal. Massa'!D39:D42)</f>
        <v>0</v>
      </c>
      <c r="K43" s="2083"/>
      <c r="L43" s="2083"/>
      <c r="M43" s="2084"/>
      <c r="N43" s="159"/>
      <c r="O43" s="159"/>
      <c r="P43" s="159"/>
      <c r="Q43" s="159"/>
      <c r="R43" s="159"/>
      <c r="S43" s="159"/>
      <c r="T43" s="2082">
        <f>'R-Resumo Bal. Massa'!D44</f>
        <v>0</v>
      </c>
      <c r="U43" s="2084"/>
      <c r="V43" s="159"/>
      <c r="W43" s="159"/>
      <c r="X43" s="159"/>
      <c r="Y43" s="159"/>
      <c r="Z43" s="159"/>
      <c r="AA43" s="159"/>
      <c r="AB43" s="159"/>
      <c r="AC43" s="159"/>
      <c r="AD43" s="159"/>
      <c r="AE43" s="159"/>
      <c r="AF43" s="159"/>
      <c r="AG43" s="704"/>
      <c r="AH43" s="2111" t="s">
        <v>205</v>
      </c>
      <c r="AI43" s="2112"/>
      <c r="AJ43" s="2112"/>
      <c r="AK43" s="2113"/>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80">
        <f>'R-Definição'!E126</f>
        <v>110.40501282051285</v>
      </c>
      <c r="J51" s="2081"/>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199.38475961538461</v>
      </c>
      <c r="AP51" s="155"/>
      <c r="AQ51" s="979">
        <f>AQ29+AQ33+AQ39+AQ45</f>
        <v>104.86613782051283</v>
      </c>
      <c r="AR51" s="155"/>
      <c r="AS51" s="979">
        <f>'R-Resumo Bal. Massa'!D53</f>
        <v>163.69782051282053</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80" t="str">
        <f>IF('R-Definição'!O124&gt;0,'R-Definição'!O124,"Não")</f>
        <v>Não</v>
      </c>
      <c r="J53" s="2081"/>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42.6</v>
      </c>
      <c r="AP53" s="156"/>
      <c r="AQ53" s="978">
        <f>IF(C11&lt;&gt;0,ROUND(100-AO53-AS53,1),0)</f>
        <v>22.4</v>
      </c>
      <c r="AR53" s="156"/>
      <c r="AS53" s="978">
        <f>IF(C11&lt;&gt;0,ROUND(AS51/(AO51+AQ51+AS51)*100,1),0)</f>
        <v>35</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0"/>
      <c r="K4" s="2013"/>
      <c r="L4" s="3"/>
      <c r="M4" s="3"/>
      <c r="N4" s="3"/>
      <c r="O4" s="3"/>
      <c r="P4" s="3"/>
      <c r="Q4" s="3"/>
      <c r="R4" s="3"/>
      <c r="S4" s="3"/>
      <c r="T4" s="3"/>
    </row>
    <row r="5" spans="1:20" ht="25.9" customHeight="1" x14ac:dyDescent="0.25">
      <c r="A5" s="3"/>
      <c r="B5" s="94"/>
      <c r="C5" s="195" t="s">
        <v>543</v>
      </c>
      <c r="D5" s="94"/>
      <c r="E5" s="94"/>
      <c r="F5" s="94"/>
      <c r="G5" s="94"/>
      <c r="H5" s="94"/>
      <c r="I5" s="3"/>
      <c r="J5" s="2122" t="s">
        <v>473</v>
      </c>
      <c r="K5" s="2047"/>
      <c r="L5" s="2047"/>
      <c r="M5" s="3"/>
      <c r="N5" s="3"/>
      <c r="O5" s="3"/>
      <c r="P5" s="3"/>
      <c r="Q5" s="3"/>
      <c r="R5" s="3"/>
      <c r="S5" s="3"/>
      <c r="T5" s="3"/>
    </row>
    <row r="6" spans="1:20" ht="18" customHeight="1" x14ac:dyDescent="0.25">
      <c r="A6" s="3"/>
      <c r="B6" s="62"/>
      <c r="C6" s="62"/>
      <c r="D6" s="62"/>
      <c r="E6" s="62"/>
      <c r="F6" s="62"/>
      <c r="G6" s="62"/>
      <c r="H6" s="62"/>
      <c r="I6" s="3"/>
      <c r="J6" s="2004" t="str">
        <f>Apresentação!I2</f>
        <v>RC-RSU V.1.0 - 15/10/2020</v>
      </c>
      <c r="K6" s="2121"/>
      <c r="L6" s="2121"/>
      <c r="M6" s="3"/>
      <c r="N6" s="3"/>
      <c r="O6" s="3"/>
      <c r="P6" s="3"/>
      <c r="Q6" s="3"/>
      <c r="R6" s="3"/>
      <c r="S6" s="3"/>
      <c r="T6" s="3"/>
    </row>
    <row r="7" spans="1:20" ht="18" customHeight="1" x14ac:dyDescent="0.25">
      <c r="A7" s="3"/>
      <c r="B7" s="2005" t="s">
        <v>544</v>
      </c>
      <c r="C7" s="2043"/>
      <c r="D7" s="2043"/>
      <c r="E7" s="2043"/>
      <c r="F7" s="2043"/>
      <c r="G7" s="2043"/>
      <c r="H7" s="2043"/>
      <c r="I7" s="3"/>
      <c r="J7" s="705"/>
      <c r="K7" s="705"/>
      <c r="L7" s="705"/>
      <c r="M7" s="3"/>
      <c r="N7" s="3"/>
      <c r="O7" s="3"/>
      <c r="P7" s="3"/>
      <c r="Q7" s="3"/>
      <c r="R7" s="3"/>
      <c r="S7" s="3"/>
      <c r="T7" s="3"/>
    </row>
    <row r="8" spans="1:20" ht="18" customHeight="1" x14ac:dyDescent="0.25">
      <c r="A8" s="3"/>
      <c r="B8" s="2020" t="s">
        <v>210</v>
      </c>
      <c r="C8" s="2020" t="s">
        <v>211</v>
      </c>
      <c r="D8" s="2005" t="s">
        <v>212</v>
      </c>
      <c r="E8" s="2020" t="s">
        <v>213</v>
      </c>
      <c r="F8" s="2006"/>
      <c r="G8" s="2006"/>
      <c r="H8" s="2006"/>
      <c r="I8" s="3"/>
      <c r="J8" s="3"/>
      <c r="K8" s="3"/>
      <c r="L8" s="3"/>
      <c r="M8" s="3"/>
      <c r="N8" s="3"/>
      <c r="O8" s="3"/>
      <c r="P8" s="14"/>
      <c r="Q8" s="3"/>
      <c r="R8" s="3"/>
      <c r="S8" s="3"/>
      <c r="T8" s="3"/>
    </row>
    <row r="9" spans="1:20" ht="18" customHeight="1" x14ac:dyDescent="0.25">
      <c r="A9" s="7"/>
      <c r="B9" s="2006"/>
      <c r="C9" s="2006"/>
      <c r="D9" s="2006"/>
      <c r="E9" s="2020" t="s">
        <v>214</v>
      </c>
      <c r="F9" s="2135" t="s">
        <v>25</v>
      </c>
      <c r="G9" s="2005" t="s">
        <v>215</v>
      </c>
      <c r="H9" s="2020" t="s">
        <v>216</v>
      </c>
      <c r="I9" s="7"/>
      <c r="J9" s="7"/>
      <c r="K9" s="7"/>
      <c r="L9" s="7"/>
      <c r="M9" s="7"/>
      <c r="N9" s="7"/>
      <c r="O9" s="7"/>
      <c r="P9" s="3"/>
      <c r="Q9" s="3"/>
      <c r="R9" s="7"/>
      <c r="S9" s="3"/>
      <c r="T9" s="3"/>
    </row>
    <row r="10" spans="1:20" ht="18" customHeight="1" x14ac:dyDescent="0.25">
      <c r="A10" s="7"/>
      <c r="B10" s="2006"/>
      <c r="C10" s="2006"/>
      <c r="D10" s="2006"/>
      <c r="E10" s="2006"/>
      <c r="F10" s="2006"/>
      <c r="G10" s="2006"/>
      <c r="H10" s="2006"/>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467.94871794871801</v>
      </c>
      <c r="C21" s="483" t="s">
        <v>751</v>
      </c>
      <c r="D21" s="213">
        <f>IF('R-Definição'!$I$24="Sim",'R-Definição'!$I$27,0)</f>
        <v>467.94871794871801</v>
      </c>
      <c r="E21" s="213">
        <f>'R-Definição'!O30</f>
        <v>37.318910256410263</v>
      </c>
      <c r="F21" s="213">
        <f>'R-Definição'!L32</f>
        <v>204.44679487179491</v>
      </c>
      <c r="G21" s="213">
        <f>SUM('R-Definição'!O34:'R-Definição'!O35)</f>
        <v>226.18301282051283</v>
      </c>
      <c r="H21" s="21"/>
      <c r="I21" s="3"/>
      <c r="J21" s="3"/>
      <c r="K21" s="3"/>
      <c r="L21" s="3"/>
      <c r="M21" s="7"/>
      <c r="N21" s="7"/>
      <c r="O21" s="7"/>
      <c r="P21" s="7"/>
      <c r="Q21" s="7"/>
      <c r="R21" s="3"/>
      <c r="S21" s="3"/>
      <c r="T21" s="3"/>
    </row>
    <row r="22" spans="1:20" ht="18" customHeight="1" x14ac:dyDescent="0.25">
      <c r="A22" s="3"/>
      <c r="B22" s="715"/>
      <c r="C22" s="716" t="s">
        <v>218</v>
      </c>
      <c r="D22" s="711">
        <f>SUM(D19:D21)</f>
        <v>467.94871794871801</v>
      </c>
      <c r="E22" s="214">
        <f>SUM(E19:E21)</f>
        <v>37.318910256410263</v>
      </c>
      <c r="F22" s="214">
        <f>SUM(F19:F21)</f>
        <v>204.44679487179491</v>
      </c>
      <c r="G22" s="214">
        <f>SUM(G19:G21)</f>
        <v>226.18301282051283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23">
        <f>D29</f>
        <v>381.33141025641027</v>
      </c>
      <c r="C25" s="223" t="s">
        <v>732</v>
      </c>
      <c r="D25" s="213">
        <f>'R-Definição'!E49</f>
        <v>0</v>
      </c>
      <c r="E25" s="2125">
        <f>'R-Definição'!O49+'R-Definição'!O50</f>
        <v>162.06584935897433</v>
      </c>
      <c r="F25" s="2127"/>
      <c r="G25" s="2125">
        <f>'R-Definição'!O53</f>
        <v>114.39942307692309</v>
      </c>
      <c r="H25" s="2125">
        <f>'R-Definição'!O55</f>
        <v>104.86613782051283</v>
      </c>
      <c r="I25" s="3"/>
      <c r="J25" s="3"/>
      <c r="K25" s="3"/>
      <c r="L25" s="3"/>
      <c r="M25" s="3"/>
      <c r="N25" s="3"/>
      <c r="O25" s="3"/>
      <c r="P25" s="3"/>
      <c r="Q25" s="3"/>
      <c r="R25" s="3"/>
      <c r="S25" s="3"/>
      <c r="T25" s="3"/>
    </row>
    <row r="26" spans="1:20" ht="18" customHeight="1" x14ac:dyDescent="0.25">
      <c r="A26" s="3"/>
      <c r="B26" s="2124"/>
      <c r="C26" s="223" t="s">
        <v>733</v>
      </c>
      <c r="D26" s="213">
        <f>'R-Definição'!E50</f>
        <v>0</v>
      </c>
      <c r="E26" s="2126"/>
      <c r="F26" s="2126"/>
      <c r="G26" s="2126"/>
      <c r="H26" s="2126"/>
      <c r="I26" s="3"/>
      <c r="J26" s="3"/>
      <c r="K26" s="3"/>
      <c r="L26" s="3"/>
      <c r="M26" s="3"/>
      <c r="N26" s="3"/>
      <c r="O26" s="3"/>
      <c r="P26" s="3"/>
      <c r="Q26" s="3"/>
      <c r="R26" s="3"/>
      <c r="S26" s="3"/>
      <c r="T26" s="3"/>
    </row>
    <row r="27" spans="1:20" ht="18" customHeight="1" x14ac:dyDescent="0.25">
      <c r="A27" s="3"/>
      <c r="B27" s="2124"/>
      <c r="C27" s="223" t="s">
        <v>545</v>
      </c>
      <c r="D27" s="213">
        <f>'R-Definição'!E51</f>
        <v>176.88461538461536</v>
      </c>
      <c r="E27" s="2126"/>
      <c r="F27" s="2126"/>
      <c r="G27" s="2126"/>
      <c r="H27" s="2126"/>
      <c r="I27" s="3"/>
      <c r="J27" s="3"/>
      <c r="K27" s="3"/>
      <c r="L27" s="3"/>
      <c r="M27" s="3"/>
      <c r="N27" s="3"/>
      <c r="O27" s="3"/>
      <c r="P27" s="3"/>
      <c r="Q27" s="3"/>
      <c r="R27" s="3"/>
      <c r="S27" s="3"/>
      <c r="T27" s="3"/>
    </row>
    <row r="28" spans="1:20" ht="18" customHeight="1" x14ac:dyDescent="0.25">
      <c r="A28" s="3"/>
      <c r="B28" s="2124"/>
      <c r="C28" s="223" t="s">
        <v>546</v>
      </c>
      <c r="D28" s="213">
        <f>'R-Definição'!E52</f>
        <v>204.44679487179491</v>
      </c>
      <c r="E28" s="2126"/>
      <c r="F28" s="2126"/>
      <c r="G28" s="2126"/>
      <c r="H28" s="2126"/>
      <c r="I28" s="3"/>
      <c r="J28" s="3"/>
      <c r="K28" s="3"/>
      <c r="L28" s="3"/>
      <c r="M28" s="3"/>
      <c r="N28" s="3"/>
      <c r="O28" s="3"/>
      <c r="P28" s="3"/>
      <c r="Q28" s="3"/>
      <c r="R28" s="3"/>
      <c r="S28" s="3"/>
      <c r="T28" s="3"/>
    </row>
    <row r="29" spans="1:20" ht="18" customHeight="1" x14ac:dyDescent="0.25">
      <c r="A29" s="3"/>
      <c r="B29" s="212"/>
      <c r="C29" s="716" t="s">
        <v>218</v>
      </c>
      <c r="D29" s="711">
        <f>SUM(D25:D28)</f>
        <v>381.33141025641027</v>
      </c>
      <c r="E29" s="214">
        <f>E25</f>
        <v>162.06584935897433</v>
      </c>
      <c r="F29" s="214"/>
      <c r="G29" s="214">
        <f>SUM(G25)</f>
        <v>114.39942307692309</v>
      </c>
      <c r="H29" s="214">
        <f>SUM(H25:H28)</f>
        <v>104.86613782051283</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381.33141025641027</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6">
        <f>'R-Definição'!O67+'R-Definição'!O68</f>
        <v>0</v>
      </c>
      <c r="G34" s="2125">
        <f>'R-Definição'!O73</f>
        <v>0</v>
      </c>
      <c r="H34" s="2125">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9"/>
      <c r="G35" s="2129"/>
      <c r="H35" s="2129"/>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23">
        <f>'R-Definição'!E112</f>
        <v>0</v>
      </c>
      <c r="C39" s="483" t="s">
        <v>222</v>
      </c>
      <c r="D39" s="213">
        <f>'R-Definição'!E107</f>
        <v>0</v>
      </c>
      <c r="E39" s="2128">
        <f>'R-Definição'!O107+'R-Definição'!O108+'R-Definição'!O109</f>
        <v>0</v>
      </c>
      <c r="F39" s="2127"/>
      <c r="G39" s="2128">
        <f>'R-Definição'!O110</f>
        <v>0</v>
      </c>
      <c r="H39" s="2128">
        <f>'R-Definição'!O113</f>
        <v>0</v>
      </c>
      <c r="I39" s="3"/>
      <c r="J39" s="3"/>
      <c r="K39" s="3"/>
      <c r="L39" s="3"/>
      <c r="M39" s="3"/>
      <c r="N39" s="3"/>
      <c r="O39" s="3"/>
      <c r="P39" s="3"/>
      <c r="Q39" s="3"/>
      <c r="R39" s="3"/>
      <c r="S39" s="3"/>
      <c r="T39" s="3"/>
    </row>
    <row r="40" spans="1:20" ht="18" customHeight="1" x14ac:dyDescent="0.25">
      <c r="A40" s="3"/>
      <c r="B40" s="2054"/>
      <c r="C40" s="483" t="s">
        <v>752</v>
      </c>
      <c r="D40" s="213">
        <f>'R-Definição'!E108</f>
        <v>0</v>
      </c>
      <c r="E40" s="2129"/>
      <c r="F40" s="2129"/>
      <c r="G40" s="2129"/>
      <c r="H40" s="2129"/>
      <c r="I40" s="3"/>
      <c r="J40" s="3"/>
      <c r="K40" s="3"/>
      <c r="L40" s="3"/>
      <c r="M40" s="3"/>
      <c r="N40" s="3"/>
      <c r="O40" s="3"/>
      <c r="P40" s="3"/>
      <c r="Q40" s="3"/>
      <c r="R40" s="3"/>
      <c r="S40" s="3"/>
      <c r="T40" s="3"/>
    </row>
    <row r="41" spans="1:20" ht="18" customHeight="1" x14ac:dyDescent="0.25">
      <c r="A41" s="3"/>
      <c r="B41" s="2054"/>
      <c r="C41" s="483" t="s">
        <v>734</v>
      </c>
      <c r="D41" s="213">
        <f>'R-Definição'!E109</f>
        <v>0</v>
      </c>
      <c r="E41" s="2129"/>
      <c r="F41" s="2129"/>
      <c r="G41" s="2129"/>
      <c r="H41" s="2129"/>
      <c r="I41" s="3"/>
      <c r="J41" s="3"/>
      <c r="K41" s="3"/>
      <c r="L41" s="3"/>
      <c r="M41" s="3"/>
      <c r="N41" s="3"/>
      <c r="O41" s="3"/>
      <c r="P41" s="3"/>
      <c r="Q41" s="3"/>
      <c r="R41" s="3"/>
      <c r="S41" s="3"/>
      <c r="T41" s="3"/>
    </row>
    <row r="42" spans="1:20" ht="18" customHeight="1" x14ac:dyDescent="0.25">
      <c r="A42" s="3"/>
      <c r="B42" s="2054"/>
      <c r="C42" s="227" t="s">
        <v>819</v>
      </c>
      <c r="D42" s="213">
        <f>'R-Definição'!E110</f>
        <v>0</v>
      </c>
      <c r="E42" s="2129"/>
      <c r="F42" s="2129"/>
      <c r="G42" s="2129"/>
      <c r="H42" s="2129"/>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7">
        <f>'R-Definição'!E119</f>
        <v>163.69782051282056</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18"/>
      <c r="C48" s="483" t="s">
        <v>547</v>
      </c>
      <c r="D48" s="213">
        <f>'R-Definição'!N96</f>
        <v>49.298397435897442</v>
      </c>
      <c r="E48" s="6"/>
      <c r="F48" s="710"/>
      <c r="G48" s="211" t="s">
        <v>225</v>
      </c>
      <c r="H48" s="211" t="s">
        <v>22</v>
      </c>
      <c r="I48" s="3"/>
      <c r="J48" s="3"/>
      <c r="K48" s="3"/>
      <c r="L48" s="3"/>
      <c r="M48" s="3"/>
      <c r="N48" s="3"/>
      <c r="O48" s="3"/>
      <c r="P48" s="3"/>
      <c r="Q48" s="3"/>
      <c r="R48" s="3"/>
      <c r="S48" s="3"/>
      <c r="T48" s="3"/>
    </row>
    <row r="49" spans="1:20" ht="18" customHeight="1" x14ac:dyDescent="0.25">
      <c r="A49" s="3"/>
      <c r="B49" s="2118"/>
      <c r="C49" s="483" t="s">
        <v>548</v>
      </c>
      <c r="D49" s="213">
        <f>'R-Definição'!N98+'R-Definição'!N99+'R-Definição'!N97</f>
        <v>0</v>
      </c>
      <c r="E49" s="5"/>
      <c r="F49" s="223" t="s">
        <v>226</v>
      </c>
      <c r="G49" s="213">
        <f>D53</f>
        <v>163.69782051282053</v>
      </c>
      <c r="H49" s="845">
        <f>IF($G$52&lt;&gt;0,G49/$G$52*100,0)</f>
        <v>34.981999999999999</v>
      </c>
      <c r="I49" s="20"/>
      <c r="J49" s="3"/>
      <c r="K49" s="3"/>
      <c r="L49" s="3"/>
      <c r="M49" s="3"/>
      <c r="N49" s="3"/>
      <c r="O49" s="3"/>
      <c r="P49" s="3"/>
      <c r="Q49" s="3"/>
      <c r="R49" s="3"/>
      <c r="S49" s="3"/>
      <c r="T49" s="3"/>
    </row>
    <row r="50" spans="1:20" ht="18" customHeight="1" x14ac:dyDescent="0.25">
      <c r="A50" s="3"/>
      <c r="B50" s="2118"/>
      <c r="C50" s="483" t="s">
        <v>549</v>
      </c>
      <c r="D50" s="213">
        <f>'R-Definição'!O53</f>
        <v>114.39942307692309</v>
      </c>
      <c r="E50" s="5"/>
      <c r="F50" s="223" t="s">
        <v>552</v>
      </c>
      <c r="G50" s="845">
        <f>E44+F36+E29+E22</f>
        <v>199.38475961538461</v>
      </c>
      <c r="H50" s="845">
        <f>IF($G$52&lt;&gt;0,G50/$G$52*100,0)</f>
        <v>42.608249999999998</v>
      </c>
      <c r="I50" s="22"/>
      <c r="J50" s="3"/>
      <c r="K50" s="3"/>
      <c r="L50" s="3"/>
      <c r="M50" s="3"/>
      <c r="N50" s="3"/>
      <c r="O50" s="3"/>
      <c r="P50" s="3"/>
      <c r="Q50" s="3"/>
      <c r="R50" s="3"/>
      <c r="S50" s="3"/>
      <c r="T50" s="3"/>
    </row>
    <row r="51" spans="1:20" ht="18" customHeight="1" x14ac:dyDescent="0.25">
      <c r="A51" s="3"/>
      <c r="B51" s="2118"/>
      <c r="C51" s="483" t="s">
        <v>550</v>
      </c>
      <c r="D51" s="213">
        <f>'R-Definição'!O73</f>
        <v>0</v>
      </c>
      <c r="E51" s="3"/>
      <c r="F51" s="223" t="s">
        <v>227</v>
      </c>
      <c r="G51" s="845">
        <f>H29+H36+H44</f>
        <v>104.86613782051283</v>
      </c>
      <c r="H51" s="845">
        <f>IF($G$52&lt;&gt;0,G51/$G$52*100,0)</f>
        <v>22.409750000000003</v>
      </c>
      <c r="I51" s="3"/>
      <c r="J51" s="3"/>
      <c r="K51" s="3"/>
      <c r="L51" s="3"/>
      <c r="M51" s="3"/>
      <c r="N51" s="3"/>
      <c r="O51" s="3"/>
      <c r="P51" s="3"/>
      <c r="Q51" s="3"/>
      <c r="R51" s="3"/>
      <c r="S51" s="3"/>
      <c r="T51" s="3"/>
    </row>
    <row r="52" spans="1:20" ht="18" customHeight="1" x14ac:dyDescent="0.25">
      <c r="A52" s="3"/>
      <c r="B52" s="2119"/>
      <c r="C52" s="483" t="s">
        <v>551</v>
      </c>
      <c r="D52" s="213">
        <f>'R-Definição'!O110</f>
        <v>0</v>
      </c>
      <c r="E52" s="3"/>
      <c r="F52" s="722" t="s">
        <v>53</v>
      </c>
      <c r="G52" s="214">
        <f>SUM(G49:G51)</f>
        <v>467.94871794871796</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163.69782051282053</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5" t="s">
        <v>151</v>
      </c>
      <c r="C55" s="2043"/>
      <c r="D55" s="2005" t="s">
        <v>229</v>
      </c>
      <c r="E55" s="2063"/>
      <c r="F55" s="2063"/>
      <c r="G55" s="2063"/>
      <c r="H55" s="2063"/>
      <c r="I55" s="2063"/>
      <c r="J55" s="2063"/>
      <c r="K55" s="2063"/>
      <c r="L55" s="3"/>
      <c r="M55" s="3"/>
      <c r="N55" s="3"/>
      <c r="O55" s="3"/>
      <c r="P55" s="3"/>
      <c r="Q55" s="3"/>
      <c r="R55" s="3"/>
      <c r="S55" s="3"/>
      <c r="T55" s="3"/>
    </row>
    <row r="56" spans="1:20" ht="18" customHeight="1" x14ac:dyDescent="0.25">
      <c r="A56" s="3"/>
      <c r="B56" s="2043"/>
      <c r="C56" s="2043"/>
      <c r="D56" s="2132" t="s">
        <v>53</v>
      </c>
      <c r="E56" s="2132" t="s">
        <v>185</v>
      </c>
      <c r="F56" s="2133"/>
      <c r="G56" s="2133"/>
      <c r="H56" s="2134" t="s">
        <v>62</v>
      </c>
      <c r="I56" s="2134" t="s">
        <v>188</v>
      </c>
      <c r="J56" s="2134" t="s">
        <v>64</v>
      </c>
      <c r="K56" s="2134" t="s">
        <v>65</v>
      </c>
      <c r="L56" s="3"/>
      <c r="M56" s="3"/>
      <c r="N56" s="3"/>
      <c r="O56" s="3"/>
      <c r="P56" s="3"/>
      <c r="Q56" s="3"/>
      <c r="R56" s="3"/>
      <c r="S56" s="3"/>
      <c r="T56" s="3"/>
    </row>
    <row r="57" spans="1:20" ht="18" customHeight="1" x14ac:dyDescent="0.25">
      <c r="A57" s="3"/>
      <c r="B57" s="2131" t="s">
        <v>28</v>
      </c>
      <c r="C57" s="490" t="s">
        <v>21</v>
      </c>
      <c r="D57" s="2133"/>
      <c r="E57" s="490" t="s">
        <v>80</v>
      </c>
      <c r="F57" s="490" t="s">
        <v>87</v>
      </c>
      <c r="G57" s="490" t="s">
        <v>73</v>
      </c>
      <c r="H57" s="2133"/>
      <c r="I57" s="2133"/>
      <c r="J57" s="2133"/>
      <c r="K57" s="2133"/>
      <c r="L57" s="3"/>
      <c r="M57" s="3"/>
      <c r="N57" s="3"/>
      <c r="O57" s="3"/>
      <c r="P57" s="3"/>
      <c r="Q57" s="3"/>
      <c r="R57" s="3"/>
      <c r="S57" s="3"/>
      <c r="T57" s="3"/>
    </row>
    <row r="58" spans="1:20" ht="18" customHeight="1" x14ac:dyDescent="0.25">
      <c r="A58" s="3"/>
      <c r="B58" s="2131"/>
      <c r="C58" s="223" t="s">
        <v>74</v>
      </c>
      <c r="D58" s="213">
        <f t="shared" ref="D58:D64" si="0">SUM(E58:K58)</f>
        <v>15.325320512820513</v>
      </c>
      <c r="E58" s="213">
        <f>'R-Definição'!M24</f>
        <v>0</v>
      </c>
      <c r="F58" s="213">
        <f>'R-Definição'!N24</f>
        <v>0</v>
      </c>
      <c r="G58" s="213">
        <f>'R-Definição'!O24</f>
        <v>15.325320512820513</v>
      </c>
      <c r="H58" s="845"/>
      <c r="I58" s="491"/>
      <c r="J58" s="491"/>
      <c r="K58" s="491"/>
      <c r="L58" s="3"/>
      <c r="M58" s="3"/>
      <c r="N58" s="3"/>
      <c r="O58" s="3"/>
      <c r="P58" s="3"/>
      <c r="Q58" s="3"/>
      <c r="R58" s="3"/>
      <c r="S58" s="3"/>
      <c r="T58" s="3"/>
    </row>
    <row r="59" spans="1:20" ht="18" customHeight="1" x14ac:dyDescent="0.25">
      <c r="A59" s="3"/>
      <c r="B59" s="2131"/>
      <c r="C59" s="223" t="s">
        <v>29</v>
      </c>
      <c r="D59" s="213">
        <f t="shared" si="0"/>
        <v>10.411858974358974</v>
      </c>
      <c r="E59" s="213">
        <f>'R-Definição'!M25</f>
        <v>0</v>
      </c>
      <c r="F59" s="213">
        <f>'R-Definição'!N25</f>
        <v>0</v>
      </c>
      <c r="G59" s="213">
        <f>'R-Definição'!O25</f>
        <v>10.411858974358974</v>
      </c>
      <c r="H59" s="846"/>
      <c r="I59" s="847"/>
      <c r="J59" s="847"/>
      <c r="K59" s="847"/>
      <c r="L59" s="3"/>
      <c r="M59" s="3"/>
      <c r="N59" s="3"/>
      <c r="O59" s="3"/>
      <c r="P59" s="3"/>
      <c r="Q59" s="3"/>
      <c r="R59" s="3"/>
      <c r="S59" s="3"/>
      <c r="T59" s="3"/>
    </row>
    <row r="60" spans="1:20" ht="18" customHeight="1" x14ac:dyDescent="0.25">
      <c r="A60" s="3"/>
      <c r="B60" s="2131"/>
      <c r="C60" s="223" t="s">
        <v>78</v>
      </c>
      <c r="D60" s="213">
        <f t="shared" si="0"/>
        <v>5.3814102564102564</v>
      </c>
      <c r="E60" s="213">
        <f>'R-Definição'!M26</f>
        <v>0</v>
      </c>
      <c r="F60" s="213">
        <f>'R-Definição'!N26</f>
        <v>0</v>
      </c>
      <c r="G60" s="213">
        <f>'R-Definição'!O26</f>
        <v>5.3814102564102564</v>
      </c>
      <c r="H60" s="845"/>
      <c r="I60" s="491"/>
      <c r="J60" s="491"/>
      <c r="K60" s="491"/>
      <c r="L60" s="3"/>
      <c r="M60" s="3"/>
      <c r="N60" s="3"/>
      <c r="O60" s="3"/>
      <c r="P60" s="3"/>
      <c r="Q60" s="3"/>
      <c r="R60" s="3"/>
      <c r="S60" s="3"/>
      <c r="T60" s="3"/>
    </row>
    <row r="61" spans="1:20" ht="18" customHeight="1" x14ac:dyDescent="0.25">
      <c r="A61" s="3"/>
      <c r="B61" s="2131"/>
      <c r="C61" s="223" t="s">
        <v>31</v>
      </c>
      <c r="D61" s="213">
        <f t="shared" si="0"/>
        <v>2.8076923076923079</v>
      </c>
      <c r="E61" s="213">
        <f>'R-Definição'!M27</f>
        <v>0</v>
      </c>
      <c r="F61" s="213">
        <f>'R-Definição'!N27</f>
        <v>0</v>
      </c>
      <c r="G61" s="213">
        <f>'R-Definição'!O27</f>
        <v>2.8076923076923079</v>
      </c>
      <c r="H61" s="845"/>
      <c r="I61" s="491"/>
      <c r="J61" s="491"/>
      <c r="K61" s="491"/>
      <c r="L61" s="3"/>
      <c r="M61" s="3"/>
      <c r="N61" s="3"/>
      <c r="O61" s="3"/>
      <c r="P61" s="3"/>
      <c r="Q61" s="3"/>
      <c r="R61" s="3"/>
      <c r="S61" s="3"/>
      <c r="T61" s="3"/>
    </row>
    <row r="62" spans="1:20" ht="18" customHeight="1" x14ac:dyDescent="0.25">
      <c r="A62" s="3"/>
      <c r="B62" s="2131"/>
      <c r="C62" s="223" t="s">
        <v>32</v>
      </c>
      <c r="D62" s="213">
        <f t="shared" si="0"/>
        <v>2.6907051282051282</v>
      </c>
      <c r="E62" s="213">
        <f>'R-Definição'!M28</f>
        <v>0</v>
      </c>
      <c r="F62" s="213">
        <f>'R-Definição'!N28</f>
        <v>0</v>
      </c>
      <c r="G62" s="213">
        <f>'R-Definição'!O28</f>
        <v>2.6907051282051282</v>
      </c>
      <c r="H62" s="845"/>
      <c r="I62" s="491"/>
      <c r="J62" s="845">
        <f>'R-Definição'!O107</f>
        <v>0</v>
      </c>
      <c r="K62" s="491"/>
      <c r="L62" s="3"/>
      <c r="M62" s="3"/>
      <c r="N62" s="3"/>
      <c r="O62" s="3"/>
      <c r="P62" s="3"/>
      <c r="Q62" s="3"/>
      <c r="R62" s="3"/>
      <c r="S62" s="3"/>
      <c r="T62" s="3"/>
    </row>
    <row r="63" spans="1:20" ht="18" customHeight="1" x14ac:dyDescent="0.25">
      <c r="A63" s="3"/>
      <c r="B63" s="2131"/>
      <c r="C63" s="223" t="s">
        <v>84</v>
      </c>
      <c r="D63" s="213">
        <f t="shared" si="0"/>
        <v>0.70192307692307698</v>
      </c>
      <c r="E63" s="213">
        <f>'R-Definição'!M29</f>
        <v>0</v>
      </c>
      <c r="F63" s="213">
        <f>'R-Definição'!N29</f>
        <v>0</v>
      </c>
      <c r="G63" s="213">
        <f>'R-Definição'!O29</f>
        <v>0.70192307692307698</v>
      </c>
      <c r="H63" s="845"/>
      <c r="I63" s="491"/>
      <c r="J63" s="845">
        <f>'R-Definição'!O108</f>
        <v>0</v>
      </c>
      <c r="K63" s="491"/>
      <c r="L63" s="3"/>
      <c r="M63" s="3"/>
      <c r="N63" s="3"/>
      <c r="O63" s="3"/>
      <c r="P63" s="3"/>
      <c r="Q63" s="3"/>
      <c r="R63" s="3"/>
      <c r="S63" s="3"/>
      <c r="T63" s="3"/>
    </row>
    <row r="64" spans="1:20" ht="18" customHeight="1" x14ac:dyDescent="0.25">
      <c r="A64" s="3"/>
      <c r="B64" s="2131"/>
      <c r="C64" s="723" t="s">
        <v>513</v>
      </c>
      <c r="D64" s="231">
        <f t="shared" si="0"/>
        <v>37.318910256410263</v>
      </c>
      <c r="E64" s="232">
        <f>SUM(E58:E63)</f>
        <v>0</v>
      </c>
      <c r="F64" s="232">
        <f>SUM(F58:F63)</f>
        <v>0</v>
      </c>
      <c r="G64" s="232">
        <f>SUM(G58:G63)</f>
        <v>37.318910256410263</v>
      </c>
      <c r="H64" s="225"/>
      <c r="I64" s="492"/>
      <c r="J64" s="233">
        <f>SUM(J58:J63)</f>
        <v>0</v>
      </c>
      <c r="K64" s="492"/>
      <c r="L64" s="3"/>
      <c r="M64" s="3"/>
      <c r="N64" s="3"/>
      <c r="O64" s="3"/>
      <c r="P64" s="3"/>
      <c r="Q64" s="3"/>
      <c r="R64" s="3"/>
      <c r="S64" s="3"/>
      <c r="T64" s="3"/>
    </row>
    <row r="65" spans="1:20" ht="18" customHeight="1" x14ac:dyDescent="0.25">
      <c r="A65" s="3"/>
      <c r="B65" s="2131"/>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30"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31"/>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31"/>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1"/>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31"/>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31"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31"/>
      <c r="C72" s="223" t="s">
        <v>235</v>
      </c>
      <c r="D72" s="213">
        <f>SUM(E72:K72)</f>
        <v>162.06584935897433</v>
      </c>
      <c r="E72" s="491"/>
      <c r="F72" s="491"/>
      <c r="G72" s="491"/>
      <c r="H72" s="845">
        <f>'R-Definição'!O50</f>
        <v>162.06584935897433</v>
      </c>
      <c r="I72" s="491"/>
      <c r="J72" s="491"/>
      <c r="K72" s="491"/>
      <c r="L72" s="3"/>
      <c r="M72" s="3"/>
      <c r="N72" s="3"/>
      <c r="O72" s="3"/>
      <c r="P72" s="3"/>
      <c r="Q72" s="3"/>
      <c r="R72" s="3"/>
      <c r="S72" s="3"/>
      <c r="T72" s="3"/>
    </row>
    <row r="73" spans="1:20" ht="18" customHeight="1" x14ac:dyDescent="0.25">
      <c r="A73" s="3"/>
      <c r="B73" s="2131"/>
      <c r="C73" s="490" t="s">
        <v>555</v>
      </c>
      <c r="D73" s="231">
        <f>SUM(D71:D72)</f>
        <v>162.06584935897433</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8" t="str">
        <f>IF('R-Entrada'!D2&lt;&gt;0,'R-Entrada'!D2,"")</f>
        <v>CIRSOP - Consórcio RSU Oeste Paulista</v>
      </c>
      <c r="E2" s="2050"/>
      <c r="F2" s="2050"/>
      <c r="G2" s="2050"/>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8" t="str">
        <f>IF('R-Entrada'!D3&lt;&gt;0,'R-Entrada'!D3,"")</f>
        <v>Biodigestão c/ Prod. E. Elétrica</v>
      </c>
      <c r="E3" s="2022"/>
      <c r="F3" s="2022"/>
      <c r="G3" s="2022"/>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9" t="s">
        <v>473</v>
      </c>
      <c r="R5" s="2052"/>
      <c r="S5" s="2052"/>
      <c r="T5" s="2052"/>
      <c r="U5" s="2052"/>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4" t="str">
        <f>Apresentação!I2</f>
        <v>RC-RSU V.1.0 - 15/10/2020</v>
      </c>
      <c r="R6" s="2004"/>
      <c r="S6" s="2004"/>
      <c r="T6" s="2052"/>
      <c r="U6" s="2052"/>
      <c r="V6" s="422"/>
      <c r="W6" s="422"/>
      <c r="X6" s="422"/>
      <c r="Y6" s="2140"/>
      <c r="Z6" s="2141"/>
      <c r="AA6" s="2141"/>
      <c r="AB6" s="2141"/>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1"/>
      <c r="Z7" s="2141"/>
      <c r="AA7" s="2141"/>
      <c r="AB7" s="2141"/>
      <c r="AC7" s="422"/>
      <c r="AD7" s="422"/>
      <c r="AE7" s="422"/>
      <c r="AF7" s="422"/>
      <c r="AG7" s="422"/>
      <c r="AH7" s="422"/>
    </row>
    <row r="8" spans="1:34" ht="18" customHeight="1" x14ac:dyDescent="0.25">
      <c r="A8" s="241"/>
      <c r="B8" s="2142" t="s">
        <v>777</v>
      </c>
      <c r="C8" s="2143"/>
      <c r="D8" s="2143"/>
      <c r="E8" s="2143"/>
      <c r="F8" s="802"/>
      <c r="G8" s="802"/>
      <c r="H8" s="802"/>
      <c r="I8" s="802"/>
      <c r="J8" s="803"/>
      <c r="K8" s="418"/>
      <c r="L8" s="187" t="s">
        <v>932</v>
      </c>
      <c r="M8" s="434"/>
      <c r="N8" s="434"/>
      <c r="O8" s="434"/>
      <c r="P8" s="434"/>
      <c r="Q8" s="434"/>
      <c r="R8" s="434"/>
      <c r="S8" s="435"/>
      <c r="T8" s="475"/>
      <c r="U8" s="235"/>
      <c r="V8" s="422"/>
      <c r="W8" s="422"/>
      <c r="X8" s="422"/>
      <c r="Y8" s="2141"/>
      <c r="Z8" s="2141"/>
      <c r="AA8" s="2141"/>
      <c r="AB8" s="2141"/>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1"/>
      <c r="Z9" s="2141"/>
      <c r="AA9" s="2141"/>
      <c r="AB9" s="2141"/>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15.325320512820513</v>
      </c>
      <c r="T10" s="818" t="s">
        <v>21</v>
      </c>
      <c r="U10" s="724"/>
      <c r="V10" s="422"/>
      <c r="W10" s="422"/>
      <c r="X10" s="422"/>
      <c r="Y10" s="2141"/>
      <c r="Z10" s="2141"/>
      <c r="AA10" s="2141"/>
      <c r="AB10" s="2141"/>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15.79326923076923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2.8076923076923079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2.6907051282051282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0.70192307692307698</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7" t="s">
        <v>800</v>
      </c>
      <c r="AC16" s="2027"/>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0</v>
      </c>
      <c r="R17" s="775" t="s">
        <v>195</v>
      </c>
      <c r="S17" s="807">
        <f>Y18-(SUM(Z18:AC18))</f>
        <v>0</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0</v>
      </c>
      <c r="R18" s="737" t="s">
        <v>195</v>
      </c>
      <c r="S18" s="730">
        <f>Y19-(SUM(Z19:AC19))</f>
        <v>0</v>
      </c>
      <c r="T18" s="820" t="s">
        <v>21</v>
      </c>
      <c r="U18" s="724"/>
      <c r="V18" s="422"/>
      <c r="W18" s="483" t="s">
        <v>247</v>
      </c>
      <c r="X18" s="754"/>
      <c r="Y18" s="244">
        <f>'R-Definição'!$D$14+'R-Definição'!$O$32</f>
        <v>192.51410256410259</v>
      </c>
      <c r="Z18" s="244">
        <f>IF('R-Definição'!I29="Biosecagem CDR",'R-Definição'!O32,0)</f>
        <v>192.51410256410259</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11.932692307692307</v>
      </c>
      <c r="Z19" s="244">
        <f>IF('R-Definição'!I29="Biosecagem CDR",'R-Definição'!O33,0)</f>
        <v>11.932692307692307</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11.447976093452866</v>
      </c>
      <c r="J33" s="245" t="s">
        <v>195</v>
      </c>
      <c r="K33" s="244">
        <f>IF(OR(AND('R-Definição'!E122="Rota atual",'R-Definição'!E123="Aterro sanitário"),'R-Definição'!E122="Rota Futura"),'R-Definição'!N95+'R-Definição'!N96+'R-Definição'!N97+'R-Definição'!N98+'R-Definição'!N99,0)</f>
        <v>49.298397435897442</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88.552023906547134</v>
      </c>
      <c r="J38" s="245" t="s">
        <v>195</v>
      </c>
      <c r="K38" s="244">
        <f>IF('R-Definição'!I29="Biosecagem CDR",'R-Definição'!I52+SUM(AC18:AC19),'R-Definição'!I52)</f>
        <v>381.33141025641027</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430.62980769230774</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6" t="s">
        <v>473</v>
      </c>
      <c r="D2" s="2013"/>
      <c r="E2" s="830"/>
      <c r="F2" s="1506" t="s">
        <v>485</v>
      </c>
      <c r="G2" s="2147" t="str">
        <f>IF('R-Definição'!D2&lt;&gt;0,'R-Definição'!D2,"")</f>
        <v>CIRSOP - Consórcio RSU Oeste Paulista</v>
      </c>
      <c r="H2" s="2148"/>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5" t="str">
        <f>Apresentação!I2</f>
        <v>RC-RSU V.1.0 - 15/10/2020</v>
      </c>
      <c r="D3" s="2155"/>
      <c r="E3" s="830"/>
      <c r="F3" s="1507" t="s">
        <v>486</v>
      </c>
      <c r="G3" s="2149" t="str">
        <f>IF('R-Definição'!D3&lt;&gt;0,'R-Definição'!D3,"")</f>
        <v>Biodigestão c/ Prod. E. Elétrica</v>
      </c>
      <c r="H3" s="2150"/>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533.26842603756552</v>
      </c>
      <c r="V7" s="948">
        <f>L59</f>
        <v>0</v>
      </c>
      <c r="W7" s="948">
        <f>L62</f>
        <v>1005.4870361070574</v>
      </c>
      <c r="X7" s="948">
        <f>L65</f>
        <v>0</v>
      </c>
      <c r="Y7" s="948">
        <f>L68</f>
        <v>0</v>
      </c>
      <c r="Z7" s="948">
        <f>L71</f>
        <v>0</v>
      </c>
      <c r="AA7" s="948">
        <f>L74</f>
        <v>125.5642048956753</v>
      </c>
      <c r="AB7" s="1547"/>
    </row>
    <row r="8" spans="1:28" s="1900" customFormat="1" ht="17.649999999999999" customHeight="1" x14ac:dyDescent="0.25">
      <c r="A8" s="1639"/>
      <c r="B8" s="1944" t="s">
        <v>297</v>
      </c>
      <c r="C8" s="1901" t="s">
        <v>298</v>
      </c>
      <c r="D8" s="1902">
        <f>D40</f>
        <v>146000</v>
      </c>
      <c r="E8" s="1639"/>
      <c r="F8" s="1944" t="s">
        <v>562</v>
      </c>
      <c r="G8" s="1901" t="s">
        <v>292</v>
      </c>
      <c r="H8" s="1898">
        <f>O78</f>
        <v>28.334428938603914</v>
      </c>
      <c r="I8" s="1639"/>
      <c r="J8" s="1639"/>
      <c r="K8" s="1899"/>
      <c r="L8" s="1639"/>
      <c r="M8" s="1639"/>
      <c r="N8" s="1639"/>
      <c r="O8" s="1639"/>
      <c r="P8" s="1639"/>
      <c r="Q8" s="1639"/>
      <c r="R8" s="947" t="s">
        <v>300</v>
      </c>
      <c r="S8" s="1548">
        <v>0</v>
      </c>
      <c r="T8" s="949">
        <f>L52</f>
        <v>0</v>
      </c>
      <c r="U8" s="949">
        <f>L55</f>
        <v>531.56469304703</v>
      </c>
      <c r="V8" s="949">
        <f>L58</f>
        <v>0</v>
      </c>
      <c r="W8" s="949">
        <f>L61</f>
        <v>983.94857524736585</v>
      </c>
      <c r="X8" s="949">
        <f>L64</f>
        <v>0</v>
      </c>
      <c r="Y8" s="949">
        <f>L67</f>
        <v>0</v>
      </c>
      <c r="Z8" s="949">
        <f>L70</f>
        <v>0</v>
      </c>
      <c r="AA8" s="949">
        <f>L73</f>
        <v>261.8259068302545</v>
      </c>
      <c r="AB8" s="1547"/>
    </row>
    <row r="9" spans="1:28" s="1900" customFormat="1" ht="17.649999999999999" customHeight="1" x14ac:dyDescent="0.25">
      <c r="A9" s="1639"/>
      <c r="B9" s="1945" t="s">
        <v>558</v>
      </c>
      <c r="C9" s="1903" t="s">
        <v>298</v>
      </c>
      <c r="D9" s="1905">
        <f>D44</f>
        <v>51073.72</v>
      </c>
      <c r="E9" s="1639"/>
      <c r="F9" s="1945" t="s">
        <v>936</v>
      </c>
      <c r="G9" s="1903" t="s">
        <v>292</v>
      </c>
      <c r="H9" s="1906">
        <f>IF('R-Definição'!$E$121="Existente",((D88+D89)*D44+(D89*D11))/1000000,((D85+D88)*D44+(D89*D11))/1000000)</f>
        <v>2.5536859999999999</v>
      </c>
      <c r="I9" s="1639"/>
      <c r="J9" s="1639"/>
      <c r="K9" s="1899"/>
      <c r="L9" s="1639"/>
      <c r="M9" s="1639"/>
      <c r="N9" s="1639"/>
      <c r="O9" s="1639"/>
      <c r="P9" s="1639"/>
      <c r="Q9" s="1639"/>
      <c r="R9" s="947" t="s">
        <v>301</v>
      </c>
      <c r="S9" s="1548">
        <f>L92</f>
        <v>42.800000000000004</v>
      </c>
      <c r="T9" s="948">
        <f>P53</f>
        <v>0</v>
      </c>
      <c r="U9" s="948">
        <f>P56</f>
        <v>82.769105054330879</v>
      </c>
      <c r="V9" s="948">
        <f>P59</f>
        <v>0</v>
      </c>
      <c r="W9" s="948">
        <f>P62</f>
        <v>63.366817417881016</v>
      </c>
      <c r="X9" s="948">
        <f>P65</f>
        <v>0</v>
      </c>
      <c r="Y9" s="948">
        <f>P68</f>
        <v>0</v>
      </c>
      <c r="Z9" s="948">
        <f>P71</f>
        <v>0</v>
      </c>
      <c r="AA9" s="948">
        <f>IF('R-Definição'!E121="Novo",P74,(D44+D46)*D89/D40)</f>
        <v>47.935508614116237</v>
      </c>
      <c r="AB9" s="1547"/>
    </row>
    <row r="10" spans="1:28" s="1900" customFormat="1" ht="17.649999999999999" customHeight="1" x14ac:dyDescent="0.25">
      <c r="A10" s="1639"/>
      <c r="B10" s="1944" t="s">
        <v>715</v>
      </c>
      <c r="C10" s="1901" t="s">
        <v>195</v>
      </c>
      <c r="D10" s="1907">
        <f>D45</f>
        <v>0.65017999999999998</v>
      </c>
      <c r="E10" s="1639"/>
      <c r="F10" s="1945" t="str">
        <f>IF(D24="Sim","Custo Total Rota Tecnológica COM Coleta","Custo Total Rota Tecnológica SEM Coleta")</f>
        <v>Custo Total Rota Tecnológica SEM Coleta</v>
      </c>
      <c r="G10" s="1903" t="s">
        <v>292</v>
      </c>
      <c r="H10" s="1908">
        <f>H6+H8+H9</f>
        <v>30.888114938603913</v>
      </c>
      <c r="I10" s="1639"/>
      <c r="J10" s="1639"/>
      <c r="K10" s="1899"/>
      <c r="L10" s="1639"/>
      <c r="M10" s="1639"/>
      <c r="N10" s="1639"/>
      <c r="O10" s="1639"/>
      <c r="P10" s="1639"/>
      <c r="Q10" s="1639"/>
      <c r="R10" s="947" t="s">
        <v>302</v>
      </c>
      <c r="S10" s="1548">
        <v>0</v>
      </c>
      <c r="T10" s="949">
        <f>P52</f>
        <v>0</v>
      </c>
      <c r="U10" s="949">
        <f>P55</f>
        <v>82.50466701901351</v>
      </c>
      <c r="V10" s="949">
        <f>P58</f>
        <v>0</v>
      </c>
      <c r="W10" s="949">
        <f>P61</f>
        <v>62.009441670857534</v>
      </c>
      <c r="X10" s="949">
        <f>P64</f>
        <v>0</v>
      </c>
      <c r="Y10" s="949">
        <f>P67</f>
        <v>0</v>
      </c>
      <c r="Z10" s="949">
        <f>P70</f>
        <v>0</v>
      </c>
      <c r="AA10" s="948">
        <f>IF('R-Definição'!E121="Novo",P73,D89)</f>
        <v>99.954903729834669</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0</v>
      </c>
      <c r="W11" s="950">
        <f>IF(W12&gt;0,($L45*$D112+$L47*$D111)/(W12*312),0)</f>
        <v>36.744715122167278</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8.6464214998186184E-2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30.888114938603913</v>
      </c>
      <c r="I12" s="1639"/>
      <c r="J12" s="1639"/>
      <c r="K12" s="1899"/>
      <c r="L12" s="1639"/>
      <c r="M12" s="1639"/>
      <c r="N12" s="1639"/>
      <c r="O12" s="1639"/>
      <c r="P12" s="1639"/>
      <c r="Q12" s="1639"/>
      <c r="R12" s="947" t="s">
        <v>303</v>
      </c>
      <c r="S12" s="1548">
        <f>D38</f>
        <v>467.94871794871796</v>
      </c>
      <c r="T12" s="948">
        <f>$H52/312</f>
        <v>0</v>
      </c>
      <c r="U12" s="948">
        <f>$H55/312</f>
        <v>469.44855358316909</v>
      </c>
      <c r="V12" s="948">
        <f>$H58/312</f>
        <v>0</v>
      </c>
      <c r="W12" s="948">
        <f>$H61/312</f>
        <v>478.19203289365544</v>
      </c>
      <c r="X12" s="948">
        <f>$H64/312</f>
        <v>0</v>
      </c>
      <c r="Y12" s="948">
        <f>$H67/312</f>
        <v>0</v>
      </c>
      <c r="Z12" s="948">
        <f>$H70/312</f>
        <v>0</v>
      </c>
      <c r="AA12" s="948">
        <f>(D44+D46)/312</f>
        <v>163.69782051282053</v>
      </c>
      <c r="AB12" s="1547"/>
    </row>
    <row r="13" spans="1:28" s="1900" customFormat="1" ht="17.649999999999999" customHeight="1" thickBot="1" x14ac:dyDescent="0.3">
      <c r="A13" s="1639"/>
      <c r="B13" s="1946" t="s">
        <v>937</v>
      </c>
      <c r="C13" s="1909" t="s">
        <v>195</v>
      </c>
      <c r="D13" s="1910">
        <f>D16/((SUM('R-Entrada'!G28:G33))*312)</f>
        <v>0.2710476959190789</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211.56243108632816</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12623.775389735183</v>
      </c>
      <c r="E16" s="63"/>
      <c r="F16" s="1944" t="s">
        <v>565</v>
      </c>
      <c r="G16" s="1914" t="s">
        <v>304</v>
      </c>
      <c r="H16" s="1898">
        <f>K78</f>
        <v>242.99067138788354</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0.30658357317811846</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2135.3786589362362</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54821.613669786333</v>
      </c>
      <c r="E19" s="63"/>
      <c r="F19" s="1945" t="str">
        <f>J77</f>
        <v>Reinvestimento Total Rota (cada 5 anos)</v>
      </c>
      <c r="G19" s="1916" t="s">
        <v>304</v>
      </c>
      <c r="H19" s="1917">
        <f>K77</f>
        <v>4.2327828609503051</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22.36864730865986</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311.76528420469043</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34.999999999999979</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1.6697754290362354E-13</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0.449461283624635</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1.0000000000000004</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1.6948324883175023</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99.954903729834669</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25.608620791269246</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292.94394556662456</v>
      </c>
      <c r="E33" s="1025"/>
      <c r="F33" s="1958" t="s">
        <v>1108</v>
      </c>
      <c r="G33" s="1936" t="s">
        <v>295</v>
      </c>
      <c r="H33" s="1937">
        <v>318.85362727861343</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12623.775389735183</v>
      </c>
      <c r="I36" s="144"/>
      <c r="J36" s="1453" t="s">
        <v>898</v>
      </c>
      <c r="K36" s="261" t="s">
        <v>298</v>
      </c>
      <c r="L36" s="1464">
        <f>('R-Resumo Bal. Massa'!F58+'R-Resumo Bal. Massa'!G58)*312*D48/D8</f>
        <v>5184.0582321483053</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0</v>
      </c>
      <c r="I37" s="144"/>
      <c r="J37" s="1453" t="s">
        <v>899</v>
      </c>
      <c r="K37" s="1416" t="s">
        <v>298</v>
      </c>
      <c r="L37" s="1464">
        <f>('R-Resumo Bal. Massa'!F59+'R-Resumo Bal. Massa'!G59)*312*D48/D8</f>
        <v>3521.9937607725124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1820.3563257925346</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54821.613669786333</v>
      </c>
      <c r="I39" s="144"/>
      <c r="J39" s="1453" t="s">
        <v>901</v>
      </c>
      <c r="K39" s="1416" t="s">
        <v>298</v>
      </c>
      <c r="L39" s="1464">
        <f>('R-Resumo Bal. Massa'!F61+'R-Resumo Bal. Massa'!G61)*312*D48/D8</f>
        <v>949.75112650045298</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237.43778162511325</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910.17816289626728</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51073.72</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0.65017999999999998</v>
      </c>
      <c r="E45" s="258"/>
      <c r="F45" s="1453"/>
      <c r="G45" s="1416"/>
      <c r="H45" s="1464"/>
      <c r="I45" s="258"/>
      <c r="J45" s="1453" t="s">
        <v>907</v>
      </c>
      <c r="K45" s="1416" t="s">
        <v>298</v>
      </c>
      <c r="L45" s="1464">
        <f>IF('R-Definição'!I52&gt;0,('R-Definição'!I49-'R-Definição'!O53-'R-Definição'!O55)*'R-Definição'!L50/100*312,0)*D48/D8</f>
        <v>54821.613669786333</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146467.94871794875</v>
      </c>
      <c r="I55" s="651"/>
      <c r="J55" s="1039" t="s">
        <v>326</v>
      </c>
      <c r="K55" s="1549">
        <f>IF('C-Triagem Mec'!$E$7="SIM",'C-Triagem Mec'!$E$19,IF('C-Triagem Mec'!$I$7="SIM",'C-Triagem Mec'!$I$19,IF('C-Triagem Mec'!$M$7="SIM",'C-Triagem Mec'!$M$19,IF('C-Triagem Mec'!$Q$7="SIM",'C-Triagem Mec'!$Q$19,IF('C-Triagem Mec'!$U$7="SIM",'C-Triagem Mec'!$U$19,0)))))</f>
        <v>77.857190201484556</v>
      </c>
      <c r="L55" s="1039">
        <f>IF('C-Triagem Mec'!$E$7="SIM",'C-Triagem Mec'!$E$20,IF('C-Triagem Mec'!$I$7="SIM",'C-Triagem Mec'!$I$20,IF('C-Triagem Mec'!$M$7="SIM",'C-Triagem Mec'!$M$20,IF('C-Triagem Mec'!$Q$7="SIM",'C-Triagem Mec'!$Q$20,IF('C-Triagem Mec'!$U$7="SIM",'C-Triagem Mec'!$U$20,0)))))</f>
        <v>531.56469304703</v>
      </c>
      <c r="M55" s="137"/>
      <c r="N55" s="1039" t="s">
        <v>326</v>
      </c>
      <c r="O55" s="1549">
        <f>IF('C-Triagem Mec'!$E$7="SIM",'C-Triagem Mec'!$E$43,IF('C-Triagem Mec'!$I$7="SIM",'C-Triagem Mec'!$I$43,IF('C-Triagem Mec'!$M$7="SIM",'C-Triagem Mec'!$M$43,IF('C-Triagem Mec'!$Q$7="SIM",'C-Triagem Mec'!$Q$43,IF('C-Triagem Mec'!$U$7="SIM",'C-Triagem Mec'!$U$43,0)))))</f>
        <v>12.08428933793231</v>
      </c>
      <c r="P55" s="1039">
        <f>IF('C-Triagem Mec'!$E$7="SIM",'C-Triagem Mec'!$E$42,IF('C-Triagem Mec'!$I$7="SIM",'C-Triagem Mec'!$I$42,IF('C-Triagem Mec'!$M$7="SIM",'C-Triagem Mec'!$M$42,IF('C-Triagem Mec'!$Q$7="SIM",'C-Triagem Mec'!$Q$42,IF('C-Triagem Mec'!$U$7="SIM",'C-Triagem Mec'!$U$42,0)))))</f>
        <v>82.50466701901351</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533.26842603756552</v>
      </c>
      <c r="M56" s="137"/>
      <c r="N56" s="1453" t="s">
        <v>323</v>
      </c>
      <c r="O56" s="268">
        <f>IF(AND(H55&gt;0,D98="Não"),((L36*D101)+(L37*D102)+(L38*D103)+(L39*D104)+(L40*D106)+(L41*D105))/$D$40,((L36*D101)+(L37*D102)+(L38*D103)+(L39*D104)+(L40*D106)+(L41*D105))/$D$40*(1-D99))</f>
        <v>0</v>
      </c>
      <c r="P56" s="1439">
        <f>IF(O55&gt;0,O55*1000000/$D$40,0)</f>
        <v>82.769105054330879</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14241.773353931867</v>
      </c>
      <c r="H57" s="1492"/>
      <c r="I57" s="651"/>
      <c r="J57" s="1482" t="s">
        <v>324</v>
      </c>
      <c r="K57" s="261">
        <f>IF('C-Triagem Mec'!$E$7="SIM",'C-Triagem Mec'!$E$23,IF('C-Triagem Mec'!$I$7="SIM",'C-Triagem Mec'!$I$23,IF('C-Triagem Mec'!$M$7="SIM",'C-Triagem Mec'!$M$23,IF('C-Triagem Mec'!$Q$7="SIM",'C-Triagem Mec'!$Q$23,IF('C-Triagem Mec'!$U$7="SIM",'C-Triagem Mec'!$U$23,"0")))))</f>
        <v>1.5491928586415613</v>
      </c>
      <c r="L57" s="1483"/>
      <c r="M57" s="137"/>
      <c r="N57" s="1453" t="s">
        <v>325</v>
      </c>
      <c r="O57" s="268">
        <f>IF('C-Triagem Mec'!$E$7="SIM",'C-Triagem Mec'!$E$44,IF('C-Triagem Mec'!$I$7="SIM",'C-Triagem Mec'!$I$44,IF('C-Triagem Mec'!$M$7="SIM",'C-Triagem Mec'!$M$44,IF('C-Triagem Mec'!$Q$7="SIM",'C-Triagem Mec'!$Q$44,IF('C-Triagem Mec'!$U$7="SIM",'C-Triagem Mec'!$U$44,0)))))</f>
        <v>3.6503999999999999</v>
      </c>
      <c r="P57" s="1458">
        <f>IF('C-Triagem Mec'!$E$7="SIM",'C-Triagem Mec'!$E$45,IF('C-Triagem Mec'!$I$7="SIM",'C-Triagem Mec'!$I$45,IF('C-Triagem Mec'!$M$7="SIM",'C-Triagem Mec'!$M$45,IF('C-Triagem Mec'!$Q$7="SIM",'C-Triagem Mec'!$Q$45,IF('C-Triagem Mec'!$U$7="SIM",'C-Triagem Mec'!$U$45,0)))))</f>
        <v>57.581808250577282</v>
      </c>
      <c r="Q57" s="137"/>
      <c r="R57" s="944"/>
      <c r="S57" s="945"/>
      <c r="T57" s="945"/>
      <c r="U57" s="945"/>
      <c r="V57" s="945"/>
      <c r="W57" s="945"/>
      <c r="X57" s="945"/>
      <c r="Y57" s="945"/>
      <c r="Z57" s="1525"/>
    </row>
    <row r="58" spans="1:26" ht="17.649999999999999" hidden="1" customHeight="1" outlineLevel="1" x14ac:dyDescent="0.25">
      <c r="A58" s="42"/>
      <c r="B58" s="1453" t="s">
        <v>1115</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Sim</v>
      </c>
      <c r="H61" s="1039">
        <f>IF('C-Produção CDR-TMB'!D2&gt;0,'C-Produção CDR-TMB'!H2,0)</f>
        <v>149195.9142628205</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146.80110727163037</v>
      </c>
      <c r="L61" s="1549">
        <f>IF('C-Produção CDR-TMB'!$E$7="SIM",'C-Produção CDR-TMB'!$E$20,IF('C-Produção CDR-TMB'!$I$7="SIM",'C-Produção CDR-TMB'!$I$20,IF('C-Produção CDR-TMB'!$M$7="SIM",'C-Produção CDR-TMB'!$M$20,IF('C-Produção CDR-TMB'!$Q$7="SIM",'C-Produção CDR-TMB'!$Q$20,IF('C-Produção CDR-TMB'!$U$7="SIM",'C-Produção CDR-TMB'!$U$20,0)))))</f>
        <v>983.94857524736585</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9.2515553430106294</v>
      </c>
      <c r="P61" s="1549">
        <f>IF('C-Produção CDR-TMB'!$E$7="SIM",'C-Produção CDR-TMB'!$E$42,IF('C-Produção CDR-TMB'!$I$7="SIM",'C-Produção CDR-TMB'!$I$42,IF('C-Produção CDR-TMB'!$M$7="SIM",'C-Produção CDR-TMB'!$M$42,IF('C-Produção CDR-TMB'!$Q$7="SIM",'C-Produção CDR-TMB'!$Q$42,IF('C-Produção CDR-TMB'!$U$7="SIM",'C-Produção CDR-TMB'!$U$42,0)))))</f>
        <v>62.009441670857534</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1005.4870361070574</v>
      </c>
      <c r="M62" s="137"/>
      <c r="N62" s="1453" t="s">
        <v>323</v>
      </c>
      <c r="O62" s="268">
        <f>IF(H61&gt;0,((L45*D112)+(L47*D111))/$D$40,0)</f>
        <v>37.549050458757762</v>
      </c>
      <c r="P62" s="1439">
        <f>IF(O61&gt;0,O61*1000000/$D$40,0)</f>
        <v>63.366817417881016</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f>IF('C-Produção CDR-TMB'!$E$7="SIM",'C-Produção CDR-TMB'!$D$17,IF('C-Produção CDR-TMB'!$I$7="SIM",'C-Produção CDR-TMB'!$H$17,IF('C-Produção CDR-TMB'!$M$7="SIM",'C-Produção CDR-TMB'!$L$17,IF('C-Produção CDR-TMB'!$Q$7="SIM",'C-Produção CDR-TMB'!$P$17,IF('C-Produção CDR-TMB'!$U$7="SIM",'C-Produção CDR-TMB'!$T$17,"0")))))</f>
        <v>23044.271909999159</v>
      </c>
      <c r="H63" s="1493"/>
      <c r="I63" s="651"/>
      <c r="J63" s="1482" t="s">
        <v>324</v>
      </c>
      <c r="K63" s="261">
        <f>IF('C-Produção CDR-TMB'!$E$7="SIM",'C-Produção CDR-TMB'!$E$23,IF('C-Produção CDR-TMB'!$I$7="SIM",'C-Produção CDR-TMB'!$I$23,IF('C-Produção CDR-TMB'!$M$7="SIM",'C-Produção CDR-TMB'!$M$23,IF('C-Produção CDR-TMB'!$Q$7="SIM",'C-Produção CDR-TMB'!$Q$23,IF('C-Produção CDR-TMB'!$U$7="SIM",'C-Produção CDR-TMB'!$U$23,"0")))))</f>
        <v>2.683590002308744</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2.2180800000000001</v>
      </c>
      <c r="P63" s="1464">
        <f>IF('C-Produção CDR-TMB'!$E$7="SIM",'C-Produção CDR-TMB'!$E$45,IF('C-Produção CDR-TMB'!$I$7="SIM",'C-Produção CDR-TMB'!$I$45,IF('C-Produção CDR-TMB'!$M$7="SIM",'C-Produção CDR-TMB'!$M$45,IF('C-Produção CDR-TMB'!$Q$7="SIM",'C-Produção CDR-TMB'!$Q$45,IF('C-Produção CDR-TMB'!$U$7="SIM",'C-Produção CDR-TMB'!$U$45,0)))))</f>
        <v>47.142546615724349</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3" t="s">
        <v>330</v>
      </c>
      <c r="D66" s="2154"/>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70017.417820512841</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18.332373914768596</v>
      </c>
      <c r="L73" s="1039">
        <f>IF('C-Aterro Sanitário'!$E$7="SIM",'C-Aterro Sanitário'!$E$19,IF('C-Aterro Sanitário'!$I$7="SIM",'C-Aterro Sanitário'!$I$19,IF('C-Aterro Sanitário'!$M$7="SIM",'C-Aterro Sanitário'!$M$19,IF('C-Aterro Sanitário'!$Q$7="SIM",'C-Aterro Sanitário'!$Q$19,IF('C-Aterro Sanitário'!$U$7="SIM",'C-Aterro Sanitário'!$U$19,0)))))</f>
        <v>261.8259068302545</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6.9985842576609709</v>
      </c>
      <c r="P73" s="1039">
        <f>IF('C-Aterro Sanitário'!$E$7="SIM",'C-Aterro Sanitário'!$E$45,IF('C-Aterro Sanitário'!$I$7="SIM",'C-Aterro Sanitário'!$I$45,IF('C-Aterro Sanitário'!$M$7="SIM",'C-Aterro Sanitário'!$M$45,IF('C-Aterro Sanitário'!$Q$7="SIM",'C-Aterro Sanitário'!$Q$45,IF('C-Aterro Sanitário'!$U$7="SIM",'C-Aterro Sanitário'!$U$45,0)))))</f>
        <v>99.954903729834669</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125.5642048956753</v>
      </c>
      <c r="M74" s="271"/>
      <c r="N74" s="1453" t="s">
        <v>323</v>
      </c>
      <c r="O74" s="268">
        <f>IF(H73&gt;0,((P44*D114+P46*D117))/$D$40,0)</f>
        <v>0</v>
      </c>
      <c r="P74" s="1439">
        <f>IF(O73&gt;0,O73*1000000/$D$40,0)</f>
        <v>47.935508614116237</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464">
        <f>IF(K73&gt;0,K75*1000000/(H73*20),0)</f>
        <v>15.973630565755146</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1.9980058325094072</v>
      </c>
      <c r="P75" s="1464">
        <f>IF('C-Aterro Sanitário'!$E$7="SIM",'C-Aterro Sanitário'!$E$48,IF('C-Aterro Sanitário'!$I$7="SIM",'C-Aterro Sanitário'!$I$48,IF('C-Aterro Sanitário'!$M$7="SIM",'C-Aterro Sanitário'!$M$48,IF('C-Aterro Sanitário'!$Q$7="SIM",'C-Aterro Sanitário'!$Q$48,IF('C-Aterro Sanitário'!$U$7="SIM",'C-Aterro Sanitário'!$U$48,0)))))</f>
        <v>71.419063724548778</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0.30658357317811846</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37286.045263931024</v>
      </c>
      <c r="H77" s="1494"/>
      <c r="I77" s="832"/>
      <c r="J77" s="1485" t="s">
        <v>337</v>
      </c>
      <c r="K77" s="269">
        <f>K54+K57+K60+K63+K66+K69+K72</f>
        <v>4.2327828609503051</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1118</v>
      </c>
      <c r="C78" s="837" t="s">
        <v>1117</v>
      </c>
      <c r="D78" s="1967">
        <v>2.2000000000000002</v>
      </c>
      <c r="E78" s="137"/>
      <c r="F78" s="2151" t="s">
        <v>615</v>
      </c>
      <c r="G78" s="2152"/>
      <c r="H78" s="1474">
        <f>'R-Resumo Bal. Massa'!D16*312</f>
        <v>146000.00000000003</v>
      </c>
      <c r="I78" s="651"/>
      <c r="J78" s="1472" t="s">
        <v>339</v>
      </c>
      <c r="K78" s="1473">
        <f>K52+K55+K58+K61+K64+K67+K70+K73</f>
        <v>242.99067138788354</v>
      </c>
      <c r="L78" s="1474">
        <f>K78*1000000/H78</f>
        <v>1664.3196670402979</v>
      </c>
      <c r="M78" s="270"/>
      <c r="N78" s="1472" t="s">
        <v>597</v>
      </c>
      <c r="O78" s="1473">
        <f>O52+O55+O58+O61+O64+O67+O70+O73</f>
        <v>28.334428938603914</v>
      </c>
      <c r="P78" s="1474">
        <f>O78*1000000/H78</f>
        <v>194.07143108632815</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7.4741456359225236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168.75744298109578</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5.4821613669786329</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957.26428622600906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12.956307002901156</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88.741828786994219</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3.0267440002695776</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4" t="s">
        <v>886</v>
      </c>
      <c r="C95" s="2145"/>
      <c r="D95" s="2145"/>
      <c r="E95" s="2145"/>
      <c r="F95" s="2145"/>
      <c r="G95" s="2145"/>
      <c r="H95" s="2145"/>
      <c r="I95" s="2145"/>
      <c r="J95" s="2145"/>
      <c r="K95" s="2145"/>
      <c r="L95" s="2146"/>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30.888114938603913</v>
      </c>
      <c r="I98" s="144"/>
      <c r="J98" s="1400" t="s">
        <v>632</v>
      </c>
      <c r="K98" s="216" t="s">
        <v>292</v>
      </c>
      <c r="L98" s="1505">
        <f>H98+L91</f>
        <v>37.136914938603915</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211.56243108632816</v>
      </c>
      <c r="I99" s="144"/>
      <c r="J99" s="1453" t="s">
        <v>633</v>
      </c>
      <c r="K99" s="494" t="s">
        <v>342</v>
      </c>
      <c r="L99" s="1510">
        <f>L98*1000000/D40</f>
        <v>254.3624310863282</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7.2158228844934182</v>
      </c>
      <c r="I100" s="144"/>
      <c r="J100" s="1455" t="s">
        <v>825</v>
      </c>
      <c r="K100" s="1441" t="s">
        <v>299</v>
      </c>
      <c r="L100" s="1511">
        <f>L99*($D$7*30/$D$6)</f>
        <v>8.6756152392631432</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11" t="s">
        <v>971</v>
      </c>
      <c r="C2" s="2211"/>
      <c r="D2" s="2211"/>
      <c r="E2" s="2211"/>
      <c r="F2" s="2211"/>
      <c r="G2" s="2211"/>
      <c r="H2" s="2211"/>
      <c r="I2" s="2211"/>
      <c r="J2" s="2211"/>
      <c r="K2" s="2211"/>
      <c r="L2" s="2211"/>
      <c r="M2" s="2211"/>
      <c r="N2" s="438"/>
      <c r="O2" s="2210" t="s">
        <v>644</v>
      </c>
      <c r="P2" s="2210"/>
      <c r="Q2" s="2210"/>
      <c r="R2" s="2210"/>
      <c r="S2" s="2210"/>
      <c r="T2" s="2210"/>
      <c r="U2" s="2210"/>
      <c r="V2" s="2210"/>
      <c r="W2" s="2210"/>
      <c r="X2" s="2210"/>
      <c r="Y2" s="2210"/>
      <c r="Z2" s="2210"/>
      <c r="AA2" s="2210"/>
      <c r="AB2" s="453"/>
    </row>
    <row r="3" spans="1:28" s="870" customFormat="1" ht="17.649999999999999" customHeight="1" x14ac:dyDescent="0.25">
      <c r="A3" s="868"/>
      <c r="B3" s="2211"/>
      <c r="C3" s="2211"/>
      <c r="D3" s="2211"/>
      <c r="E3" s="2211"/>
      <c r="F3" s="2211"/>
      <c r="G3" s="2211"/>
      <c r="H3" s="2211"/>
      <c r="I3" s="2211"/>
      <c r="J3" s="2211"/>
      <c r="K3" s="2211"/>
      <c r="L3" s="2211"/>
      <c r="M3" s="2211"/>
      <c r="N3" s="869"/>
      <c r="O3" s="2210"/>
      <c r="P3" s="2210"/>
      <c r="Q3" s="2210"/>
      <c r="R3" s="2210"/>
      <c r="S3" s="2210"/>
      <c r="T3" s="2210"/>
      <c r="U3" s="2210"/>
      <c r="V3" s="2210"/>
      <c r="W3" s="2210"/>
      <c r="X3" s="2210"/>
      <c r="Y3" s="2210"/>
      <c r="Z3" s="2210"/>
      <c r="AA3" s="2210"/>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92" t="s">
        <v>351</v>
      </c>
      <c r="K5" s="2190" t="s">
        <v>352</v>
      </c>
      <c r="L5" s="438"/>
      <c r="M5" s="439"/>
      <c r="N5" s="438"/>
      <c r="O5" s="2218" t="s">
        <v>877</v>
      </c>
      <c r="P5" s="438"/>
      <c r="Q5" s="2218" t="s">
        <v>878</v>
      </c>
      <c r="R5" s="438"/>
      <c r="S5" s="2218" t="s">
        <v>879</v>
      </c>
      <c r="T5" s="438"/>
      <c r="U5" s="2218" t="s">
        <v>880</v>
      </c>
      <c r="V5" s="438"/>
      <c r="W5" s="2218" t="s">
        <v>881</v>
      </c>
      <c r="X5" s="438"/>
      <c r="Y5" s="2218" t="s">
        <v>887</v>
      </c>
      <c r="Z5" s="438"/>
      <c r="AA5" s="438"/>
      <c r="AB5" s="453"/>
    </row>
    <row r="6" spans="1:28" s="252" customFormat="1" ht="19.899999999999999" hidden="1" customHeight="1" outlineLevel="1" x14ac:dyDescent="0.25">
      <c r="A6" s="438"/>
      <c r="B6" s="1606" t="s">
        <v>645</v>
      </c>
      <c r="C6" s="1567" t="s">
        <v>292</v>
      </c>
      <c r="D6" s="1582">
        <f>D7*D8/1000000</f>
        <v>46.552629582677561</v>
      </c>
      <c r="E6" s="443"/>
      <c r="F6" s="1602" t="s">
        <v>973</v>
      </c>
      <c r="G6" s="1554">
        <f>J7*(1-K7)</f>
        <v>109759.20000000001</v>
      </c>
      <c r="H6" s="1596">
        <f>G6/$G$11</f>
        <v>0.66654521075030615</v>
      </c>
      <c r="I6" s="438"/>
      <c r="J6" s="2193"/>
      <c r="K6" s="2191"/>
      <c r="L6" s="438"/>
      <c r="M6" s="448"/>
      <c r="N6" s="440"/>
      <c r="O6" s="2219"/>
      <c r="P6" s="438"/>
      <c r="Q6" s="2219"/>
      <c r="R6" s="438"/>
      <c r="S6" s="2219"/>
      <c r="T6" s="438"/>
      <c r="U6" s="2219"/>
      <c r="V6" s="438"/>
      <c r="W6" s="2219"/>
      <c r="X6" s="438"/>
      <c r="Y6" s="2219"/>
      <c r="Z6" s="438"/>
      <c r="AA6" s="438"/>
      <c r="AB6" s="453"/>
    </row>
    <row r="7" spans="1:28" s="252" customFormat="1" ht="19.899999999999999" hidden="1" customHeight="1" outlineLevel="1" x14ac:dyDescent="0.25">
      <c r="A7" s="438"/>
      <c r="B7" s="1602" t="s">
        <v>646</v>
      </c>
      <c r="C7" s="1565" t="s">
        <v>342</v>
      </c>
      <c r="D7" s="1583">
        <f>'R&amp;C-Painel de Controle'!H33</f>
        <v>318.85362727861343</v>
      </c>
      <c r="E7" s="443"/>
      <c r="F7" s="1602" t="s">
        <v>974</v>
      </c>
      <c r="G7" s="1554">
        <f>J7*K7</f>
        <v>27439.800000000003</v>
      </c>
      <c r="H7" s="1596">
        <f>G7/$G$11</f>
        <v>0.16663630268757654</v>
      </c>
      <c r="I7" s="438"/>
      <c r="J7" s="2222">
        <f>'R&amp;C-Painel de Controle'!D6/3</f>
        <v>137199</v>
      </c>
      <c r="K7" s="2220">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223"/>
      <c r="K8" s="2221"/>
      <c r="L8" s="438"/>
      <c r="M8" s="448"/>
      <c r="N8" s="440"/>
      <c r="O8" s="1433">
        <f>(O12-O10)/O10</f>
        <v>1.2145591636766743E-6</v>
      </c>
      <c r="P8" s="440"/>
      <c r="Q8" s="1433">
        <f>(Q12-Q10)/Q10</f>
        <v>-5.8327040398667889E-3</v>
      </c>
      <c r="R8" s="440"/>
      <c r="S8" s="1433">
        <f>(S12-S10)/S10</f>
        <v>-5.832704039866644E-3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50.603290264240286</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2.026925647705387</v>
      </c>
      <c r="E12" s="438"/>
      <c r="F12" s="438"/>
      <c r="G12" s="438"/>
      <c r="H12" s="439"/>
      <c r="I12" s="438"/>
      <c r="J12" s="439"/>
      <c r="K12" s="439"/>
      <c r="L12" s="439"/>
      <c r="M12" s="439"/>
      <c r="N12" s="438"/>
      <c r="O12" s="255">
        <f>O33</f>
        <v>164669</v>
      </c>
      <c r="P12" s="440"/>
      <c r="Q12" s="266">
        <f>Q33</f>
        <v>50.3081362486855</v>
      </c>
      <c r="R12" s="440"/>
      <c r="S12" s="255">
        <f>S33*(1+$D$17+$D$18+$D$19)</f>
        <v>145148.42521017947</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12" t="s">
        <v>978</v>
      </c>
      <c r="G15" s="2214" t="s">
        <v>195</v>
      </c>
      <c r="H15" s="2216">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13"/>
      <c r="G16" s="2215"/>
      <c r="H16" s="2217"/>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50.603290264240286</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2.2032935156263518</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7" t="s">
        <v>941</v>
      </c>
      <c r="G23" s="2188"/>
      <c r="H23" s="2189"/>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307.30344949523095</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50.603290264240286</v>
      </c>
      <c r="E25" s="438"/>
      <c r="F25" s="1605" t="s">
        <v>980</v>
      </c>
      <c r="G25" s="1587" t="s">
        <v>359</v>
      </c>
      <c r="H25" s="1601">
        <f>H24/12</f>
        <v>25.608620791269246</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2.2032935156263518</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03" t="s">
        <v>964</v>
      </c>
      <c r="C29" s="2204"/>
      <c r="D29" s="2204"/>
      <c r="E29" s="2205"/>
      <c r="F29" s="438"/>
      <c r="G29" s="438"/>
      <c r="H29" s="439"/>
      <c r="I29" s="438"/>
      <c r="J29" s="439"/>
      <c r="K29" s="2200" t="s">
        <v>360</v>
      </c>
      <c r="L29" s="2201"/>
      <c r="M29" s="2202"/>
      <c r="N29" s="438"/>
      <c r="O29" s="2206" t="s">
        <v>763</v>
      </c>
      <c r="P29" s="2207"/>
      <c r="Q29" s="2207"/>
      <c r="R29" s="2207"/>
      <c r="S29" s="2207"/>
      <c r="T29" s="2207"/>
      <c r="U29" s="2207"/>
      <c r="V29" s="2207"/>
      <c r="W29" s="2207"/>
      <c r="X29" s="2207"/>
      <c r="Y29" s="2207"/>
      <c r="Z29" s="2207"/>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6" t="s">
        <v>965</v>
      </c>
      <c r="C31" s="2197"/>
      <c r="D31" s="2197"/>
      <c r="E31" s="2197"/>
      <c r="F31" s="2197"/>
      <c r="G31" s="2197"/>
      <c r="H31" s="2197"/>
      <c r="I31" s="2197"/>
      <c r="J31" s="2197"/>
      <c r="K31" s="2197"/>
      <c r="L31" s="1555" t="s">
        <v>361</v>
      </c>
      <c r="M31" s="1555" t="s">
        <v>362</v>
      </c>
      <c r="N31" s="438"/>
      <c r="O31" s="2158" t="s">
        <v>650</v>
      </c>
      <c r="P31" s="438"/>
      <c r="Q31" s="2158" t="s">
        <v>363</v>
      </c>
      <c r="R31" s="438"/>
      <c r="S31" s="2158" t="s">
        <v>651</v>
      </c>
      <c r="T31" s="438"/>
      <c r="U31" s="2158" t="s">
        <v>652</v>
      </c>
      <c r="V31" s="438"/>
      <c r="W31" s="2158" t="s">
        <v>652</v>
      </c>
      <c r="X31" s="438"/>
      <c r="Y31" s="2158" t="s">
        <v>463</v>
      </c>
      <c r="Z31" s="438"/>
      <c r="AA31" s="438"/>
      <c r="AB31" s="453"/>
    </row>
    <row r="32" spans="1:28" s="252" customFormat="1" ht="19.899999999999999" customHeight="1" x14ac:dyDescent="0.25">
      <c r="A32" s="438"/>
      <c r="B32" s="2198"/>
      <c r="C32" s="2197"/>
      <c r="D32" s="2197"/>
      <c r="E32" s="2197"/>
      <c r="F32" s="2197"/>
      <c r="G32" s="2197"/>
      <c r="H32" s="2197"/>
      <c r="I32" s="2197"/>
      <c r="J32" s="2197"/>
      <c r="K32" s="2197"/>
      <c r="L32" s="1556">
        <f>H24</f>
        <v>307.30344949523095</v>
      </c>
      <c r="M32" s="1557">
        <f>H25</f>
        <v>25.608620791269246</v>
      </c>
      <c r="N32" s="441"/>
      <c r="O32" s="2063"/>
      <c r="P32" s="441"/>
      <c r="Q32" s="2063"/>
      <c r="R32" s="441"/>
      <c r="S32" s="2063"/>
      <c r="T32" s="438"/>
      <c r="U32" s="2063"/>
      <c r="V32" s="438"/>
      <c r="W32" s="2063"/>
      <c r="X32" s="438"/>
      <c r="Y32" s="2199"/>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50.3081362486855</v>
      </c>
      <c r="R33" s="438"/>
      <c r="S33" s="255">
        <f>12*S34</f>
        <v>133777.35042412856</v>
      </c>
      <c r="T33" s="438" t="s">
        <v>364</v>
      </c>
      <c r="U33" s="255">
        <f>12*U34</f>
        <v>23493387.184143588</v>
      </c>
      <c r="V33" s="438" t="s">
        <v>365</v>
      </c>
      <c r="W33" s="255">
        <f>12*W34</f>
        <v>23493387.184143588</v>
      </c>
      <c r="X33" s="438" t="s">
        <v>365</v>
      </c>
      <c r="Y33" s="2208">
        <v>0.1</v>
      </c>
      <c r="Z33" s="438"/>
      <c r="AA33" s="438"/>
      <c r="AB33" s="453"/>
    </row>
    <row r="34" spans="1:28" s="252" customFormat="1" ht="34.9" hidden="1" customHeight="1" outlineLevel="1" x14ac:dyDescent="0.25">
      <c r="A34" s="438"/>
      <c r="B34" s="2168" t="s">
        <v>366</v>
      </c>
      <c r="C34" s="2169"/>
      <c r="D34" s="2169"/>
      <c r="E34" s="2169"/>
      <c r="F34" s="2169"/>
      <c r="G34" s="2169"/>
      <c r="H34" s="2169"/>
      <c r="I34" s="2169"/>
      <c r="J34" s="2169"/>
      <c r="K34" s="2169"/>
      <c r="L34" s="2169"/>
      <c r="M34" s="2169"/>
      <c r="N34" s="441"/>
      <c r="O34" s="850"/>
      <c r="P34" s="441"/>
      <c r="Q34" s="850"/>
      <c r="R34" s="441"/>
      <c r="S34" s="255">
        <f>S36+S49+S62+S75+S88</f>
        <v>11148.112535344046</v>
      </c>
      <c r="T34" s="438" t="s">
        <v>367</v>
      </c>
      <c r="U34" s="255">
        <f>U36+U49+U62+U75+U88</f>
        <v>1957782.2653452989</v>
      </c>
      <c r="V34" s="438" t="s">
        <v>368</v>
      </c>
      <c r="W34" s="255">
        <f>W36+W49+W62+W75+W88</f>
        <v>1957782.2653452992</v>
      </c>
      <c r="X34" s="438" t="s">
        <v>368</v>
      </c>
      <c r="Y34" s="2209"/>
      <c r="Z34" s="438"/>
      <c r="AA34" s="438"/>
      <c r="AB34" s="453"/>
    </row>
    <row r="35" spans="1:28" s="252" customFormat="1" ht="25.15" hidden="1" customHeight="1" outlineLevel="1" x14ac:dyDescent="0.25">
      <c r="A35" s="438"/>
      <c r="B35" s="2170" t="s">
        <v>369</v>
      </c>
      <c r="C35" s="2162"/>
      <c r="D35" s="2162"/>
      <c r="E35" s="2171"/>
      <c r="F35" s="2162"/>
      <c r="G35" s="2162"/>
      <c r="H35" s="2162"/>
      <c r="I35" s="2171"/>
      <c r="J35" s="2162"/>
      <c r="K35" s="2162"/>
      <c r="L35" s="2162"/>
      <c r="M35" s="2162"/>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70" t="s">
        <v>370</v>
      </c>
      <c r="C36" s="2170" t="s">
        <v>371</v>
      </c>
      <c r="D36" s="2173"/>
      <c r="E36" s="1448"/>
      <c r="F36" s="2161" t="s">
        <v>372</v>
      </c>
      <c r="G36" s="2162"/>
      <c r="H36" s="2163"/>
      <c r="I36" s="848"/>
      <c r="J36" s="2159" t="s">
        <v>970</v>
      </c>
      <c r="K36" s="2160"/>
      <c r="L36" s="2160"/>
      <c r="M36" s="2160"/>
      <c r="N36" s="438"/>
      <c r="O36" s="255">
        <f>O39+O41+O42+O43+O44+O45</f>
        <v>25</v>
      </c>
      <c r="P36" s="447"/>
      <c r="Q36" s="856">
        <f>Q39+Q41+Q42+Q43+Q44+Q45</f>
        <v>597.8012415961914</v>
      </c>
      <c r="R36" s="438"/>
      <c r="S36" s="2157">
        <f>IF(AND(Q36&lt;&gt;0,O36&lt;&gt;0),Q36/(1+$D$17+$D$18+$D$19)/(($D$25*1000000/$D$8)),0)</f>
        <v>1.5896487555346954</v>
      </c>
      <c r="T36" s="2194" t="s">
        <v>373</v>
      </c>
      <c r="U36" s="2157">
        <f>U39+U41+U42+U43+U44+U45</f>
        <v>250.06604084120022</v>
      </c>
      <c r="V36" s="447" t="s">
        <v>374</v>
      </c>
      <c r="W36" s="2157">
        <f>W39*O39+W41*O41+W42*O42+W43*O43+W44*O44+W45*O45</f>
        <v>250.06604084120022</v>
      </c>
      <c r="X36" s="447" t="s">
        <v>374</v>
      </c>
      <c r="Y36" s="833" t="s">
        <v>375</v>
      </c>
      <c r="Z36" s="438"/>
      <c r="AA36" s="438"/>
      <c r="AB36" s="453"/>
    </row>
    <row r="37" spans="1:28" s="252" customFormat="1" ht="24" hidden="1" customHeight="1" outlineLevel="1" x14ac:dyDescent="0.25">
      <c r="A37" s="438"/>
      <c r="B37" s="2172"/>
      <c r="C37" s="1558" t="s">
        <v>376</v>
      </c>
      <c r="D37" s="1559" t="s">
        <v>377</v>
      </c>
      <c r="E37" s="1449"/>
      <c r="F37" s="2164"/>
      <c r="G37" s="2162"/>
      <c r="H37" s="2163"/>
      <c r="I37" s="849"/>
      <c r="J37" s="2165" t="s">
        <v>378</v>
      </c>
      <c r="K37" s="2166"/>
      <c r="L37" s="2167" t="s">
        <v>379</v>
      </c>
      <c r="M37" s="2166"/>
      <c r="N37" s="438"/>
      <c r="O37" s="853" t="s">
        <v>380</v>
      </c>
      <c r="P37" s="447"/>
      <c r="Q37" s="857">
        <v>0.5</v>
      </c>
      <c r="R37" s="438"/>
      <c r="S37" s="2129"/>
      <c r="T37" s="2195"/>
      <c r="U37" s="2129"/>
      <c r="V37" s="447"/>
      <c r="W37" s="2126"/>
      <c r="X37" s="447"/>
      <c r="Y37" s="860">
        <f>$Y$33</f>
        <v>0.1</v>
      </c>
      <c r="Z37" s="438"/>
      <c r="AA37" s="438"/>
      <c r="AB37" s="453"/>
    </row>
    <row r="38" spans="1:28" s="252" customFormat="1" ht="24" hidden="1" customHeight="1" outlineLevel="1" x14ac:dyDescent="0.25">
      <c r="A38" s="438"/>
      <c r="B38" s="2180">
        <v>1</v>
      </c>
      <c r="C38" s="2180">
        <v>1</v>
      </c>
      <c r="D38" s="2183">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81"/>
      <c r="C39" s="2182"/>
      <c r="D39" s="2184"/>
      <c r="E39" s="849"/>
      <c r="F39" s="1613" t="s">
        <v>338</v>
      </c>
      <c r="G39" s="1614">
        <v>5</v>
      </c>
      <c r="H39" s="1615">
        <v>0.35</v>
      </c>
      <c r="I39" s="1449"/>
      <c r="J39" s="1616">
        <f>$L$32*H39*$B$38*$C$38</f>
        <v>107.55620732333082</v>
      </c>
      <c r="K39" s="1617">
        <f>$M$32*H39*$B$38*$C$38</f>
        <v>8.9630172769442353</v>
      </c>
      <c r="L39" s="1616">
        <f>J39*$D$38</f>
        <v>134.44525915416352</v>
      </c>
      <c r="M39" s="1617">
        <f>K39*$D$38</f>
        <v>11.203771596180294</v>
      </c>
      <c r="N39" s="438"/>
      <c r="O39" s="854">
        <v>5</v>
      </c>
      <c r="P39" s="447"/>
      <c r="Q39" s="276">
        <f>O39*$Q$37*M39+O39*(1-$Q$37)*K39</f>
        <v>50.416972182811321</v>
      </c>
      <c r="R39" s="438"/>
      <c r="S39" s="858">
        <f>IF(AND(Q39&lt;&gt;0,O39&lt;&gt;0),Q39/(1+$D$17+$D$18+$D$19)/O39/30/(($D$25*1000000/$D$8))*1000,0)</f>
        <v>0.89377841676649539</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81"/>
      <c r="C40" s="2182"/>
      <c r="D40" s="2184"/>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81"/>
      <c r="C41" s="2182"/>
      <c r="D41" s="2184"/>
      <c r="E41" s="849"/>
      <c r="F41" s="1613">
        <f>G39</f>
        <v>5</v>
      </c>
      <c r="G41" s="1614">
        <v>15</v>
      </c>
      <c r="H41" s="1615">
        <v>0.06</v>
      </c>
      <c r="I41" s="1449"/>
      <c r="J41" s="1616">
        <f>$L$32*(H39+(G41-F41)*H41)*$B$38*$C$38</f>
        <v>291.9382770204694</v>
      </c>
      <c r="K41" s="1617">
        <f>$M$32*(H39+(G41-F41)*H41)*$B$38*$C$38</f>
        <v>24.328189751705782</v>
      </c>
      <c r="L41" s="1616">
        <f t="shared" ref="L41:M45" si="0">J41*$D$38</f>
        <v>364.92284627558672</v>
      </c>
      <c r="M41" s="1617">
        <f t="shared" si="0"/>
        <v>30.410237189632227</v>
      </c>
      <c r="N41" s="438"/>
      <c r="O41" s="854">
        <v>20</v>
      </c>
      <c r="P41" s="447"/>
      <c r="Q41" s="276">
        <f>O41*$Q$37*M41+O41*(1-$Q$37)*K41</f>
        <v>547.38426941338003</v>
      </c>
      <c r="R41" s="438"/>
      <c r="S41" s="858">
        <f>IF(AND(Q41&lt;&gt;0,O41&lt;&gt;0),Q41/(1+$D$17+$D$18+$D$19)/O41/30/(($D$25*1000000/$D$8))*1000,0)</f>
        <v>2.425969988366202</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81"/>
      <c r="C42" s="2182"/>
      <c r="D42" s="2184"/>
      <c r="E42" s="849"/>
      <c r="F42" s="1613">
        <f>G41</f>
        <v>15</v>
      </c>
      <c r="G42" s="1614">
        <v>25</v>
      </c>
      <c r="H42" s="1615">
        <v>0.05</v>
      </c>
      <c r="I42" s="1449"/>
      <c r="J42" s="1616">
        <f>$L$32*(H39+(G41-F41)*H41+(G42-F42)*H42)*$B$38*$C$38</f>
        <v>445.59000176808485</v>
      </c>
      <c r="K42" s="1617">
        <f>$M$32*(H39+(G41-F41)*H41+(G42-F42)*H42)*$B$38*$C$38</f>
        <v>37.132500147340409</v>
      </c>
      <c r="L42" s="1616">
        <f t="shared" si="0"/>
        <v>556.98750221010607</v>
      </c>
      <c r="M42" s="1617">
        <f t="shared" si="0"/>
        <v>46.415625184175511</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81"/>
      <c r="C43" s="2182"/>
      <c r="D43" s="2184"/>
      <c r="E43" s="849"/>
      <c r="F43" s="1613">
        <f>G42</f>
        <v>25</v>
      </c>
      <c r="G43" s="1614">
        <v>35</v>
      </c>
      <c r="H43" s="1615">
        <v>3.5000000000000003E-2</v>
      </c>
      <c r="I43" s="1449"/>
      <c r="J43" s="1616">
        <f>$L$32*(H39+(G41-F41)*H41+(G42-F42)*H42+(G43-F43)*H43)*$B$38*$C$38</f>
        <v>553.1462090914157</v>
      </c>
      <c r="K43" s="1617">
        <f>$M$32*(H39+(G41-F41)*H41+(G42-F42)*H42+(G43-F43)*H43)*$B$38*$C$38</f>
        <v>46.095517424284644</v>
      </c>
      <c r="L43" s="1616">
        <f t="shared" si="0"/>
        <v>691.4327613642696</v>
      </c>
      <c r="M43" s="1617">
        <f t="shared" si="0"/>
        <v>57.619396780355807</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81"/>
      <c r="C44" s="2182"/>
      <c r="D44" s="2184"/>
      <c r="E44" s="849"/>
      <c r="F44" s="1613">
        <f>G43</f>
        <v>35</v>
      </c>
      <c r="G44" s="1614">
        <v>50</v>
      </c>
      <c r="H44" s="1615">
        <f>0.03</f>
        <v>0.03</v>
      </c>
      <c r="I44" s="1449"/>
      <c r="J44" s="1616">
        <f>$L$32*(H39+(G41-F41)*H41+(G42-F42)*H42+(G43-F43)*H43+(G44-F44)*H44)*$B$38*$C$38</f>
        <v>691.4327613642696</v>
      </c>
      <c r="K44" s="1617">
        <f>$M$32*(H39+(G41-F41)*H41+(G42-F42)*H42+(G43-F43)*H43+(G44-F44)*H44)*$B$38*$C$38</f>
        <v>57.6193967803558</v>
      </c>
      <c r="L44" s="1616">
        <f t="shared" si="0"/>
        <v>864.29095170533697</v>
      </c>
      <c r="M44" s="1617">
        <f t="shared" si="0"/>
        <v>72.024245975444757</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81"/>
      <c r="C45" s="2182"/>
      <c r="D45" s="2184"/>
      <c r="E45" s="849"/>
      <c r="F45" s="1613">
        <f>G44</f>
        <v>50</v>
      </c>
      <c r="G45" s="1614">
        <v>100</v>
      </c>
      <c r="H45" s="1615">
        <v>2.5000000000000001E-2</v>
      </c>
      <c r="I45" s="1449"/>
      <c r="J45" s="1616">
        <f>$L$32*(H39+(G41-F41)*H41+(G42-F42)*H42+(G43-F43)*H43+(G44-F44)*H44+(G45-F45)*H45)*$B$38*$C$38</f>
        <v>1075.5620732333084</v>
      </c>
      <c r="K45" s="1617">
        <f>$M$32*(H39+(G41-F41)*H41+(G42-F42)*H42+(G43-F43)*H43+(G44-F44)*H44+(G45-F45)*H45)*$B$38*$C$38</f>
        <v>89.630172769442368</v>
      </c>
      <c r="L45" s="1616">
        <f t="shared" si="0"/>
        <v>1344.4525915416355</v>
      </c>
      <c r="M45" s="1617">
        <f t="shared" si="0"/>
        <v>112.03771596180296</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68" t="s">
        <v>385</v>
      </c>
      <c r="C47" s="2169"/>
      <c r="D47" s="2169"/>
      <c r="E47" s="2169"/>
      <c r="F47" s="2169"/>
      <c r="G47" s="2169"/>
      <c r="H47" s="2169"/>
      <c r="I47" s="2169"/>
      <c r="J47" s="2169"/>
      <c r="K47" s="2169"/>
      <c r="L47" s="2169"/>
      <c r="M47" s="2169"/>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70" t="s">
        <v>369</v>
      </c>
      <c r="C48" s="2162"/>
      <c r="D48" s="2162"/>
      <c r="E48" s="2171"/>
      <c r="F48" s="2162"/>
      <c r="G48" s="2162"/>
      <c r="H48" s="2162"/>
      <c r="I48" s="2171"/>
      <c r="J48" s="2162"/>
      <c r="K48" s="2162"/>
      <c r="L48" s="2162"/>
      <c r="M48" s="2162"/>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70" t="s">
        <v>370</v>
      </c>
      <c r="C49" s="2170" t="s">
        <v>371</v>
      </c>
      <c r="D49" s="2173"/>
      <c r="E49" s="1448"/>
      <c r="F49" s="2161" t="s">
        <v>372</v>
      </c>
      <c r="G49" s="2162"/>
      <c r="H49" s="2163"/>
      <c r="I49" s="848"/>
      <c r="J49" s="2159" t="s">
        <v>970</v>
      </c>
      <c r="K49" s="2160"/>
      <c r="L49" s="2160"/>
      <c r="M49" s="2160"/>
      <c r="N49" s="438"/>
      <c r="O49" s="255">
        <f>O52+O54+O55+O56+O57+O58</f>
        <v>109759</v>
      </c>
      <c r="P49" s="447"/>
      <c r="Q49" s="862">
        <f>Q52+Q54+Q55+Q56+Q57+Q58</f>
        <v>2304822.6869741161</v>
      </c>
      <c r="R49" s="438"/>
      <c r="S49" s="2176">
        <f>IF(AND(Q49&lt;&gt;0,O49&lt;&gt;0),Q49/(1+$D$17+$D$18+$D$19)/(($D$25*1000000/$D$8)),0)</f>
        <v>6128.8907769640191</v>
      </c>
      <c r="T49" s="2194" t="s">
        <v>373</v>
      </c>
      <c r="U49" s="2157">
        <f>U52+U54+U55+U56+U57+U58</f>
        <v>964129.62046324741</v>
      </c>
      <c r="V49" s="447" t="s">
        <v>374</v>
      </c>
      <c r="W49" s="2174">
        <f>W52*O52+W54*O54+W55*O55+W56*O56+W57*O57+W58*O58</f>
        <v>964129.62046324741</v>
      </c>
      <c r="X49" s="447" t="s">
        <v>374</v>
      </c>
      <c r="Y49" s="833" t="s">
        <v>375</v>
      </c>
      <c r="Z49" s="438"/>
      <c r="AA49" s="438"/>
      <c r="AB49" s="453"/>
    </row>
    <row r="50" spans="1:28" s="252" customFormat="1" ht="24" hidden="1" customHeight="1" outlineLevel="1" x14ac:dyDescent="0.25">
      <c r="A50" s="438"/>
      <c r="B50" s="2172"/>
      <c r="C50" s="1558" t="s">
        <v>376</v>
      </c>
      <c r="D50" s="1559" t="s">
        <v>377</v>
      </c>
      <c r="E50" s="1449"/>
      <c r="F50" s="2164"/>
      <c r="G50" s="2162"/>
      <c r="H50" s="2163"/>
      <c r="I50" s="849"/>
      <c r="J50" s="2165" t="s">
        <v>378</v>
      </c>
      <c r="K50" s="2166"/>
      <c r="L50" s="2167" t="s">
        <v>379</v>
      </c>
      <c r="M50" s="2166"/>
      <c r="N50" s="438"/>
      <c r="O50" s="861" t="s">
        <v>380</v>
      </c>
      <c r="P50" s="447"/>
      <c r="Q50" s="857">
        <v>0.5</v>
      </c>
      <c r="R50" s="438"/>
      <c r="S50" s="2129"/>
      <c r="T50" s="2195"/>
      <c r="U50" s="2129"/>
      <c r="V50" s="447"/>
      <c r="W50" s="2175"/>
      <c r="X50" s="447"/>
      <c r="Y50" s="860">
        <f>$Y$33</f>
        <v>0.1</v>
      </c>
      <c r="Z50" s="438"/>
      <c r="AA50" s="438"/>
      <c r="AB50" s="453"/>
    </row>
    <row r="51" spans="1:28" s="252" customFormat="1" ht="24" hidden="1" customHeight="1" outlineLevel="1" x14ac:dyDescent="0.25">
      <c r="A51" s="438"/>
      <c r="B51" s="2180">
        <v>1</v>
      </c>
      <c r="C51" s="2180">
        <v>1</v>
      </c>
      <c r="D51" s="2183">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81"/>
      <c r="C52" s="2182"/>
      <c r="D52" s="2184"/>
      <c r="E52" s="849"/>
      <c r="F52" s="1613" t="s">
        <v>338</v>
      </c>
      <c r="G52" s="1614">
        <v>5</v>
      </c>
      <c r="H52" s="1615">
        <f>0.35-0.05</f>
        <v>0.3</v>
      </c>
      <c r="I52" s="1449"/>
      <c r="J52" s="1616">
        <f>$L$32*H52*$B$51*$C$51</f>
        <v>92.191034848569288</v>
      </c>
      <c r="K52" s="1617">
        <f>$M$32*H52*$B$51*$C$51</f>
        <v>7.6825862373807734</v>
      </c>
      <c r="L52" s="1616">
        <f>J52*$D$51</f>
        <v>115.23879356071161</v>
      </c>
      <c r="M52" s="1617">
        <f>K52*$D$51</f>
        <v>9.6032327967259672</v>
      </c>
      <c r="N52" s="438"/>
      <c r="O52" s="854">
        <v>76400</v>
      </c>
      <c r="P52" s="447"/>
      <c r="Q52" s="276">
        <f>O52*$Q$50*M52+O52*(1-$Q$50)*K52</f>
        <v>660318.2871028774</v>
      </c>
      <c r="R52" s="438"/>
      <c r="S52" s="858">
        <f>IF(AND(Q52&lt;&gt;0,O52&lt;&gt;0),Q52/(1+$D$17+$D$18+$D$19)/O52/30/(($D$25*1000000/$D$8))*1000,0)</f>
        <v>0.76609578579985327</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81"/>
      <c r="C53" s="2182"/>
      <c r="D53" s="2184"/>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81"/>
      <c r="C54" s="2182"/>
      <c r="D54" s="2184"/>
      <c r="E54" s="849"/>
      <c r="F54" s="1613">
        <f>G52</f>
        <v>5</v>
      </c>
      <c r="G54" s="1614">
        <v>15</v>
      </c>
      <c r="H54" s="1615">
        <f>0.08</f>
        <v>0.08</v>
      </c>
      <c r="I54" s="1449"/>
      <c r="J54" s="1616">
        <f>$L$32*(H52+(G54-F54)*H54)*$B$51*$C$51</f>
        <v>338.03379444475405</v>
      </c>
      <c r="K54" s="1617">
        <f>$M$32*(H52+(G54-F54)*H54)*$B$51*$C$51</f>
        <v>28.169482870396173</v>
      </c>
      <c r="L54" s="1616">
        <f t="shared" ref="L54:M58" si="1">J54*$D$51</f>
        <v>422.54224305594255</v>
      </c>
      <c r="M54" s="1617">
        <f t="shared" si="1"/>
        <v>35.211853587995215</v>
      </c>
      <c r="N54" s="438"/>
      <c r="O54" s="854">
        <v>16500</v>
      </c>
      <c r="P54" s="447"/>
      <c r="Q54" s="276">
        <f>O54*$Q$50*M54+O54*(1-$Q$50)*K54</f>
        <v>522896.02578172891</v>
      </c>
      <c r="R54" s="438"/>
      <c r="S54" s="858">
        <f>IF(AND(Q54&lt;&gt;0,O54&lt;&gt;0),Q54/(1+$D$17+$D$18+$D$19)/O54/30/(($D$25*1000000/$D$8))*1000,0)</f>
        <v>2.8090178812661288</v>
      </c>
      <c r="T54" s="447" t="s">
        <v>382</v>
      </c>
      <c r="U54" s="838">
        <f>S54*O54*30*$D$11*(1+$D$24)/1000</f>
        <v>218732.46463941128</v>
      </c>
      <c r="V54" s="447" t="s">
        <v>383</v>
      </c>
      <c r="W54" s="865">
        <f>IF(O54&lt;&gt;0,U54/O54,0)</f>
        <v>13.256513008449168</v>
      </c>
      <c r="X54" s="447" t="s">
        <v>384</v>
      </c>
      <c r="Y54" s="277" t="str">
        <f>IF(O54=0,"-",IF(AND(((F54*(1-$Y$50))&lt;W54),(W54&lt;(G54*(1+$Y$50)))),"OK", "NOK"))</f>
        <v>OK</v>
      </c>
      <c r="Z54" s="144"/>
      <c r="AA54" s="239">
        <f>IF(OR(Y54="OK",Y54="-"),1,0)</f>
        <v>1</v>
      </c>
      <c r="AB54" s="453"/>
    </row>
    <row r="55" spans="1:28" s="252" customFormat="1" ht="24" hidden="1" customHeight="1" outlineLevel="1" x14ac:dyDescent="0.25">
      <c r="A55" s="438"/>
      <c r="B55" s="2181"/>
      <c r="C55" s="2182"/>
      <c r="D55" s="2184"/>
      <c r="E55" s="849"/>
      <c r="F55" s="1613">
        <f>G54</f>
        <v>15</v>
      </c>
      <c r="G55" s="1614">
        <v>25</v>
      </c>
      <c r="H55" s="1615">
        <f>0.0725</f>
        <v>7.2499999999999995E-2</v>
      </c>
      <c r="I55" s="1449"/>
      <c r="J55" s="1616">
        <f>$L$32*(H52+(G54-F54)*H54+(G55-F55)*H55)*$B$51*$C$51</f>
        <v>560.82879532879656</v>
      </c>
      <c r="K55" s="1617">
        <f>$M$32*(H52+(G54-F54)*H54+(G55-F55)*H55)*$B$51*$C$51</f>
        <v>46.735732944066378</v>
      </c>
      <c r="L55" s="1616">
        <f t="shared" si="1"/>
        <v>701.03599416099564</v>
      </c>
      <c r="M55" s="1617">
        <f t="shared" si="1"/>
        <v>58.41966618008297</v>
      </c>
      <c r="N55" s="438"/>
      <c r="O55" s="854">
        <v>10000</v>
      </c>
      <c r="P55" s="447"/>
      <c r="Q55" s="276">
        <f>O55*$Q$50*M55+O55*(1-$Q$50)*K55</f>
        <v>525776.99562074675</v>
      </c>
      <c r="R55" s="438"/>
      <c r="S55" s="858">
        <f>IF(AND(Q55&lt;&gt;0,O55&lt;&gt;0),Q55/(1+$D$17+$D$18+$D$19)/O55/30/(($D$25*1000000/$D$8))*1000,0)</f>
        <v>4.6604160302824411</v>
      </c>
      <c r="T55" s="447" t="s">
        <v>382</v>
      </c>
      <c r="U55" s="838">
        <f>S55*O55*30*$D$11*(1+$D$24)/1000</f>
        <v>219937.60218563394</v>
      </c>
      <c r="V55" s="447" t="s">
        <v>383</v>
      </c>
      <c r="W55" s="866">
        <f>IF(O55&lt;&gt;0,U55/O55,0)</f>
        <v>21.993760218563395</v>
      </c>
      <c r="X55" s="447" t="s">
        <v>384</v>
      </c>
      <c r="Y55" s="277" t="str">
        <f>IF(O55=0,"-",IF(AND(((F55*(1-$Y$50))&lt;W55),(W55&lt;(G55*(1+$Y$50)))),"OK", "NOK"))</f>
        <v>OK</v>
      </c>
      <c r="Z55" s="144"/>
      <c r="AA55" s="239">
        <f>IF(OR(Y55="OK",Y55="-"),1,0)</f>
        <v>1</v>
      </c>
      <c r="AB55" s="453"/>
    </row>
    <row r="56" spans="1:28" s="252" customFormat="1" ht="24" hidden="1" customHeight="1" outlineLevel="1" x14ac:dyDescent="0.25">
      <c r="A56" s="438"/>
      <c r="B56" s="2181"/>
      <c r="C56" s="2182"/>
      <c r="D56" s="2184"/>
      <c r="E56" s="849"/>
      <c r="F56" s="1613">
        <f>G55</f>
        <v>25</v>
      </c>
      <c r="G56" s="1614">
        <v>35</v>
      </c>
      <c r="H56" s="1615">
        <v>6.5000000000000002E-2</v>
      </c>
      <c r="I56" s="1449"/>
      <c r="J56" s="1616">
        <f>$L$32*(H52+(G54-F54)*H54+(G55-F55)*H55+(G56-F56)*H56)*$B$51*$C$51</f>
        <v>760.57603750069666</v>
      </c>
      <c r="K56" s="1617">
        <f>$M$32*(H52+(G54-F54)*H54+(G55-F55)*H55+(G56-F56)*H56)*$B$51*$C$51</f>
        <v>63.381336458391388</v>
      </c>
      <c r="L56" s="1616">
        <f t="shared" si="1"/>
        <v>950.72004687587082</v>
      </c>
      <c r="M56" s="1617">
        <f t="shared" si="1"/>
        <v>79.226670572989235</v>
      </c>
      <c r="N56" s="438"/>
      <c r="O56" s="854">
        <v>5500</v>
      </c>
      <c r="P56" s="447"/>
      <c r="Q56" s="276">
        <f>O56*$Q$50*M56+O56*(1-$Q$50)*K56</f>
        <v>392172.01933629671</v>
      </c>
      <c r="R56" s="438"/>
      <c r="S56" s="858">
        <f>IF(AND(Q56&lt;&gt;0,O56&lt;&gt;0),Q56/(1+$D$17+$D$18+$D$19)/O56/30/(($D$25*1000000/$D$8))*1000,0)</f>
        <v>6.3202902328487918</v>
      </c>
      <c r="T56" s="447" t="s">
        <v>382</v>
      </c>
      <c r="U56" s="838">
        <f>S56*O56*30*$D$11*(1+$D$24)/1000</f>
        <v>164049.34847955851</v>
      </c>
      <c r="V56" s="447" t="s">
        <v>383</v>
      </c>
      <c r="W56" s="866">
        <f>IF(O56&lt;&gt;0,U56/O56,0)</f>
        <v>29.827154269010638</v>
      </c>
      <c r="X56" s="447" t="s">
        <v>384</v>
      </c>
      <c r="Y56" s="277" t="str">
        <f>IF(O56=0,"-",IF(AND(((F56*(1-$Y$50))&lt;W56),(W56&lt;(G56*(1+$Y$50)))),"OK", "NOK"))</f>
        <v>OK</v>
      </c>
      <c r="Z56" s="144"/>
      <c r="AA56" s="239">
        <f>IF(OR(Y56="OK",Y56="-"),1,0)</f>
        <v>1</v>
      </c>
      <c r="AB56" s="453"/>
    </row>
    <row r="57" spans="1:28" s="252" customFormat="1" ht="24" hidden="1" customHeight="1" outlineLevel="1" x14ac:dyDescent="0.25">
      <c r="A57" s="438"/>
      <c r="B57" s="2181"/>
      <c r="C57" s="2182"/>
      <c r="D57" s="2184"/>
      <c r="E57" s="849"/>
      <c r="F57" s="1613">
        <f>G56</f>
        <v>35</v>
      </c>
      <c r="G57" s="1614">
        <v>50</v>
      </c>
      <c r="H57" s="1615">
        <f>0.06</f>
        <v>0.06</v>
      </c>
      <c r="I57" s="1449"/>
      <c r="J57" s="1616">
        <f>$L$32*(H52+(G54-F54)*H54+(G55-F55)*H55+(G56-F56)*H56+(G57-F57)*H57)*$B$51*$C$51</f>
        <v>1037.1491420464044</v>
      </c>
      <c r="K57" s="1617">
        <f>$M$32*(H52+(G54-F54)*H54+(G55-F55)*H55+(G56-F56)*H56+(G57-F57)*H57)*$B$51*$C$51</f>
        <v>86.429095170533699</v>
      </c>
      <c r="L57" s="1616">
        <f t="shared" si="1"/>
        <v>1296.4364275580056</v>
      </c>
      <c r="M57" s="1617">
        <f t="shared" si="1"/>
        <v>108.03636896316712</v>
      </c>
      <c r="N57" s="438"/>
      <c r="O57" s="854">
        <v>366</v>
      </c>
      <c r="P57" s="447"/>
      <c r="Q57" s="276">
        <f>O57*$Q$50*M57+O57*(1-$Q$50)*K57</f>
        <v>35587.179936467248</v>
      </c>
      <c r="R57" s="438"/>
      <c r="S57" s="858">
        <f>IF(AND(Q57&lt;&gt;0,O57&lt;&gt;0),Q57/(1+$D$17+$D$18+$D$19)/O57/30/(($D$25*1000000/$D$8))*1000,0)</f>
        <v>8.6185775902483481</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81"/>
      <c r="C58" s="2182"/>
      <c r="D58" s="2184"/>
      <c r="E58" s="849"/>
      <c r="F58" s="1613">
        <f>G57</f>
        <v>50</v>
      </c>
      <c r="G58" s="1614">
        <v>100</v>
      </c>
      <c r="H58" s="1615">
        <v>0.05</v>
      </c>
      <c r="I58" s="1449"/>
      <c r="J58" s="1616">
        <f>$L$32*(H52+(G54-F54)*H54+(G55-F55)*H55+(G56-F56)*H56+(G57-F57)*H57+(G58-F58)*H58)*$B$51*$C$51</f>
        <v>1805.4077657844819</v>
      </c>
      <c r="K58" s="1617">
        <f>$M$32*(H52+(G54-F54)*H54+(G55-F55)*H55+(G56-F56)*H56+(G57-F57)*H57+(G58-F58)*H58)*$B$51*$C$51</f>
        <v>150.45064714870682</v>
      </c>
      <c r="L58" s="1616">
        <f t="shared" si="1"/>
        <v>2256.7597072306025</v>
      </c>
      <c r="M58" s="1617">
        <f t="shared" si="1"/>
        <v>188.06330893588353</v>
      </c>
      <c r="N58" s="438"/>
      <c r="O58" s="854">
        <v>993</v>
      </c>
      <c r="P58" s="447"/>
      <c r="Q58" s="276">
        <f>O58*$Q$50*M58+O58*(1-$Q$50)*K58</f>
        <v>168072.17919599911</v>
      </c>
      <c r="R58" s="438"/>
      <c r="S58" s="858">
        <f>IF(AND(Q58&lt;&gt;0,O58&lt;&gt;0),Q58/(1+$D$17+$D$18+$D$19)/O58/30/(($D$25*1000000/$D$8))*1000,0)</f>
        <v>15.002709138580462</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68" t="s">
        <v>386</v>
      </c>
      <c r="C60" s="2169"/>
      <c r="D60" s="2169"/>
      <c r="E60" s="2169"/>
      <c r="F60" s="2169"/>
      <c r="G60" s="2169"/>
      <c r="H60" s="2169"/>
      <c r="I60" s="2169"/>
      <c r="J60" s="2169"/>
      <c r="K60" s="2169"/>
      <c r="L60" s="2169"/>
      <c r="M60" s="2169"/>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70" t="s">
        <v>369</v>
      </c>
      <c r="C61" s="2162"/>
      <c r="D61" s="2162"/>
      <c r="E61" s="2171"/>
      <c r="F61" s="2162"/>
      <c r="G61" s="2162"/>
      <c r="H61" s="2162"/>
      <c r="I61" s="2171"/>
      <c r="J61" s="2162"/>
      <c r="K61" s="2162"/>
      <c r="L61" s="2162"/>
      <c r="M61" s="2162"/>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70" t="s">
        <v>370</v>
      </c>
      <c r="C62" s="2170" t="s">
        <v>371</v>
      </c>
      <c r="D62" s="2173"/>
      <c r="E62" s="1448"/>
      <c r="F62" s="2161" t="s">
        <v>372</v>
      </c>
      <c r="G62" s="2162"/>
      <c r="H62" s="2163"/>
      <c r="I62" s="848"/>
      <c r="J62" s="2159" t="s">
        <v>970</v>
      </c>
      <c r="K62" s="2160"/>
      <c r="L62" s="2160"/>
      <c r="M62" s="2160"/>
      <c r="N62" s="438"/>
      <c r="O62" s="255">
        <f>O65+O67+O68+O69+O70+O71</f>
        <v>27440</v>
      </c>
      <c r="P62" s="447"/>
      <c r="Q62" s="856">
        <f>Q65+Q67+Q68+Q69+Q70+Q71</f>
        <v>121969.41133095295</v>
      </c>
      <c r="R62" s="438"/>
      <c r="S62" s="2157">
        <f>IF(AND(Q62&lt;&gt;0,O62&lt;&gt;0),Q62/(1+$D$17+$D$18+$D$19)/(($D$25*1000000/$D$8)),0)</f>
        <v>324.33609943305947</v>
      </c>
      <c r="T62" s="2194" t="s">
        <v>373</v>
      </c>
      <c r="U62" s="2157">
        <f>U65+U67+U68+U69+U70+U71</f>
        <v>255104.92177821492</v>
      </c>
      <c r="V62" s="447" t="s">
        <v>374</v>
      </c>
      <c r="W62" s="2157">
        <f>W65*O65+W67*O67+W68*O68+W69*O69+W70*O70+W71*O71</f>
        <v>255104.92177821492</v>
      </c>
      <c r="X62" s="447" t="s">
        <v>374</v>
      </c>
      <c r="Y62" s="833" t="s">
        <v>375</v>
      </c>
      <c r="Z62" s="438"/>
      <c r="AA62" s="438"/>
      <c r="AB62" s="453"/>
    </row>
    <row r="63" spans="1:28" s="252" customFormat="1" ht="24" hidden="1" customHeight="1" outlineLevel="1" x14ac:dyDescent="0.25">
      <c r="A63" s="438"/>
      <c r="B63" s="2172"/>
      <c r="C63" s="1558" t="s">
        <v>376</v>
      </c>
      <c r="D63" s="1559" t="s">
        <v>377</v>
      </c>
      <c r="E63" s="1449"/>
      <c r="F63" s="2164"/>
      <c r="G63" s="2162"/>
      <c r="H63" s="2163"/>
      <c r="I63" s="849"/>
      <c r="J63" s="2165" t="s">
        <v>378</v>
      </c>
      <c r="K63" s="2166"/>
      <c r="L63" s="2167" t="s">
        <v>379</v>
      </c>
      <c r="M63" s="2166"/>
      <c r="N63" s="438"/>
      <c r="O63" s="861" t="s">
        <v>380</v>
      </c>
      <c r="P63" s="447"/>
      <c r="Q63" s="857">
        <v>0.25</v>
      </c>
      <c r="R63" s="438"/>
      <c r="S63" s="2129"/>
      <c r="T63" s="2195"/>
      <c r="U63" s="2129"/>
      <c r="V63" s="447"/>
      <c r="W63" s="2126"/>
      <c r="X63" s="447"/>
      <c r="Y63" s="860">
        <f>$Y$33</f>
        <v>0.1</v>
      </c>
      <c r="Z63" s="438"/>
      <c r="AA63" s="438"/>
      <c r="AB63" s="453"/>
    </row>
    <row r="64" spans="1:28" s="252" customFormat="1" ht="24" hidden="1" customHeight="1" outlineLevel="1" x14ac:dyDescent="0.25">
      <c r="A64" s="438"/>
      <c r="B64" s="2177">
        <f>B51*$H$15</f>
        <v>0.2</v>
      </c>
      <c r="C64" s="2177">
        <f>C51</f>
        <v>1</v>
      </c>
      <c r="D64" s="2177">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78"/>
      <c r="C65" s="2178"/>
      <c r="D65" s="2178"/>
      <c r="E65" s="849"/>
      <c r="F65" s="1613" t="s">
        <v>338</v>
      </c>
      <c r="G65" s="1618">
        <f>G52</f>
        <v>5</v>
      </c>
      <c r="H65" s="1619">
        <f>H52</f>
        <v>0.3</v>
      </c>
      <c r="I65" s="1449"/>
      <c r="J65" s="1620">
        <f>$L$32*H65*$B$64*$C$64</f>
        <v>18.438206969713857</v>
      </c>
      <c r="K65" s="1617">
        <f>$M$32*H65*$B$64*$C$64</f>
        <v>1.5365172474761548</v>
      </c>
      <c r="L65" s="1616">
        <f>J65*$D$51</f>
        <v>23.047758712142322</v>
      </c>
      <c r="M65" s="1617">
        <f>K65*$D$51</f>
        <v>1.9206465593451936</v>
      </c>
      <c r="N65" s="438"/>
      <c r="O65" s="854">
        <v>15000</v>
      </c>
      <c r="P65" s="447"/>
      <c r="Q65" s="276">
        <f>O65*$Q$63*M65+O65*(1-$Q$63)*K65</f>
        <v>24488.243631651218</v>
      </c>
      <c r="R65" s="438"/>
      <c r="S65" s="858">
        <f>IF(AND(Q65&lt;&gt;0,O65&lt;&gt;0),Q65/(1+$D$17+$D$18+$D$19)/$H$15/O65/30/(($D$25*1000000/$D$8))*1000,0)</f>
        <v>0.7235349088109726</v>
      </c>
      <c r="T65" s="447" t="s">
        <v>382</v>
      </c>
      <c r="U65" s="838">
        <f>S65*O65*30*$D$11*(1+$D$24)/1000</f>
        <v>51218.345714462703</v>
      </c>
      <c r="V65" s="447" t="s">
        <v>383</v>
      </c>
      <c r="W65" s="838">
        <f>IF(O65&lt;&gt;0,U65/O65,0)</f>
        <v>3.4145563809641803</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178"/>
      <c r="C66" s="2178"/>
      <c r="D66" s="2178"/>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78"/>
      <c r="C67" s="2178"/>
      <c r="D67" s="2178"/>
      <c r="E67" s="849"/>
      <c r="F67" s="1613">
        <f>G65</f>
        <v>5</v>
      </c>
      <c r="G67" s="1618">
        <f t="shared" ref="G67:H71" si="2">G54</f>
        <v>15</v>
      </c>
      <c r="H67" s="1619">
        <f t="shared" si="2"/>
        <v>0.08</v>
      </c>
      <c r="I67" s="1449"/>
      <c r="J67" s="1620">
        <f>$L$32*(H65+(G67-F67)*H67)*$B$64*$C$64</f>
        <v>67.606758888950807</v>
      </c>
      <c r="K67" s="1617">
        <f>$M$32*(H65+(G67-F67)*H67)*$B$64*$C$64</f>
        <v>5.6338965740792348</v>
      </c>
      <c r="L67" s="1616">
        <f t="shared" ref="L67:M71" si="3">J67*$D$51</f>
        <v>84.508448611188513</v>
      </c>
      <c r="M67" s="1617">
        <f t="shared" si="3"/>
        <v>7.0423707175990433</v>
      </c>
      <c r="N67" s="438"/>
      <c r="O67" s="854">
        <v>8400</v>
      </c>
      <c r="P67" s="447"/>
      <c r="Q67" s="276">
        <f>O67*$Q$63*M67+O67*(1-$Q$63)*K67</f>
        <v>50282.526923657169</v>
      </c>
      <c r="R67" s="438"/>
      <c r="S67" s="858">
        <f>IF(AND(Q67&lt;&gt;0,O67&lt;&gt;0),Q67/(1+$D$17+$D$18+$D$19)/$H$15/O67/30/(($D$25*1000000/$D$8))*1000,0)</f>
        <v>2.6529613323069001</v>
      </c>
      <c r="T67" s="447" t="s">
        <v>382</v>
      </c>
      <c r="U67" s="838">
        <f>S67*O67*30*$D$11*(1+$D$24)/1000</f>
        <v>105168.33653369677</v>
      </c>
      <c r="V67" s="447" t="s">
        <v>383</v>
      </c>
      <c r="W67" s="838">
        <f>IF(O67&lt;&gt;0,U67/O67,0)</f>
        <v>12.52004006353533</v>
      </c>
      <c r="X67" s="447" t="s">
        <v>384</v>
      </c>
      <c r="Y67" s="277" t="str">
        <f>IF(O67=0,"-",IF(AND(((F67*(1-$Y$63))&lt;W67),(W67&lt;(G67*(1+$Y$63)))),"OK", "NOK"))</f>
        <v>OK</v>
      </c>
      <c r="Z67" s="274">
        <f>W67/$H$15</f>
        <v>62.600200317676645</v>
      </c>
      <c r="AA67" s="239">
        <f>IF(OR(Y67="OK",Y67="-"),1,0)</f>
        <v>1</v>
      </c>
      <c r="AB67" s="439"/>
    </row>
    <row r="68" spans="1:28" s="252" customFormat="1" ht="24" hidden="1" customHeight="1" outlineLevel="1" x14ac:dyDescent="0.25">
      <c r="A68" s="438"/>
      <c r="B68" s="2178"/>
      <c r="C68" s="2178"/>
      <c r="D68" s="2178"/>
      <c r="E68" s="849"/>
      <c r="F68" s="1613">
        <f>G67</f>
        <v>15</v>
      </c>
      <c r="G68" s="1618">
        <f t="shared" si="2"/>
        <v>25</v>
      </c>
      <c r="H68" s="1619">
        <f t="shared" si="2"/>
        <v>7.2499999999999995E-2</v>
      </c>
      <c r="I68" s="1449"/>
      <c r="J68" s="1620">
        <f>$L$32*(H65+(G67-F67)*H67+(G68-F68)*H68)*$B$64*$C$64</f>
        <v>112.16575906575932</v>
      </c>
      <c r="K68" s="1617">
        <f>$M$32*(H65+(G67-F67)*H67+(G68-F68)*H68)*$B$64*$C$64</f>
        <v>9.3471465888132759</v>
      </c>
      <c r="L68" s="1616">
        <f t="shared" si="3"/>
        <v>140.20719883219914</v>
      </c>
      <c r="M68" s="1617">
        <f t="shared" si="3"/>
        <v>11.683933236016594</v>
      </c>
      <c r="N68" s="438"/>
      <c r="O68" s="854">
        <v>2960</v>
      </c>
      <c r="P68" s="447"/>
      <c r="Q68" s="276">
        <f>O68*$Q$63*M68+O68*(1-$Q$63)*K68</f>
        <v>29396.776021817754</v>
      </c>
      <c r="R68" s="438"/>
      <c r="S68" s="858">
        <f>IF(AND(Q68&lt;&gt;0,O68&lt;&gt;0),Q68/(1+$D$17+$D$18+$D$19)/$H$15/O68/30/(($D$25*1000000/$D$8))*1000,0)</f>
        <v>4.4015040286000851</v>
      </c>
      <c r="T68" s="447" t="s">
        <v>382</v>
      </c>
      <c r="U68" s="838">
        <f>S68*O68*30*$D$11*(1+$D$24)/1000</f>
        <v>61484.77856656169</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178"/>
      <c r="C69" s="2178"/>
      <c r="D69" s="2178"/>
      <c r="E69" s="849"/>
      <c r="F69" s="1613">
        <f>G68</f>
        <v>25</v>
      </c>
      <c r="G69" s="1618">
        <f t="shared" si="2"/>
        <v>35</v>
      </c>
      <c r="H69" s="1619">
        <f t="shared" si="2"/>
        <v>6.5000000000000002E-2</v>
      </c>
      <c r="I69" s="1449"/>
      <c r="J69" s="1620">
        <f>$L$32*(H65+(G67-F67)*H67+(G68-F68)*H68+(G69-F69)*H69)*$B$64*$C$64</f>
        <v>152.11520750013935</v>
      </c>
      <c r="K69" s="1617">
        <f>$M$32*(H65+(G67-F67)*H67+(G68-F68)*H68+(G69-F69)*H69)*$B$64*$C$64</f>
        <v>12.676267291678279</v>
      </c>
      <c r="L69" s="1616">
        <f t="shared" si="3"/>
        <v>190.14400937517419</v>
      </c>
      <c r="M69" s="1617">
        <f t="shared" si="3"/>
        <v>15.845334114597849</v>
      </c>
      <c r="N69" s="438"/>
      <c r="O69" s="854">
        <v>693</v>
      </c>
      <c r="P69" s="447"/>
      <c r="Q69" s="276">
        <f>O69*$Q$63*M69+O69*(1-$Q$63)*K69</f>
        <v>9333.694060203863</v>
      </c>
      <c r="R69" s="438"/>
      <c r="S69" s="858">
        <f>IF(AND(Q69&lt;&gt;0,O69&lt;&gt;0),Q69/(1+$D$17+$D$18+$D$19)/$H$15/O69/30/(($D$25*1000000/$D$8))*1000,0)</f>
        <v>5.9691629976905256</v>
      </c>
      <c r="T69" s="447" t="s">
        <v>382</v>
      </c>
      <c r="U69" s="838">
        <f>S69*O69*30*$D$11*(1+$D$24)/1000</f>
        <v>19521.872469067461</v>
      </c>
      <c r="V69" s="447" t="s">
        <v>383</v>
      </c>
      <c r="W69" s="838">
        <f>IF(O69&lt;&gt;0,U69/O69,0)</f>
        <v>28.170090142954489</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178"/>
      <c r="C70" s="2178"/>
      <c r="D70" s="2178"/>
      <c r="E70" s="849"/>
      <c r="F70" s="1613">
        <f>G69</f>
        <v>35</v>
      </c>
      <c r="G70" s="1618">
        <f t="shared" si="2"/>
        <v>50</v>
      </c>
      <c r="H70" s="1619">
        <f t="shared" si="2"/>
        <v>0.06</v>
      </c>
      <c r="I70" s="1449"/>
      <c r="J70" s="1620">
        <f>$L$32*(H65+(G67-F67)*H67+(G68-F68)*H68+(G69-F69)*H69+(G70-F70)*H70)*$B$64*$C$64</f>
        <v>207.4298284092809</v>
      </c>
      <c r="K70" s="1617">
        <f>$M$32*(H65+(G67-F67)*H67+(G68-F68)*H68+(G69-F69)*H69+(G70-F70)*H70)*$B$64*$C$64</f>
        <v>17.285819034106741</v>
      </c>
      <c r="L70" s="1616">
        <f t="shared" si="3"/>
        <v>259.28728551160111</v>
      </c>
      <c r="M70" s="1617">
        <f t="shared" si="3"/>
        <v>21.607273792633425</v>
      </c>
      <c r="N70" s="438"/>
      <c r="O70" s="854">
        <v>287</v>
      </c>
      <c r="P70" s="447"/>
      <c r="Q70" s="276">
        <f>O70*$Q$63*M70+O70*(1-$Q$63)*K70</f>
        <v>5271.0944417129249</v>
      </c>
      <c r="R70" s="438"/>
      <c r="S70" s="858">
        <f>IF(AND(Q70&lt;&gt;0,O70&lt;&gt;0),Q70/(1+$D$17+$D$18+$D$19)/$H$15/O70/30/(($D$25*1000000/$D$8))*1000,0)</f>
        <v>8.1397677241234412</v>
      </c>
      <c r="T70" s="447" t="s">
        <v>382</v>
      </c>
      <c r="U70" s="838">
        <f>S70*O70*30*$D$11*(1+$D$24)/1000</f>
        <v>11024.748915038095</v>
      </c>
      <c r="V70" s="447" t="s">
        <v>383</v>
      </c>
      <c r="W70" s="838">
        <f>IF(O70&lt;&gt;0,U70/O70,0)</f>
        <v>38.413759285847021</v>
      </c>
      <c r="X70" s="447" t="s">
        <v>384</v>
      </c>
      <c r="Y70" s="277" t="str">
        <f>IF(O70=0,"-",IF(AND(((F70*(1-$Y$63))&lt;W70),(W70&lt;(G70*(1+$Y$63)))),"OK", "NOK"))</f>
        <v>OK</v>
      </c>
      <c r="Z70" s="274">
        <f>W70/$H$15</f>
        <v>192.06879642923511</v>
      </c>
      <c r="AA70" s="239">
        <f>IF(OR(Y70="OK",Y70="-"),1,0)</f>
        <v>1</v>
      </c>
      <c r="AB70" s="439"/>
    </row>
    <row r="71" spans="1:28" s="252" customFormat="1" ht="24" hidden="1" customHeight="1" outlineLevel="1" x14ac:dyDescent="0.25">
      <c r="A71" s="438"/>
      <c r="B71" s="2179"/>
      <c r="C71" s="2179"/>
      <c r="D71" s="2179"/>
      <c r="E71" s="849"/>
      <c r="F71" s="1613">
        <f>G70</f>
        <v>50</v>
      </c>
      <c r="G71" s="1618">
        <f t="shared" si="2"/>
        <v>100</v>
      </c>
      <c r="H71" s="1619">
        <f t="shared" si="2"/>
        <v>0.05</v>
      </c>
      <c r="I71" s="1449"/>
      <c r="J71" s="1620">
        <f>$L$32*(H65+(G67-F67)*H67+(G68-F68)*H68+(G69-F69)*H69+(G70-F70)*H70+(G71-F71)*H71)*$B$64*$C$64</f>
        <v>361.0815531568964</v>
      </c>
      <c r="K71" s="1617">
        <f>$M$32*(H65+(G67-F67)*H67+(G68-F68)*H68+(G69-F69)*H69+(G70-F70)*H70+(G71-F71)*H71)*$B$64*$C$64</f>
        <v>30.090129429741367</v>
      </c>
      <c r="L71" s="1616">
        <f t="shared" si="3"/>
        <v>451.35194144612052</v>
      </c>
      <c r="M71" s="1617">
        <f t="shared" si="3"/>
        <v>37.612661787176705</v>
      </c>
      <c r="N71" s="438"/>
      <c r="O71" s="854">
        <v>100</v>
      </c>
      <c r="P71" s="447"/>
      <c r="Q71" s="276">
        <f>O71*$Q$63*M71+O71*(1-$Q$63)*K71</f>
        <v>3197.0762519100199</v>
      </c>
      <c r="R71" s="438"/>
      <c r="S71" s="858">
        <f>IF(AND(Q71&lt;&gt;0,O71&lt;&gt;0),Q71/(1+$D$17+$D$18+$D$19)/$H$15/O71/30/(($D$25*1000000/$D$8))*1000,0)</f>
        <v>14.169225297548213</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68" t="s">
        <v>762</v>
      </c>
      <c r="C73" s="2169"/>
      <c r="D73" s="2169"/>
      <c r="E73" s="2169"/>
      <c r="F73" s="2169"/>
      <c r="G73" s="2169"/>
      <c r="H73" s="2169"/>
      <c r="I73" s="2169"/>
      <c r="J73" s="2169"/>
      <c r="K73" s="2169"/>
      <c r="L73" s="2169"/>
      <c r="M73" s="2169"/>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70" t="s">
        <v>369</v>
      </c>
      <c r="C74" s="2162"/>
      <c r="D74" s="2162"/>
      <c r="E74" s="2171"/>
      <c r="F74" s="2162"/>
      <c r="G74" s="2162"/>
      <c r="H74" s="2162"/>
      <c r="I74" s="2171"/>
      <c r="J74" s="2162"/>
      <c r="K74" s="2162"/>
      <c r="L74" s="2162"/>
      <c r="M74" s="2162"/>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70" t="s">
        <v>370</v>
      </c>
      <c r="C75" s="2170" t="s">
        <v>371</v>
      </c>
      <c r="D75" s="2173"/>
      <c r="E75" s="1448"/>
      <c r="F75" s="2161" t="s">
        <v>372</v>
      </c>
      <c r="G75" s="2162"/>
      <c r="H75" s="2163"/>
      <c r="I75" s="848"/>
      <c r="J75" s="2159" t="s">
        <v>970</v>
      </c>
      <c r="K75" s="2160"/>
      <c r="L75" s="2160"/>
      <c r="M75" s="2160"/>
      <c r="N75" s="438"/>
      <c r="O75" s="255">
        <f>O78+O80+O81+O82+O83+O84</f>
        <v>27440</v>
      </c>
      <c r="P75" s="447"/>
      <c r="Q75" s="856">
        <f>Q78+Q80+Q81+Q82+Q83+Q84</f>
        <v>1763461.8052516622</v>
      </c>
      <c r="R75" s="438"/>
      <c r="S75" s="2157">
        <f>IF(AND(Q75&lt;&gt;0,O75&lt;&gt;0),Q75/(1+$D$17+$D$18+$D$19)/(($D$25*1000000/$D$8)),0)</f>
        <v>4689.3259315859077</v>
      </c>
      <c r="T75" s="2194" t="s">
        <v>373</v>
      </c>
      <c r="U75" s="2157">
        <f>U78+U80+U81+U82+U83+U84</f>
        <v>737673.12800570857</v>
      </c>
      <c r="V75" s="447" t="s">
        <v>374</v>
      </c>
      <c r="W75" s="2157">
        <f>W78*O78+W80*O80+W81*O81+W82*O82+W83*O83+W84*O84</f>
        <v>737673.1280057088</v>
      </c>
      <c r="X75" s="447" t="s">
        <v>374</v>
      </c>
      <c r="Y75" s="833" t="s">
        <v>375</v>
      </c>
      <c r="Z75" s="144"/>
      <c r="AA75" s="144"/>
      <c r="AB75" s="453"/>
    </row>
    <row r="76" spans="1:28" s="252" customFormat="1" ht="24" hidden="1" customHeight="1" outlineLevel="1" x14ac:dyDescent="0.25">
      <c r="A76" s="439"/>
      <c r="B76" s="2172"/>
      <c r="C76" s="1558" t="s">
        <v>376</v>
      </c>
      <c r="D76" s="1559" t="s">
        <v>377</v>
      </c>
      <c r="E76" s="1449"/>
      <c r="F76" s="2164"/>
      <c r="G76" s="2162"/>
      <c r="H76" s="2163"/>
      <c r="I76" s="849"/>
      <c r="J76" s="2165" t="s">
        <v>378</v>
      </c>
      <c r="K76" s="2166"/>
      <c r="L76" s="2167" t="s">
        <v>379</v>
      </c>
      <c r="M76" s="2166"/>
      <c r="N76" s="438"/>
      <c r="O76" s="861" t="s">
        <v>380</v>
      </c>
      <c r="P76" s="447"/>
      <c r="Q76" s="857">
        <v>0.5</v>
      </c>
      <c r="R76" s="438"/>
      <c r="S76" s="2129"/>
      <c r="T76" s="2195"/>
      <c r="U76" s="2129"/>
      <c r="V76" s="447"/>
      <c r="W76" s="2126"/>
      <c r="X76" s="447"/>
      <c r="Y76" s="860">
        <f>$Y$33</f>
        <v>0.1</v>
      </c>
      <c r="Z76" s="144"/>
      <c r="AA76" s="144"/>
      <c r="AB76" s="453"/>
    </row>
    <row r="77" spans="1:28" s="252" customFormat="1" ht="24" hidden="1" customHeight="1" outlineLevel="1" x14ac:dyDescent="0.25">
      <c r="A77" s="439"/>
      <c r="B77" s="2180">
        <v>2</v>
      </c>
      <c r="C77" s="2180">
        <v>1</v>
      </c>
      <c r="D77" s="2183">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81"/>
      <c r="C78" s="2185"/>
      <c r="D78" s="2186"/>
      <c r="E78" s="849"/>
      <c r="F78" s="1613" t="s">
        <v>338</v>
      </c>
      <c r="G78" s="1614">
        <v>5</v>
      </c>
      <c r="H78" s="1615">
        <f>0.35-0.25</f>
        <v>9.9999999999999978E-2</v>
      </c>
      <c r="I78" s="1449"/>
      <c r="J78" s="1616">
        <f>$L$32*H78*$B$77*$C$77</f>
        <v>61.460689899046173</v>
      </c>
      <c r="K78" s="1617">
        <f>$M$32*H78*$B$77*$C$77</f>
        <v>5.1217241582538477</v>
      </c>
      <c r="L78" s="1616">
        <f>J78*$D$77</f>
        <v>76.825862373807723</v>
      </c>
      <c r="M78" s="1617">
        <f>K78*$D$77</f>
        <v>6.4021551978173097</v>
      </c>
      <c r="N78" s="438"/>
      <c r="O78" s="854">
        <v>7692</v>
      </c>
      <c r="P78" s="447"/>
      <c r="Q78" s="276">
        <f>O78*$Q$76*M78+O78*(1-$Q$76)*K78</f>
        <v>44320.840003449674</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81"/>
      <c r="C79" s="2185"/>
      <c r="D79" s="2186"/>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81"/>
      <c r="C80" s="2185"/>
      <c r="D80" s="2186"/>
      <c r="E80" s="849"/>
      <c r="F80" s="1613">
        <f>G78</f>
        <v>5</v>
      </c>
      <c r="G80" s="1614">
        <v>20</v>
      </c>
      <c r="H80" s="1615">
        <f>0.05</f>
        <v>0.05</v>
      </c>
      <c r="I80" s="1449"/>
      <c r="J80" s="1616">
        <f>$L$32*(H78+(G80-F80)*H80)*$B$77*$C$77</f>
        <v>522.4158641418926</v>
      </c>
      <c r="K80" s="1617">
        <f>$M$32*(H78+(G80-F80)*H80)*$B$77*$C$77</f>
        <v>43.534655345157717</v>
      </c>
      <c r="L80" s="1616">
        <f t="shared" ref="L80:M84" si="4">J80*$D$77</f>
        <v>653.01983017736575</v>
      </c>
      <c r="M80" s="1617">
        <f t="shared" si="4"/>
        <v>54.418319181447146</v>
      </c>
      <c r="N80" s="438"/>
      <c r="O80" s="854">
        <v>8500</v>
      </c>
      <c r="P80" s="447"/>
      <c r="Q80" s="276">
        <f>O80*$Q$76*M80+O80*(1-$Q$76)*K80</f>
        <v>416300.14173807064</v>
      </c>
      <c r="R80" s="438"/>
      <c r="S80" s="858">
        <f>IF(AND(Q80&lt;&gt;0,O80&lt;&gt;0),Q80/(1+$D$17+$D$18+$D$19)/O80/30/(($D$25*1000000/$D$8))*1000,0)</f>
        <v>4.3412094528658365</v>
      </c>
      <c r="T80" s="447" t="s">
        <v>382</v>
      </c>
      <c r="U80" s="838">
        <f>S80*O80*30*$D$11*(1+$D$24)/1000</f>
        <v>174142.3754291732</v>
      </c>
      <c r="V80" s="447" t="s">
        <v>383</v>
      </c>
      <c r="W80" s="838">
        <f>IF(O80&lt;&gt;0,U80/O80,0)</f>
        <v>20.487338285785082</v>
      </c>
      <c r="X80" s="447" t="s">
        <v>383</v>
      </c>
      <c r="Y80" s="277" t="str">
        <f>IF(O80=0,"-",IF(AND(((F80*(1-$Y$76))&lt;W80),(W80&lt;(G80*(1+$Y$76)))),"OK", "NOK"))</f>
        <v>OK</v>
      </c>
      <c r="Z80" s="144"/>
      <c r="AA80" s="239">
        <f>IF(OR(Y80="OK",Y80="-"),1,0)</f>
        <v>1</v>
      </c>
      <c r="AB80" s="453"/>
    </row>
    <row r="81" spans="1:28" s="252" customFormat="1" ht="24" hidden="1" customHeight="1" outlineLevel="1" x14ac:dyDescent="0.25">
      <c r="A81" s="438"/>
      <c r="B81" s="2181"/>
      <c r="C81" s="2185"/>
      <c r="D81" s="2186"/>
      <c r="E81" s="849"/>
      <c r="F81" s="1613">
        <f>G80</f>
        <v>20</v>
      </c>
      <c r="G81" s="1614">
        <v>30</v>
      </c>
      <c r="H81" s="1615">
        <f>0.045</f>
        <v>4.4999999999999998E-2</v>
      </c>
      <c r="I81" s="1449"/>
      <c r="J81" s="1616">
        <f>$L$32*(H78+(G80-F80)*H80+(G81-F81)*H81)*$B$77*$C$77</f>
        <v>798.98896868760039</v>
      </c>
      <c r="K81" s="1617">
        <f>$M$32*(H78+(G80-F80)*H80+(G81-F81)*H81)*$B$77*$C$77</f>
        <v>66.582414057300028</v>
      </c>
      <c r="L81" s="1616">
        <f t="shared" si="4"/>
        <v>998.73621085950049</v>
      </c>
      <c r="M81" s="1617">
        <f t="shared" si="4"/>
        <v>83.228017571625031</v>
      </c>
      <c r="N81" s="438"/>
      <c r="O81" s="854">
        <v>2573</v>
      </c>
      <c r="P81" s="447"/>
      <c r="Q81" s="276">
        <f>O81*$Q$76*M81+O81*(1-$Q$76)*K81</f>
        <v>192731.1202906121</v>
      </c>
      <c r="R81" s="438"/>
      <c r="S81" s="858">
        <f>IF(AND(Q81&lt;&gt;0,O81&lt;&gt;0),Q81/(1+$D$17+$D$18+$D$19)/O81/30/(($D$25*1000000/$D$8))*1000,0)</f>
        <v>6.6394968102653946</v>
      </c>
      <c r="T81" s="447" t="s">
        <v>382</v>
      </c>
      <c r="U81" s="838">
        <f>S81*O81*30*$D$11*(1+$D$24)/1000</f>
        <v>80621.291567202934</v>
      </c>
      <c r="V81" s="447" t="s">
        <v>383</v>
      </c>
      <c r="W81" s="838">
        <f>IF(O81&lt;&gt;0,U81/O81,0)</f>
        <v>31.333576201788937</v>
      </c>
      <c r="X81" s="447" t="s">
        <v>383</v>
      </c>
      <c r="Y81" s="277" t="str">
        <f>IF(O81=0,"-",IF(AND(((F81*(1-$Y$76))&lt;W81),(W81&lt;(G81*(1+$Y$76)))),"OK", "NOK"))</f>
        <v>OK</v>
      </c>
      <c r="Z81" s="144"/>
      <c r="AA81" s="239">
        <f>IF(OR(Y81="OK",Y81="-"),1,0)</f>
        <v>1</v>
      </c>
      <c r="AB81" s="453"/>
    </row>
    <row r="82" spans="1:28" s="252" customFormat="1" ht="24" hidden="1" customHeight="1" outlineLevel="1" x14ac:dyDescent="0.25">
      <c r="A82" s="438"/>
      <c r="B82" s="2181"/>
      <c r="C82" s="2185"/>
      <c r="D82" s="2186"/>
      <c r="E82" s="849"/>
      <c r="F82" s="1613">
        <f>G81</f>
        <v>30</v>
      </c>
      <c r="G82" s="1614">
        <v>40</v>
      </c>
      <c r="H82" s="1615">
        <f>0.04</f>
        <v>0.04</v>
      </c>
      <c r="I82" s="1449"/>
      <c r="J82" s="1616">
        <f>$L$32*(H78+(G80-F80)*H80+(G81-F81)*H81+(G82-F82)*H82)*$B$77*$C$77</f>
        <v>1044.831728283785</v>
      </c>
      <c r="K82" s="1617">
        <f>$M$32*(H78+(G80-F80)*H80+(G81-F81)*H81+(G82-F82)*H82)*$B$77*$C$77</f>
        <v>87.069310690315419</v>
      </c>
      <c r="L82" s="1616">
        <f t="shared" si="4"/>
        <v>1306.0396603547313</v>
      </c>
      <c r="M82" s="1617">
        <f t="shared" si="4"/>
        <v>108.83663836289428</v>
      </c>
      <c r="N82" s="438"/>
      <c r="O82" s="854">
        <v>4825</v>
      </c>
      <c r="P82" s="447"/>
      <c r="Q82" s="276">
        <f>O82*$Q$76*M82+O82*(1-$Q$76)*K82</f>
        <v>472623.1020908684</v>
      </c>
      <c r="R82" s="438"/>
      <c r="S82" s="858">
        <f>IF(AND(Q82&lt;&gt;0,O82&lt;&gt;0),Q82/(1+$D$17+$D$18+$D$19)/O82/30/(($D$25*1000000/$D$8))*1000,0)</f>
        <v>8.6824189057316712</v>
      </c>
      <c r="T82" s="447" t="s">
        <v>382</v>
      </c>
      <c r="U82" s="838">
        <f>S82*O82*30*$D$11*(1+$D$24)/1000</f>
        <v>197702.81445782603</v>
      </c>
      <c r="V82" s="447" t="s">
        <v>383</v>
      </c>
      <c r="W82" s="838">
        <f>IF(O82&lt;&gt;0,U82/O82,0)</f>
        <v>40.974676571570164</v>
      </c>
      <c r="X82" s="447" t="s">
        <v>383</v>
      </c>
      <c r="Y82" s="277" t="str">
        <f>IF(O82=0,"-",IF(AND(((F82*(1-$Y$76))&lt;W82),(W82&lt;(G82*(1+$Y$76)))),"OK", "NOK"))</f>
        <v>OK</v>
      </c>
      <c r="Z82" s="144"/>
      <c r="AA82" s="239">
        <f>IF(OR(Y82="OK",Y82="-"),1,0)</f>
        <v>1</v>
      </c>
      <c r="AB82" s="453"/>
    </row>
    <row r="83" spans="1:28" s="252" customFormat="1" ht="24" hidden="1" customHeight="1" outlineLevel="1" x14ac:dyDescent="0.25">
      <c r="A83" s="438"/>
      <c r="B83" s="2181"/>
      <c r="C83" s="2185"/>
      <c r="D83" s="2186"/>
      <c r="E83" s="849"/>
      <c r="F83" s="1613">
        <f>G82</f>
        <v>40</v>
      </c>
      <c r="G83" s="1614">
        <v>55</v>
      </c>
      <c r="H83" s="1615">
        <f>0.035</f>
        <v>3.5000000000000003E-2</v>
      </c>
      <c r="I83" s="1449"/>
      <c r="J83" s="1616">
        <f>$L$32*(H78+(G80-F80)*H80+(G81-F81)*H81+(G82-F82)*H82+(G83-F83)*H83)*$B$77*$C$77</f>
        <v>1367.5003502537775</v>
      </c>
      <c r="K83" s="1617">
        <f>$M$32*(H78+(G80-F80)*H80+(G81-F81)*H81+(G82-F82)*H82+(G83-F83)*H83)*$B$77*$C$77</f>
        <v>113.95836252114813</v>
      </c>
      <c r="L83" s="1616">
        <f t="shared" si="4"/>
        <v>1709.3754378172218</v>
      </c>
      <c r="M83" s="1617">
        <f t="shared" si="4"/>
        <v>142.44795315143517</v>
      </c>
      <c r="N83" s="438"/>
      <c r="O83" s="854">
        <v>2000</v>
      </c>
      <c r="P83" s="447"/>
      <c r="Q83" s="276">
        <f>O83*$Q$76*M83+O83*(1-$Q$76)*K83</f>
        <v>256406.3156725833</v>
      </c>
      <c r="R83" s="438"/>
      <c r="S83" s="858">
        <f>IF(AND(Q83&lt;&gt;0,O83&lt;&gt;0),Q83/(1+$D$17+$D$18+$D$19)/O83/30/(($D$25*1000000/$D$8))*1000,0)</f>
        <v>11.363754156031156</v>
      </c>
      <c r="T83" s="447" t="s">
        <v>382</v>
      </c>
      <c r="U83" s="838">
        <f>S83*O83*30*$D$11*(1+$D$24)/1000</f>
        <v>107257.24161381599</v>
      </c>
      <c r="V83" s="495" t="s">
        <v>383</v>
      </c>
      <c r="W83" s="838">
        <f>IF(O83&lt;&gt;0,U83/O83,0)</f>
        <v>53.628620806907996</v>
      </c>
      <c r="X83" s="447" t="s">
        <v>383</v>
      </c>
      <c r="Y83" s="277" t="str">
        <f>IF(O83=0,"-",IF(AND(((F83*(1-$Y$76))&lt;W83),(W83&lt;(G83*(1+$Y$76)))),"OK", "NOK"))</f>
        <v>OK</v>
      </c>
      <c r="Z83" s="144"/>
      <c r="AA83" s="239">
        <f>IF(OR(Y83="OK",Y83="-"),1,0)</f>
        <v>1</v>
      </c>
      <c r="AB83" s="453"/>
    </row>
    <row r="84" spans="1:28" s="252" customFormat="1" ht="24" hidden="1" customHeight="1" outlineLevel="1" x14ac:dyDescent="0.25">
      <c r="A84" s="438"/>
      <c r="B84" s="2181"/>
      <c r="C84" s="2185"/>
      <c r="D84" s="2186"/>
      <c r="E84" s="849"/>
      <c r="F84" s="1613">
        <f>G83</f>
        <v>55</v>
      </c>
      <c r="G84" s="1614">
        <v>100</v>
      </c>
      <c r="H84" s="1615">
        <f>0.03</f>
        <v>0.03</v>
      </c>
      <c r="I84" s="1449"/>
      <c r="J84" s="1616">
        <f>$L$32*(H78+(G80-F80)*H80+(G81-F81)*H81+(G82-F82)*H82+(G83-F83)*H83+(G84-F84)*H84)*$B$77*$C$77</f>
        <v>2197.2196638909008</v>
      </c>
      <c r="K84" s="1617">
        <f>$M$32*(H78+(G80-F80)*H80+(G81-F81)*H81+(G82-F82)*H82+(G83-F83)*H83+(G84-F84)*H84)*$B$77*$C$77</f>
        <v>183.10163865757508</v>
      </c>
      <c r="L84" s="1616">
        <f t="shared" si="4"/>
        <v>2746.5245798636261</v>
      </c>
      <c r="M84" s="1617">
        <f t="shared" si="4"/>
        <v>228.87704832196886</v>
      </c>
      <c r="N84" s="438"/>
      <c r="O84" s="854">
        <v>1850</v>
      </c>
      <c r="P84" s="447"/>
      <c r="Q84" s="276">
        <f>O84*$Q$76*M84+O84*(1-$Q$76)*K84</f>
        <v>381080.28545607813</v>
      </c>
      <c r="R84" s="438"/>
      <c r="S84" s="858">
        <f>IF(AND(Q84&lt;&gt;0,O84&lt;&gt;0),Q84/(1+$D$17+$D$18+$D$19)/O84/30/(($D$25*1000000/$D$8))*1000,0)</f>
        <v>18.258616228229837</v>
      </c>
      <c r="T84" s="447" t="s">
        <v>382</v>
      </c>
      <c r="U84" s="838">
        <f>S84*O84*30*$D$11*(1+$D$24)/1000</f>
        <v>159409.56892660126</v>
      </c>
      <c r="V84" s="447" t="s">
        <v>383</v>
      </c>
      <c r="W84" s="838">
        <f>IF(O84&lt;&gt;0,U84/O84,0)</f>
        <v>86.167334554919606</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68" t="s">
        <v>387</v>
      </c>
      <c r="C86" s="2169"/>
      <c r="D86" s="2169"/>
      <c r="E86" s="2169"/>
      <c r="F86" s="2169"/>
      <c r="G86" s="2169"/>
      <c r="H86" s="2169"/>
      <c r="I86" s="2169"/>
      <c r="J86" s="2169"/>
      <c r="K86" s="2169"/>
      <c r="L86" s="2169"/>
      <c r="M86" s="2169"/>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70" t="s">
        <v>369</v>
      </c>
      <c r="C87" s="2162"/>
      <c r="D87" s="2162"/>
      <c r="E87" s="2171"/>
      <c r="F87" s="2162"/>
      <c r="G87" s="2162"/>
      <c r="H87" s="2162"/>
      <c r="I87" s="2171"/>
      <c r="J87" s="2162"/>
      <c r="K87" s="2162"/>
      <c r="L87" s="2162"/>
      <c r="M87" s="2162"/>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70" t="s">
        <v>370</v>
      </c>
      <c r="C88" s="2170" t="s">
        <v>371</v>
      </c>
      <c r="D88" s="2173"/>
      <c r="E88" s="1448"/>
      <c r="F88" s="2161" t="s">
        <v>372</v>
      </c>
      <c r="G88" s="2162"/>
      <c r="H88" s="2163"/>
      <c r="I88" s="848"/>
      <c r="J88" s="2159" t="s">
        <v>970</v>
      </c>
      <c r="K88" s="2160"/>
      <c r="L88" s="2160"/>
      <c r="M88" s="2160"/>
      <c r="N88" s="438"/>
      <c r="O88" s="277">
        <f>O91+O93+O94+O95+O96</f>
        <v>5</v>
      </c>
      <c r="P88" s="447"/>
      <c r="Q88" s="856">
        <f>Q91+Q93+Q94+Q95+Q96</f>
        <v>1492.9825921309969</v>
      </c>
      <c r="R88" s="438"/>
      <c r="S88" s="2157">
        <f>IF(AND(Q88&lt;&gt;0,O88&lt;&gt;0),Q88/(1+$D$17+$D$18+$D$19)/(($D$25*1000000/$D$8)),0)</f>
        <v>3.9700786055227955</v>
      </c>
      <c r="T88" s="2194" t="s">
        <v>373</v>
      </c>
      <c r="U88" s="2157">
        <f>U91+U93+U94+U95+U96+Z97</f>
        <v>624.52905728693872</v>
      </c>
      <c r="V88" s="438" t="s">
        <v>374</v>
      </c>
      <c r="W88" s="2157">
        <f>W91*O91+W93*O93+W94*O94+W95*O95+W96*O96</f>
        <v>624.52905728693872</v>
      </c>
      <c r="X88" s="447" t="s">
        <v>374</v>
      </c>
      <c r="Y88" s="833" t="s">
        <v>375</v>
      </c>
      <c r="Z88" s="144"/>
      <c r="AA88" s="144"/>
      <c r="AB88" s="453"/>
    </row>
    <row r="89" spans="1:28" s="252" customFormat="1" ht="24" hidden="1" customHeight="1" outlineLevel="1" x14ac:dyDescent="0.25">
      <c r="A89" s="438"/>
      <c r="B89" s="2172"/>
      <c r="C89" s="1558" t="s">
        <v>376</v>
      </c>
      <c r="D89" s="1559" t="s">
        <v>377</v>
      </c>
      <c r="E89" s="1449"/>
      <c r="F89" s="2164"/>
      <c r="G89" s="2162"/>
      <c r="H89" s="2163"/>
      <c r="I89" s="849"/>
      <c r="J89" s="2165" t="s">
        <v>378</v>
      </c>
      <c r="K89" s="2166"/>
      <c r="L89" s="2167" t="s">
        <v>379</v>
      </c>
      <c r="M89" s="2166"/>
      <c r="N89" s="438"/>
      <c r="O89" s="861" t="s">
        <v>380</v>
      </c>
      <c r="P89" s="447"/>
      <c r="Q89" s="857">
        <v>0.25</v>
      </c>
      <c r="R89" s="438"/>
      <c r="S89" s="2129"/>
      <c r="T89" s="2195"/>
      <c r="U89" s="2129"/>
      <c r="V89" s="438"/>
      <c r="W89" s="2126"/>
      <c r="X89" s="447"/>
      <c r="Y89" s="860">
        <f>$Y$33</f>
        <v>0.1</v>
      </c>
      <c r="Z89" s="144"/>
      <c r="AA89" s="144"/>
      <c r="AB89" s="453"/>
    </row>
    <row r="90" spans="1:28" s="252" customFormat="1" ht="24" hidden="1" customHeight="1" outlineLevel="1" x14ac:dyDescent="0.25">
      <c r="A90" s="438"/>
      <c r="B90" s="2180">
        <v>2</v>
      </c>
      <c r="C90" s="2180">
        <v>1</v>
      </c>
      <c r="D90" s="2183">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81"/>
      <c r="C91" s="2182"/>
      <c r="D91" s="2184"/>
      <c r="E91" s="849"/>
      <c r="F91" s="1613" t="s">
        <v>338</v>
      </c>
      <c r="G91" s="1614">
        <v>5</v>
      </c>
      <c r="H91" s="1615">
        <v>0.35</v>
      </c>
      <c r="I91" s="1449"/>
      <c r="J91" s="1616">
        <f>$L$32*H91*$B$90*$C$90</f>
        <v>215.11241464666165</v>
      </c>
      <c r="K91" s="1617">
        <f>$M$32*H91*$B$90*$C$90</f>
        <v>17.926034553888471</v>
      </c>
      <c r="L91" s="1616">
        <f>J91*$D$90</f>
        <v>258.13489757599399</v>
      </c>
      <c r="M91" s="1617">
        <f>K91*$D$90</f>
        <v>21.511241464666163</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81"/>
      <c r="C92" s="2182"/>
      <c r="D92" s="2184"/>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81"/>
      <c r="C93" s="2182"/>
      <c r="D93" s="2184"/>
      <c r="E93" s="849"/>
      <c r="F93" s="1613">
        <f>G91</f>
        <v>5</v>
      </c>
      <c r="G93" s="1614">
        <v>30</v>
      </c>
      <c r="H93" s="1615">
        <v>0.05</v>
      </c>
      <c r="I93" s="1449"/>
      <c r="J93" s="1616">
        <f>$L$32*(H91+(G93-F93)*H93)*$B$90*$C$90</f>
        <v>983.37103838473911</v>
      </c>
      <c r="K93" s="1617">
        <f>$M$32*(H91+(G93-F93)*H93)*$B$90*$C$90</f>
        <v>81.947586532061592</v>
      </c>
      <c r="L93" s="1616">
        <f t="shared" ref="L93:M96" si="5">J93*$D$90</f>
        <v>1180.0452460616868</v>
      </c>
      <c r="M93" s="1617">
        <f t="shared" si="5"/>
        <v>98.337103838473908</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81"/>
      <c r="C94" s="2182"/>
      <c r="D94" s="2184"/>
      <c r="E94" s="849"/>
      <c r="F94" s="1613">
        <f>G93</f>
        <v>30</v>
      </c>
      <c r="G94" s="1614">
        <v>100</v>
      </c>
      <c r="H94" s="1615">
        <v>0.03</v>
      </c>
      <c r="I94" s="1449"/>
      <c r="J94" s="1616">
        <f>$L$32*(H91+(G93-F93)*H93+(G94-F94)*H94)*$B$90*$C$90</f>
        <v>2274.0455262647092</v>
      </c>
      <c r="K94" s="1617">
        <f>$M$32*(H91+(G93-F93)*H93+(G94-F94)*H94)*$B$90*$C$90</f>
        <v>189.50379385539242</v>
      </c>
      <c r="L94" s="1616">
        <f t="shared" si="5"/>
        <v>2728.8546315176509</v>
      </c>
      <c r="M94" s="1617">
        <f t="shared" si="5"/>
        <v>227.40455262647089</v>
      </c>
      <c r="N94" s="438"/>
      <c r="O94" s="854">
        <v>4</v>
      </c>
      <c r="P94" s="447"/>
      <c r="Q94" s="276">
        <f>O94*$Q$76*M94+O94*(1-$Q$76)*K94</f>
        <v>833.81669296372661</v>
      </c>
      <c r="R94" s="438"/>
      <c r="S94" s="858">
        <f>IF(AND(Q94&lt;&gt;0,O94&lt;&gt;0),Q94/(1+$D$17+$D$18+$D$19)/O94/30/(($D$25*1000000/$D$8))*1000,0)</f>
        <v>18.477095396772761</v>
      </c>
      <c r="T94" s="447" t="s">
        <v>382</v>
      </c>
      <c r="U94" s="838">
        <f>S94*O94*30*$D$11*(1+$D$24)/1000</f>
        <v>348.79358671119593</v>
      </c>
      <c r="V94" s="438" t="s">
        <v>383</v>
      </c>
      <c r="W94" s="838">
        <f>IF(O94&lt;&gt;0,U94/O94,0)</f>
        <v>87.198396677798982</v>
      </c>
      <c r="X94" s="447" t="s">
        <v>383</v>
      </c>
      <c r="Y94" s="255" t="str">
        <f>IF(O94=0,"-",IF(AND(((F94*(1-$Y$89))&lt;W94),(W94&lt;(G94*(1+$Y$89)))),"OK", "NOK"))</f>
        <v>OK</v>
      </c>
      <c r="Z94" s="144"/>
      <c r="AA94" s="239">
        <f>IF(OR(Y94="OK",Y94="-"),1,0)</f>
        <v>1</v>
      </c>
      <c r="AB94" s="453"/>
    </row>
    <row r="95" spans="1:28" s="252" customFormat="1" ht="24" hidden="1" customHeight="1" outlineLevel="1" x14ac:dyDescent="0.25">
      <c r="A95" s="438"/>
      <c r="B95" s="2181"/>
      <c r="C95" s="2182"/>
      <c r="D95" s="2184"/>
      <c r="E95" s="849"/>
      <c r="F95" s="1613">
        <f>G94</f>
        <v>100</v>
      </c>
      <c r="G95" s="1614">
        <v>500</v>
      </c>
      <c r="H95" s="1615">
        <v>0.02</v>
      </c>
      <c r="I95" s="1449"/>
      <c r="J95" s="1616">
        <f>$L$32*(H91+(G93-F93)*H93+(G94-F94)*H94+(G95-F95)*H95)*$B$90*$C$90</f>
        <v>7190.9007181884035</v>
      </c>
      <c r="K95" s="1617">
        <f>$M$32*(H91+(G93-F93)*H93+(G94-F94)*H94+(G95-F95)*H95)*$B$90*$C$90</f>
        <v>599.24172651570029</v>
      </c>
      <c r="L95" s="1616">
        <f t="shared" si="5"/>
        <v>8629.0808618260835</v>
      </c>
      <c r="M95" s="1617">
        <f t="shared" si="5"/>
        <v>719.09007181884033</v>
      </c>
      <c r="N95" s="438"/>
      <c r="O95" s="854">
        <v>1</v>
      </c>
      <c r="P95" s="447"/>
      <c r="Q95" s="276">
        <f>O95*$Q$76*M95+O95*(1-$Q$76)*K95</f>
        <v>659.16589916727025</v>
      </c>
      <c r="R95" s="438"/>
      <c r="S95" s="858">
        <f>IF(AND(Q95&lt;&gt;0,O95&lt;&gt;0),Q95/(1+$D$17+$D$18+$D$19)/O95/30/(($D$25*1000000/$D$8))*1000,0)</f>
        <v>58.427571930335482</v>
      </c>
      <c r="T95" s="447" t="s">
        <v>382</v>
      </c>
      <c r="U95" s="838">
        <f>S95*O95*30*$D$11*(1+$D$24)/1000</f>
        <v>275.73547057574274</v>
      </c>
      <c r="V95" s="438" t="s">
        <v>383</v>
      </c>
      <c r="W95" s="838">
        <f>IF(O95&lt;&gt;0,U95/O95,0)</f>
        <v>275.73547057574274</v>
      </c>
      <c r="X95" s="447" t="s">
        <v>383</v>
      </c>
      <c r="Y95" s="255" t="str">
        <f>IF(O95=0,"-",IF(AND(((F95*(1-$Y$89))&lt;W95),(W95&lt;(G95*(1+$Y$89)))),"OK", "NOK"))</f>
        <v>OK</v>
      </c>
      <c r="Z95" s="144"/>
      <c r="AA95" s="239">
        <f>IF(OR(Y95="OK",Y95="-"),1,0)</f>
        <v>1</v>
      </c>
      <c r="AB95" s="453"/>
    </row>
    <row r="96" spans="1:28" s="252" customFormat="1" ht="24" hidden="1" customHeight="1" outlineLevel="1" x14ac:dyDescent="0.25">
      <c r="A96" s="438"/>
      <c r="B96" s="2181"/>
      <c r="C96" s="2182"/>
      <c r="D96" s="2184"/>
      <c r="E96" s="849"/>
      <c r="F96" s="1613">
        <f>G95</f>
        <v>500</v>
      </c>
      <c r="G96" s="1614">
        <v>1000</v>
      </c>
      <c r="H96" s="1615">
        <v>0.01</v>
      </c>
      <c r="I96" s="1449"/>
      <c r="J96" s="1616">
        <f>$L$32*(H91+(G93-F93)*H93+(G94-F94)*H94+(G95-F95)*H95+(G96-F96)*H96)*$B$90*$C$90</f>
        <v>10263.935213140714</v>
      </c>
      <c r="K96" s="1617">
        <f>$M$32*(H91+(G93-F93)*H93+(G94-F94)*H94+(G95-F95)*H95+(G96-F96)*H96)*$B$90*$C$90</f>
        <v>855.32793442839272</v>
      </c>
      <c r="L96" s="1616">
        <f t="shared" si="5"/>
        <v>12316.722255768856</v>
      </c>
      <c r="M96" s="1617">
        <f t="shared" si="5"/>
        <v>1026.3935213140712</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9" t="s">
        <v>869</v>
      </c>
      <c r="C2" s="2229"/>
      <c r="D2" s="2229"/>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9"/>
      <c r="C3" s="2229"/>
      <c r="D3" s="2229"/>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9"/>
      <c r="C4" s="2229"/>
      <c r="D4" s="2229"/>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6" t="s">
        <v>389</v>
      </c>
      <c r="G6" s="2227"/>
      <c r="H6" s="2228"/>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-1.7141843500212417E-13</v>
      </c>
      <c r="H8" s="1854">
        <f>SUMIF(C33:BC33,1,C178:BC178)</f>
        <v>1.6697754290362354E-13</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-9.74E-2</v>
      </c>
      <c r="H10" s="1857">
        <f>H9-C28</f>
        <v>0.35206128362463501</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311.76528420469043</v>
      </c>
      <c r="H11" s="1859">
        <f>SUMIF(C33:BC33,1,C63:BC63)</f>
        <v>311.76528420469043</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-5.4983169610885503E-16</v>
      </c>
      <c r="H12" s="1857">
        <f>H8/H11</f>
        <v>5.355873516500764E-16</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35.000000000000021</v>
      </c>
      <c r="H13" s="1862">
        <f>IF(H8&lt;0,SUM(C183:BC183),SUM(C183:BC183))</f>
        <v>34.999999999999979</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0.99999999999999944</v>
      </c>
      <c r="H14" s="1865">
        <f>(SUMIF(C33:BC33,1,C178:BC178)+SUMIF(C33:BC33,1,C63:BC63))/SUMIF(C33:BC33,1,C63:BC63)</f>
        <v>1.0000000000000004</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0"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1"/>
      <c r="G17" s="2244" t="s">
        <v>873</v>
      </c>
      <c r="H17" s="2246"/>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1"/>
      <c r="G18" s="2245"/>
      <c r="H18" s="2247"/>
      <c r="I18" s="1831"/>
      <c r="J18" s="1404"/>
      <c r="K18" s="283"/>
      <c r="L18" s="283"/>
      <c r="M18" s="283"/>
      <c r="N18" s="283"/>
      <c r="O18" s="283"/>
      <c r="P18" s="283"/>
      <c r="Q18" s="283"/>
      <c r="R18" s="283"/>
      <c r="S18" s="285"/>
    </row>
    <row r="19" spans="1:58" s="197" customFormat="1" ht="2.65" customHeight="1" outlineLevel="1" x14ac:dyDescent="0.25">
      <c r="B19" s="1414"/>
      <c r="C19" s="1843"/>
      <c r="D19" s="1822"/>
      <c r="F19" s="2241"/>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41"/>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1"/>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1"/>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2"/>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3" t="s">
        <v>1102</v>
      </c>
      <c r="G26" s="2235"/>
      <c r="H26" s="1405">
        <f>'R&amp;C-Painel de Controle'!D33</f>
        <v>292.94394556662456</v>
      </c>
      <c r="I26" s="1535" t="s">
        <v>295</v>
      </c>
      <c r="J26" s="1534"/>
      <c r="K26" s="2234" t="s">
        <v>653</v>
      </c>
      <c r="L26" s="2235"/>
      <c r="M26" s="1406">
        <f>G8</f>
        <v>-1.7141843500212417E-13</v>
      </c>
      <c r="N26" s="1535" t="s">
        <v>304</v>
      </c>
      <c r="O26" s="2224" t="s">
        <v>654</v>
      </c>
      <c r="P26" s="2224"/>
      <c r="Q26" s="2225"/>
      <c r="R26" s="1407">
        <f>G14</f>
        <v>0.99999999999999944</v>
      </c>
      <c r="S26" s="1537" t="s">
        <v>195</v>
      </c>
      <c r="T26" s="283"/>
    </row>
    <row r="27" spans="1:58" s="197" customFormat="1" ht="19.899999999999999" customHeight="1" outlineLevel="1" thickTop="1" x14ac:dyDescent="0.25">
      <c r="B27" s="1814" t="s">
        <v>401</v>
      </c>
      <c r="C27" s="1850" t="s">
        <v>289</v>
      </c>
      <c r="D27" s="1870" t="s">
        <v>289</v>
      </c>
      <c r="F27" s="2239" t="s">
        <v>655</v>
      </c>
      <c r="G27" s="2237"/>
      <c r="H27" s="874">
        <f>'R&amp;C-Painel de Controle'!D32</f>
        <v>35</v>
      </c>
      <c r="I27" s="1536" t="s">
        <v>388</v>
      </c>
      <c r="J27" s="1414"/>
      <c r="K27" s="2236" t="s">
        <v>656</v>
      </c>
      <c r="L27" s="2237"/>
      <c r="M27" s="875">
        <f>G9</f>
        <v>0</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0" t="s">
        <v>657</v>
      </c>
      <c r="G28" s="2231"/>
      <c r="H28" s="1876">
        <f>H26*('R&amp;C-Painel de Controle'!D7*30/'R&amp;C-Painel de Controle'!D6)</f>
        <v>9.9915264512672088</v>
      </c>
      <c r="I28" s="1877" t="s">
        <v>299</v>
      </c>
      <c r="J28" s="1414"/>
      <c r="K28" s="2238" t="s">
        <v>658</v>
      </c>
      <c r="L28" s="2231"/>
      <c r="M28" s="1878">
        <f>G13</f>
        <v>35.000000000000021</v>
      </c>
      <c r="N28" s="1536" t="s">
        <v>388</v>
      </c>
      <c r="O28" s="1414"/>
      <c r="P28" s="1414"/>
      <c r="Q28" s="1414"/>
      <c r="R28" s="1414"/>
      <c r="S28" s="1539"/>
      <c r="T28" s="283"/>
    </row>
    <row r="29" spans="1:58" s="197" customFormat="1" ht="18" customHeight="1" outlineLevel="1" thickTop="1" thickBot="1" x14ac:dyDescent="0.3">
      <c r="B29" s="305"/>
      <c r="F29" s="2232" t="s">
        <v>1103</v>
      </c>
      <c r="G29" s="2233"/>
      <c r="H29" s="1879">
        <f>'R&amp;C-Painel de Controle'!H33</f>
        <v>318.85362727861343</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146467.94871794875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147156.34807692311</v>
      </c>
      <c r="G42" s="314">
        <f t="shared" si="10"/>
        <v>147156.34807692311</v>
      </c>
      <c r="H42" s="314">
        <f t="shared" si="10"/>
        <v>147156.34807692311</v>
      </c>
      <c r="I42" s="314">
        <f t="shared" si="10"/>
        <v>147156.34807692311</v>
      </c>
      <c r="J42" s="314">
        <f t="shared" si="10"/>
        <v>147156.34807692311</v>
      </c>
      <c r="K42" s="314">
        <f t="shared" si="10"/>
        <v>147156.34807692311</v>
      </c>
      <c r="L42" s="314">
        <f t="shared" si="10"/>
        <v>147156.34807692311</v>
      </c>
      <c r="M42" s="314">
        <f t="shared" si="10"/>
        <v>147156.34807692311</v>
      </c>
      <c r="N42" s="314">
        <f t="shared" si="10"/>
        <v>147156.34807692311</v>
      </c>
      <c r="O42" s="314">
        <f t="shared" si="10"/>
        <v>147156.34807692311</v>
      </c>
      <c r="P42" s="314">
        <f t="shared" si="10"/>
        <v>147156.34807692311</v>
      </c>
      <c r="Q42" s="314">
        <f t="shared" si="10"/>
        <v>147156.34807692311</v>
      </c>
      <c r="R42" s="314">
        <f t="shared" ref="R42:BC42" si="11">Q42*(1+$C$8)</f>
        <v>147847.98291288465</v>
      </c>
      <c r="S42" s="314">
        <f t="shared" si="11"/>
        <v>148542.8684325752</v>
      </c>
      <c r="T42" s="314">
        <f t="shared" si="11"/>
        <v>149241.0199142083</v>
      </c>
      <c r="U42" s="314">
        <f t="shared" si="11"/>
        <v>149942.45270780506</v>
      </c>
      <c r="V42" s="314">
        <f t="shared" si="11"/>
        <v>150647.18223553174</v>
      </c>
      <c r="W42" s="314">
        <f t="shared" si="11"/>
        <v>151355.22399203872</v>
      </c>
      <c r="X42" s="314">
        <f t="shared" si="11"/>
        <v>152066.59354480129</v>
      </c>
      <c r="Y42" s="314">
        <f t="shared" si="11"/>
        <v>152781.30653446185</v>
      </c>
      <c r="Z42" s="314">
        <f t="shared" si="11"/>
        <v>153499.37867517382</v>
      </c>
      <c r="AA42" s="314">
        <f t="shared" si="11"/>
        <v>154220.82575494712</v>
      </c>
      <c r="AB42" s="314">
        <f t="shared" si="11"/>
        <v>154945.66363599536</v>
      </c>
      <c r="AC42" s="314">
        <f t="shared" si="11"/>
        <v>155673.90825508453</v>
      </c>
      <c r="AD42" s="314">
        <f t="shared" si="11"/>
        <v>156405.57562388343</v>
      </c>
      <c r="AE42" s="314">
        <f t="shared" si="11"/>
        <v>157140.68182931567</v>
      </c>
      <c r="AF42" s="314">
        <f t="shared" si="11"/>
        <v>157879.24303391343</v>
      </c>
      <c r="AG42" s="314">
        <f t="shared" si="11"/>
        <v>158621.2754761728</v>
      </c>
      <c r="AH42" s="314">
        <f t="shared" si="11"/>
        <v>159366.79547091079</v>
      </c>
      <c r="AI42" s="314">
        <f t="shared" si="11"/>
        <v>160115.81940962406</v>
      </c>
      <c r="AJ42" s="314">
        <f t="shared" si="11"/>
        <v>160868.36376084929</v>
      </c>
      <c r="AK42" s="314">
        <f t="shared" si="11"/>
        <v>161624.44507052525</v>
      </c>
      <c r="AL42" s="314">
        <f t="shared" si="11"/>
        <v>162384.07996235671</v>
      </c>
      <c r="AM42" s="314">
        <f t="shared" si="11"/>
        <v>163147.28513817978</v>
      </c>
      <c r="AN42" s="314">
        <f t="shared" si="11"/>
        <v>163914.07737832921</v>
      </c>
      <c r="AO42" s="314">
        <f t="shared" si="11"/>
        <v>164684.47354200736</v>
      </c>
      <c r="AP42" s="314">
        <f t="shared" si="11"/>
        <v>165458.49056765478</v>
      </c>
      <c r="AQ42" s="314">
        <f t="shared" si="11"/>
        <v>166236.14547332274</v>
      </c>
      <c r="AR42" s="314">
        <f t="shared" si="11"/>
        <v>167017.45535704735</v>
      </c>
      <c r="AS42" s="314">
        <f t="shared" si="11"/>
        <v>167802.43739722547</v>
      </c>
      <c r="AT42" s="314">
        <f t="shared" si="11"/>
        <v>168591.10885299242</v>
      </c>
      <c r="AU42" s="314">
        <f t="shared" si="11"/>
        <v>169383.48706460148</v>
      </c>
      <c r="AV42" s="314">
        <f t="shared" si="11"/>
        <v>170179.58945380509</v>
      </c>
      <c r="AW42" s="314">
        <f t="shared" si="11"/>
        <v>170979.43352423797</v>
      </c>
      <c r="AX42" s="314">
        <f t="shared" si="11"/>
        <v>171783.03686180187</v>
      </c>
      <c r="AY42" s="314">
        <f t="shared" si="11"/>
        <v>172590.41713505232</v>
      </c>
      <c r="AZ42" s="314">
        <f t="shared" si="11"/>
        <v>173401.59209558705</v>
      </c>
      <c r="BA42" s="314">
        <f t="shared" si="11"/>
        <v>174216.5795784363</v>
      </c>
      <c r="BB42" s="314">
        <f t="shared" si="11"/>
        <v>175035.39750245493</v>
      </c>
      <c r="BC42" s="314">
        <f t="shared" si="11"/>
        <v>175858.06387071646</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Sim</v>
      </c>
      <c r="D46" s="306">
        <f>'R&amp;C-Painel de Controle'!H61</f>
        <v>149195.9142628205</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149897.13505985573</v>
      </c>
      <c r="G48" s="314">
        <f t="shared" si="16"/>
        <v>149897.13505985573</v>
      </c>
      <c r="H48" s="314">
        <f t="shared" si="16"/>
        <v>149897.13505985573</v>
      </c>
      <c r="I48" s="314">
        <f t="shared" si="16"/>
        <v>149897.13505985573</v>
      </c>
      <c r="J48" s="314">
        <f t="shared" si="16"/>
        <v>149897.13505985573</v>
      </c>
      <c r="K48" s="314">
        <f t="shared" si="16"/>
        <v>149897.13505985573</v>
      </c>
      <c r="L48" s="314">
        <f t="shared" si="16"/>
        <v>149897.13505985573</v>
      </c>
      <c r="M48" s="314">
        <f t="shared" si="16"/>
        <v>149897.13505985573</v>
      </c>
      <c r="N48" s="314">
        <f t="shared" si="16"/>
        <v>149897.13505985573</v>
      </c>
      <c r="O48" s="314">
        <f t="shared" si="16"/>
        <v>149897.13505985573</v>
      </c>
      <c r="P48" s="314">
        <f t="shared" si="16"/>
        <v>149897.13505985573</v>
      </c>
      <c r="Q48" s="314">
        <f t="shared" si="16"/>
        <v>149897.13505985573</v>
      </c>
      <c r="R48" s="314">
        <f t="shared" ref="R48:BC48" si="17">Q48*(1+$C$8)</f>
        <v>150601.65159463705</v>
      </c>
      <c r="S48" s="314">
        <f t="shared" si="17"/>
        <v>151309.47935713184</v>
      </c>
      <c r="T48" s="314">
        <f t="shared" si="17"/>
        <v>152020.63391011037</v>
      </c>
      <c r="U48" s="314">
        <f t="shared" si="17"/>
        <v>152735.13088948786</v>
      </c>
      <c r="V48" s="314">
        <f t="shared" si="17"/>
        <v>153452.98600466843</v>
      </c>
      <c r="W48" s="314">
        <f t="shared" si="17"/>
        <v>154174.21503889037</v>
      </c>
      <c r="X48" s="314">
        <f t="shared" si="17"/>
        <v>154898.83384957313</v>
      </c>
      <c r="Y48" s="314">
        <f t="shared" si="17"/>
        <v>155626.85836866611</v>
      </c>
      <c r="Z48" s="314">
        <f t="shared" si="17"/>
        <v>156358.30460299883</v>
      </c>
      <c r="AA48" s="314">
        <f t="shared" si="17"/>
        <v>157093.18863463291</v>
      </c>
      <c r="AB48" s="314">
        <f t="shared" si="17"/>
        <v>157831.52662121569</v>
      </c>
      <c r="AC48" s="314">
        <f t="shared" si="17"/>
        <v>158573.33479633537</v>
      </c>
      <c r="AD48" s="314">
        <f t="shared" si="17"/>
        <v>159318.62946987813</v>
      </c>
      <c r="AE48" s="314">
        <f t="shared" si="17"/>
        <v>160067.42702838653</v>
      </c>
      <c r="AF48" s="314">
        <f t="shared" si="17"/>
        <v>160819.74393541995</v>
      </c>
      <c r="AG48" s="314">
        <f t="shared" si="17"/>
        <v>161575.59673191642</v>
      </c>
      <c r="AH48" s="314">
        <f t="shared" si="17"/>
        <v>162335.00203655643</v>
      </c>
      <c r="AI48" s="314">
        <f t="shared" si="17"/>
        <v>163097.97654612822</v>
      </c>
      <c r="AJ48" s="314">
        <f t="shared" si="17"/>
        <v>163864.53703589502</v>
      </c>
      <c r="AK48" s="314">
        <f t="shared" si="17"/>
        <v>164634.70035996372</v>
      </c>
      <c r="AL48" s="314">
        <f t="shared" si="17"/>
        <v>165408.48345165554</v>
      </c>
      <c r="AM48" s="314">
        <f t="shared" si="17"/>
        <v>166185.9033238783</v>
      </c>
      <c r="AN48" s="314">
        <f t="shared" si="17"/>
        <v>166966.97706950051</v>
      </c>
      <c r="AO48" s="314">
        <f t="shared" si="17"/>
        <v>167751.72186172716</v>
      </c>
      <c r="AP48" s="314">
        <f t="shared" si="17"/>
        <v>168540.15495447727</v>
      </c>
      <c r="AQ48" s="314">
        <f t="shared" si="17"/>
        <v>169332.29368276329</v>
      </c>
      <c r="AR48" s="314">
        <f t="shared" si="17"/>
        <v>170128.15546307227</v>
      </c>
      <c r="AS48" s="314">
        <f t="shared" si="17"/>
        <v>170927.75779374869</v>
      </c>
      <c r="AT48" s="314">
        <f t="shared" si="17"/>
        <v>171731.11825537929</v>
      </c>
      <c r="AU48" s="314">
        <f t="shared" si="17"/>
        <v>172538.25451117955</v>
      </c>
      <c r="AV48" s="314">
        <f t="shared" si="17"/>
        <v>173349.18430738209</v>
      </c>
      <c r="AW48" s="314">
        <f t="shared" si="17"/>
        <v>174163.92547362679</v>
      </c>
      <c r="AX48" s="314">
        <f t="shared" si="17"/>
        <v>174982.49592335284</v>
      </c>
      <c r="AY48" s="314">
        <f t="shared" si="17"/>
        <v>175804.91365419258</v>
      </c>
      <c r="AZ48" s="314">
        <f t="shared" si="17"/>
        <v>176631.19674836728</v>
      </c>
      <c r="BA48" s="314">
        <f t="shared" si="17"/>
        <v>177461.3633730846</v>
      </c>
      <c r="BB48" s="314">
        <f t="shared" si="17"/>
        <v>178295.43178093809</v>
      </c>
      <c r="BC48" s="314">
        <f t="shared" si="17"/>
        <v>179133.42031030849</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70017.417820512841</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70346.499684269249</v>
      </c>
      <c r="G60" s="314">
        <f t="shared" si="28"/>
        <v>70346.499684269249</v>
      </c>
      <c r="H60" s="314">
        <f t="shared" si="28"/>
        <v>70346.499684269249</v>
      </c>
      <c r="I60" s="314">
        <f t="shared" si="28"/>
        <v>70346.499684269249</v>
      </c>
      <c r="J60" s="314">
        <f t="shared" si="28"/>
        <v>70346.499684269249</v>
      </c>
      <c r="K60" s="314">
        <f t="shared" si="28"/>
        <v>70346.499684269249</v>
      </c>
      <c r="L60" s="314">
        <f t="shared" si="28"/>
        <v>70346.499684269249</v>
      </c>
      <c r="M60" s="314">
        <f t="shared" si="28"/>
        <v>70346.499684269249</v>
      </c>
      <c r="N60" s="314">
        <f t="shared" si="28"/>
        <v>70346.499684269249</v>
      </c>
      <c r="O60" s="314">
        <f t="shared" si="28"/>
        <v>70346.499684269249</v>
      </c>
      <c r="P60" s="314">
        <f t="shared" si="28"/>
        <v>70346.499684269249</v>
      </c>
      <c r="Q60" s="314">
        <f t="shared" si="28"/>
        <v>70346.499684269249</v>
      </c>
      <c r="R60" s="314">
        <f t="shared" ref="R60:BC60" si="29">Q60*(1+$C$8)</f>
        <v>70677.128232785311</v>
      </c>
      <c r="S60" s="314">
        <f t="shared" si="29"/>
        <v>71009.31073547939</v>
      </c>
      <c r="T60" s="314">
        <f t="shared" si="29"/>
        <v>71343.054495936143</v>
      </c>
      <c r="U60" s="314">
        <f t="shared" si="29"/>
        <v>71678.366852067033</v>
      </c>
      <c r="V60" s="314">
        <f t="shared" si="29"/>
        <v>72015.255176271748</v>
      </c>
      <c r="W60" s="314">
        <f t="shared" si="29"/>
        <v>72353.726875600216</v>
      </c>
      <c r="X60" s="314">
        <f t="shared" si="29"/>
        <v>72693.789391915532</v>
      </c>
      <c r="Y60" s="314">
        <f t="shared" si="29"/>
        <v>73035.450202057531</v>
      </c>
      <c r="Z60" s="314">
        <f t="shared" si="29"/>
        <v>73378.716818007189</v>
      </c>
      <c r="AA60" s="314">
        <f t="shared" si="29"/>
        <v>73723.596787051822</v>
      </c>
      <c r="AB60" s="314">
        <f t="shared" si="29"/>
        <v>74070.097691950956</v>
      </c>
      <c r="AC60" s="314">
        <f t="shared" si="29"/>
        <v>74418.227151103114</v>
      </c>
      <c r="AD60" s="314">
        <f t="shared" si="29"/>
        <v>74767.99281871329</v>
      </c>
      <c r="AE60" s="314">
        <f t="shared" si="29"/>
        <v>75119.402384961242</v>
      </c>
      <c r="AF60" s="314">
        <f t="shared" si="29"/>
        <v>75472.463576170558</v>
      </c>
      <c r="AG60" s="314">
        <f t="shared" si="29"/>
        <v>75827.18415497856</v>
      </c>
      <c r="AH60" s="314">
        <f t="shared" si="29"/>
        <v>76183.571920506947</v>
      </c>
      <c r="AI60" s="314">
        <f t="shared" si="29"/>
        <v>76541.634708533325</v>
      </c>
      <c r="AJ60" s="314">
        <f t="shared" si="29"/>
        <v>76901.380391663421</v>
      </c>
      <c r="AK60" s="314">
        <f t="shared" si="29"/>
        <v>77262.816879504229</v>
      </c>
      <c r="AL60" s="314">
        <f t="shared" si="29"/>
        <v>77625.9521188379</v>
      </c>
      <c r="AM60" s="314">
        <f t="shared" si="29"/>
        <v>77990.79409379643</v>
      </c>
      <c r="AN60" s="314">
        <f t="shared" si="29"/>
        <v>78357.350826037262</v>
      </c>
      <c r="AO60" s="314">
        <f t="shared" si="29"/>
        <v>78725.630374919638</v>
      </c>
      <c r="AP60" s="314">
        <f t="shared" si="29"/>
        <v>79095.640837681756</v>
      </c>
      <c r="AQ60" s="314">
        <f t="shared" si="29"/>
        <v>79467.390349618858</v>
      </c>
      <c r="AR60" s="314">
        <f t="shared" si="29"/>
        <v>79840.887084262067</v>
      </c>
      <c r="AS60" s="314">
        <f t="shared" si="29"/>
        <v>80216.139253558096</v>
      </c>
      <c r="AT60" s="314">
        <f t="shared" si="29"/>
        <v>80593.155108049817</v>
      </c>
      <c r="AU60" s="314">
        <f t="shared" si="29"/>
        <v>80971.94293705764</v>
      </c>
      <c r="AV60" s="314">
        <f t="shared" si="29"/>
        <v>81352.511068861801</v>
      </c>
      <c r="AW60" s="314">
        <f t="shared" si="29"/>
        <v>81734.867870885442</v>
      </c>
      <c r="AX60" s="314">
        <f t="shared" si="29"/>
        <v>82119.021749878593</v>
      </c>
      <c r="AY60" s="314">
        <f t="shared" si="29"/>
        <v>82504.981152103021</v>
      </c>
      <c r="AZ60" s="314">
        <f t="shared" si="29"/>
        <v>82892.754563517898</v>
      </c>
      <c r="BA60" s="314">
        <f t="shared" si="29"/>
        <v>83282.350509966433</v>
      </c>
      <c r="BB60" s="314">
        <f t="shared" si="29"/>
        <v>83673.777557363268</v>
      </c>
      <c r="BC60" s="314">
        <f t="shared" si="29"/>
        <v>84067.04431188287</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79.308724236660794</v>
      </c>
      <c r="D63" s="296">
        <f>((D67+D70+D73+D76+D79+D82+D85+D88+'R&amp;C-Painel de Controle'!I21)+('R&amp;C-Painel de Controle'!$K$77*$H$27/5+'R&amp;C-Painel de Controle'!$K$75*$H$27/20+'R&amp;C-Painel de Controle'!$D$29+'R&amp;C-Painel de Controle'!$D$30)/3*(1+$C$62))</f>
        <v>121.06304957243202</v>
      </c>
      <c r="E63" s="296">
        <f>((E67+E70+E73+E76+E79+E82+E85+E88+'R&amp;C-Painel de Controle'!J21)+('R&amp;C-Painel de Controle'!$K$77*$H$27/5+'R&amp;C-Painel de Controle'!$K$75*$H$27/20+'R&amp;C-Painel de Controle'!$D$29+'R&amp;C-Painel de Controle'!$D$30)/3*(1+$C$62))</f>
        <v>111.3935103955976</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77.857190201484556</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23.357157060445367</v>
      </c>
      <c r="D70" s="314">
        <f>D69*$D$68</f>
        <v>15.571438040296911</v>
      </c>
      <c r="E70" s="314">
        <f>E69*$D$68</f>
        <v>38.928595100742278</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Sim</v>
      </c>
      <c r="D74" s="317">
        <f>'R&amp;C-Painel de Controle'!K61</f>
        <v>146.80110727163037</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29.360221454326076</v>
      </c>
      <c r="D76" s="315">
        <f t="shared" si="36"/>
        <v>73.400553635815186</v>
      </c>
      <c r="E76" s="314">
        <f t="shared" si="36"/>
        <v>44.040332181489113</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18.332373914768596</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3.6664747829537192</v>
      </c>
      <c r="D88" s="315">
        <f t="shared" si="40"/>
        <v>9.1661869573842978</v>
      </c>
      <c r="E88" s="313">
        <f t="shared" si="40"/>
        <v>5.4997121744305781</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28.430628271202551</v>
      </c>
      <c r="G90" s="296">
        <f>IF('R&amp;C-Painel de Controle'!$D$24="Não",G94+G97+G100+G103+G106+G109+G112+G115,G94+G97+G100+G103+G106+G109+G112+G115+'R&amp;C-Painel de Controle'!$L$91)</f>
        <v>28.430628271202551</v>
      </c>
      <c r="H90" s="296">
        <f>IF('R&amp;C-Painel de Controle'!$D$24="Não",H94+H97+H100+H103+H106+H109+H112+H115,H94+H97+H100+H103+H106+H109+H112+H115+'R&amp;C-Painel de Controle'!$L$91)</f>
        <v>28.430628271202551</v>
      </c>
      <c r="I90" s="296">
        <f>IF('R&amp;C-Painel de Controle'!$D$24="Não",I94+I97+I100+I103+I106+I109+I112+I115,I94+I97+I100+I103+I106+I109+I112+I115+'R&amp;C-Painel de Controle'!$L$91)</f>
        <v>28.430628271202551</v>
      </c>
      <c r="J90" s="296">
        <f>IF('R&amp;C-Painel de Controle'!$D$24="Não",J94+J97+J100+J103+J106+J109+J112+J115,J94+J97+J100+J103+J106+J109+J112+J115+'R&amp;C-Painel de Controle'!$L$91)</f>
        <v>28.430628271202551</v>
      </c>
      <c r="K90" s="296">
        <f>IF('R&amp;C-Painel de Controle'!$D$24="Não",K94+K97+K100+K103+K106+K109+K112+K115,K94+K97+K100+K103+K106+K109+K112+K115+'R&amp;C-Painel de Controle'!$L$91)</f>
        <v>28.430628271202551</v>
      </c>
      <c r="L90" s="296">
        <f>IF('R&amp;C-Painel de Controle'!$D$24="Não",L94+L97+L100+L103+L106+L109+L112+L115,L94+L97+L100+L103+L106+L109+L112+L115+'R&amp;C-Painel de Controle'!$L$91)</f>
        <v>28.430628271202551</v>
      </c>
      <c r="M90" s="296">
        <f>IF('R&amp;C-Painel de Controle'!$D$24="Não",M94+M97+M100+M103+M106+M109+M112+M115,M94+M97+M100+M103+M106+M109+M112+M115+'R&amp;C-Painel de Controle'!$L$91)</f>
        <v>28.430628271202551</v>
      </c>
      <c r="N90" s="296">
        <f>IF('R&amp;C-Painel de Controle'!$D$24="Não",N94+N97+N100+N103+N106+N109+N112+N115,N94+N97+N100+N103+N106+N109+N112+N115+'R&amp;C-Painel de Controle'!$L$91)</f>
        <v>28.430628271202551</v>
      </c>
      <c r="O90" s="296">
        <f>IF('R&amp;C-Painel de Controle'!$D$24="Não",O94+O97+O100+O103+O106+O109+O112+O115,O94+O97+O100+O103+O106+O109+O112+O115+'R&amp;C-Painel de Controle'!$L$91)</f>
        <v>28.430628271202551</v>
      </c>
      <c r="P90" s="296">
        <f>IF('R&amp;C-Painel de Controle'!$D$24="Não",P94+P97+P100+P103+P106+P109+P112+P115,P94+P97+P100+P103+P106+P109+P112+P115+'R&amp;C-Painel de Controle'!$L$91)</f>
        <v>28.430628271202551</v>
      </c>
      <c r="Q90" s="296">
        <f>IF('R&amp;C-Painel de Controle'!$D$24="Não",Q94+Q97+Q100+Q103+Q106+Q109+Q112+Q115,Q94+Q97+Q100+Q103+Q106+Q109+Q112+Q115+'R&amp;C-Painel de Controle'!$L$91)</f>
        <v>28.430628271202551</v>
      </c>
      <c r="R90" s="296">
        <f>IF('R&amp;C-Painel de Controle'!$D$24="Não",R94+R97+R100+R103+R106+R109+R112+R115,R94+R97+R100+R103+R106+R109+R112+R115+'R&amp;C-Painel de Controle'!$L$91)</f>
        <v>28.430628271202551</v>
      </c>
      <c r="S90" s="296">
        <f>IF('R&amp;C-Painel de Controle'!$D$24="Não",S94+S97+S100+S103+S106+S109+S112+S115,S94+S97+S100+S103+S106+S109+S112+S115+'R&amp;C-Painel de Controle'!$L$91)</f>
        <v>28.430628271202551</v>
      </c>
      <c r="T90" s="296">
        <f>IF('R&amp;C-Painel de Controle'!$D$24="Não",T94+T97+T100+T103+T106+T109+T112+T115,T94+T97+T100+T103+T106+T109+T112+T115+'R&amp;C-Painel de Controle'!$L$91)</f>
        <v>28.430628271202551</v>
      </c>
      <c r="U90" s="296">
        <f>IF('R&amp;C-Painel de Controle'!$D$24="Não",U94+U97+U100+U103+U106+U109+U112+U115,U94+U97+U100+U103+U106+U109+U112+U115+'R&amp;C-Painel de Controle'!$L$91)</f>
        <v>28.430628271202551</v>
      </c>
      <c r="V90" s="296">
        <f>IF('R&amp;C-Painel de Controle'!$D$24="Não",V94+V97+V100+V103+V106+V109+V112+V115,V94+V97+V100+V103+V106+V109+V112+V115+'R&amp;C-Painel de Controle'!$L$91)</f>
        <v>28.430628271202551</v>
      </c>
      <c r="W90" s="296">
        <f>IF('R&amp;C-Painel de Controle'!$D$24="Não",W94+W97+W100+W103+W106+W109+W112+W115,W94+W97+W100+W103+W106+W109+W112+W115+'R&amp;C-Painel de Controle'!$L$91)</f>
        <v>28.430628271202551</v>
      </c>
      <c r="X90" s="296">
        <f>IF('R&amp;C-Painel de Controle'!$D$24="Não",X94+X97+X100+X103+X106+X109+X112+X115,X94+X97+X100+X103+X106+X109+X112+X115+'R&amp;C-Painel de Controle'!$L$91)</f>
        <v>28.430628271202551</v>
      </c>
      <c r="Y90" s="296">
        <f>IF('R&amp;C-Painel de Controle'!$D$24="Não",Y94+Y97+Y100+Y103+Y106+Y109+Y112+Y115,Y94+Y97+Y100+Y103+Y106+Y109+Y112+Y115+'R&amp;C-Painel de Controle'!$L$91)</f>
        <v>28.430628271202551</v>
      </c>
      <c r="Z90" s="296">
        <f>IF('R&amp;C-Painel de Controle'!$D$24="Não",Z94+Z97+Z100+Z103+Z106+Z109+Z112+Z115,Z94+Z97+Z100+Z103+Z106+Z109+Z112+Z115+'R&amp;C-Painel de Controle'!$L$91)</f>
        <v>28.430628271202551</v>
      </c>
      <c r="AA90" s="296">
        <f>IF('R&amp;C-Painel de Controle'!$D$24="Não",AA94+AA97+AA100+AA103+AA106+AA109+AA112+AA115,AA94+AA97+AA100+AA103+AA106+AA109+AA112+AA115+'R&amp;C-Painel de Controle'!$L$91)</f>
        <v>28.430628271202551</v>
      </c>
      <c r="AB90" s="296">
        <f>IF('R&amp;C-Painel de Controle'!$D$24="Não",AB94+AB97+AB100+AB103+AB106+AB109+AB112+AB115,AB94+AB97+AB100+AB103+AB106+AB109+AB112+AB115+'R&amp;C-Painel de Controle'!$L$91)</f>
        <v>28.430628271202551</v>
      </c>
      <c r="AC90" s="296">
        <f>IF('R&amp;C-Painel de Controle'!$D$24="Não",AC94+AC97+AC100+AC103+AC106+AC109+AC112+AC115,AC94+AC97+AC100+AC103+AC106+AC109+AC112+AC115+'R&amp;C-Painel de Controle'!$L$91)</f>
        <v>28.430628271202551</v>
      </c>
      <c r="AD90" s="296">
        <f>IF('R&amp;C-Painel de Controle'!$D$24="Não",AD94+AD97+AD100+AD103+AD106+AD109+AD112+AD115,AD94+AD97+AD100+AD103+AD106+AD109+AD112+AD115+'R&amp;C-Painel de Controle'!$L$91)</f>
        <v>28.430628271202551</v>
      </c>
      <c r="AE90" s="296">
        <f>IF('R&amp;C-Painel de Controle'!$D$24="Não",AE94+AE97+AE100+AE103+AE106+AE109+AE112+AE115,AE94+AE97+AE100+AE103+AE106+AE109+AE112+AE115+'R&amp;C-Painel de Controle'!$L$91)</f>
        <v>28.430628271202551</v>
      </c>
      <c r="AF90" s="296">
        <f>IF('R&amp;C-Painel de Controle'!$D$24="Não",AF94+AF97+AF100+AF103+AF106+AF109+AF112+AF115,AF94+AF97+AF100+AF103+AF106+AF109+AF112+AF115+'R&amp;C-Painel de Controle'!$L$91)</f>
        <v>28.430628271202551</v>
      </c>
      <c r="AG90" s="296">
        <f>IF('R&amp;C-Painel de Controle'!$D$24="Não",AG94+AG97+AG100+AG103+AG106+AG109+AG112+AG115,AG94+AG97+AG100+AG103+AG106+AG109+AG112+AG115+'R&amp;C-Painel de Controle'!$L$91)</f>
        <v>28.430628271202551</v>
      </c>
      <c r="AH90" s="296">
        <f>IF('R&amp;C-Painel de Controle'!$D$24="Não",AH94+AH97+AH100+AH103+AH106+AH109+AH112+AH115,AH94+AH97+AH100+AH103+AH106+AH109+AH112+AH115+'R&amp;C-Painel de Controle'!$L$91)</f>
        <v>28.430628271202551</v>
      </c>
      <c r="AI90" s="296">
        <f>IF('R&amp;C-Painel de Controle'!$D$24="Não",AI94+AI97+AI100+AI103+AI106+AI109+AI112+AI115,AI94+AI97+AI100+AI103+AI106+AI109+AI112+AI115+'R&amp;C-Painel de Controle'!$L$91)</f>
        <v>28.430628271202551</v>
      </c>
      <c r="AJ90" s="296">
        <f>IF('R&amp;C-Painel de Controle'!$D$24="Não",AJ94+AJ97+AJ100+AJ103+AJ106+AJ109+AJ112+AJ115,AJ94+AJ97+AJ100+AJ103+AJ106+AJ109+AJ112+AJ115+'R&amp;C-Painel de Controle'!$L$91)</f>
        <v>28.430628271202551</v>
      </c>
      <c r="AK90" s="296">
        <f>IF('R&amp;C-Painel de Controle'!$D$24="Não",AK94+AK97+AK100+AK103+AK106+AK109+AK112+AK115,AK94+AK97+AK100+AK103+AK106+AK109+AK112+AK115+'R&amp;C-Painel de Controle'!$L$91)</f>
        <v>28.430628271202551</v>
      </c>
      <c r="AL90" s="296">
        <f>IF('R&amp;C-Painel de Controle'!$D$24="Não",AL94+AL97+AL100+AL103+AL106+AL109+AL112+AL115,AL94+AL97+AL100+AL103+AL106+AL109+AL112+AL115+'R&amp;C-Painel de Controle'!$L$91)</f>
        <v>28.430628271202551</v>
      </c>
      <c r="AM90" s="296">
        <f>IF('R&amp;C-Painel de Controle'!$D$24="Não",AM94+AM97+AM100+AM103+AM106+AM109+AM112+AM115,AM94+AM97+AM100+AM103+AM106+AM109+AM112+AM115+'R&amp;C-Painel de Controle'!$L$91)</f>
        <v>28.430628271202551</v>
      </c>
      <c r="AN90" s="296">
        <f>IF('R&amp;C-Painel de Controle'!$D$24="Não",AN94+AN97+AN100+AN103+AN106+AN109+AN112+AN115,AN94+AN97+AN100+AN103+AN106+AN109+AN112+AN115+'R&amp;C-Painel de Controle'!$L$91)</f>
        <v>28.430628271202551</v>
      </c>
      <c r="AO90" s="296">
        <f>IF('R&amp;C-Painel de Controle'!$D$24="Não",AO94+AO97+AO100+AO103+AO106+AO109+AO112+AO115,AO94+AO97+AO100+AO103+AO106+AO109+AO112+AO115+'R&amp;C-Painel de Controle'!$L$91)</f>
        <v>28.430628271202551</v>
      </c>
      <c r="AP90" s="296">
        <f>IF('R&amp;C-Painel de Controle'!$D$24="Não",AP94+AP97+AP100+AP103+AP106+AP109+AP112+AP115,AP94+AP97+AP100+AP103+AP106+AP109+AP112+AP115+'R&amp;C-Painel de Controle'!$L$91)</f>
        <v>28.430628271202551</v>
      </c>
      <c r="AQ90" s="296">
        <f>IF('R&amp;C-Painel de Controle'!$D$24="Não",AQ94+AQ97+AQ100+AQ103+AQ106+AQ109+AQ112+AQ115,AQ94+AQ97+AQ100+AQ103+AQ106+AQ109+AQ112+AQ115+'R&amp;C-Painel de Controle'!$L$91)</f>
        <v>28.430628271202551</v>
      </c>
      <c r="AR90" s="296">
        <f>IF('R&amp;C-Painel de Controle'!$D$24="Não",AR94+AR97+AR100+AR103+AR106+AR109+AR112+AR115,AR94+AR97+AR100+AR103+AR106+AR109+AR112+AR115+'R&amp;C-Painel de Controle'!$L$91)</f>
        <v>28.430628271202551</v>
      </c>
      <c r="AS90" s="296">
        <f>IF('R&amp;C-Painel de Controle'!$D$24="Não",AS94+AS97+AS100+AS103+AS106+AS109+AS112+AS115,AS94+AS97+AS100+AS103+AS106+AS109+AS112+AS115+'R&amp;C-Painel de Controle'!$L$91)</f>
        <v>28.430628271202551</v>
      </c>
      <c r="AT90" s="296">
        <f>IF('R&amp;C-Painel de Controle'!$D$24="Não",AT94+AT97+AT100+AT103+AT106+AT109+AT112+AT115,AT94+AT97+AT100+AT103+AT106+AT109+AT112+AT115+'R&amp;C-Painel de Controle'!$L$91)</f>
        <v>28.430628271202551</v>
      </c>
      <c r="AU90" s="296">
        <f>IF('R&amp;C-Painel de Controle'!$D$24="Não",AU94+AU97+AU100+AU103+AU106+AU109+AU112+AU115,AU94+AU97+AU100+AU103+AU106+AU109+AU112+AU115+'R&amp;C-Painel de Controle'!$L$91)</f>
        <v>28.430628271202551</v>
      </c>
      <c r="AV90" s="296">
        <f>IF('R&amp;C-Painel de Controle'!$D$24="Não",AV94+AV97+AV100+AV103+AV106+AV109+AV112+AV115,AV94+AV97+AV100+AV103+AV106+AV109+AV112+AV115+'R&amp;C-Painel de Controle'!$L$91)</f>
        <v>28.430628271202551</v>
      </c>
      <c r="AW90" s="296">
        <f>IF('R&amp;C-Painel de Controle'!$D$24="Não",AW94+AW97+AW100+AW103+AW106+AW109+AW112+AW115,AW94+AW97+AW100+AW103+AW106+AW109+AW112+AW115+'R&amp;C-Painel de Controle'!$L$91)</f>
        <v>28.430628271202551</v>
      </c>
      <c r="AX90" s="296">
        <f>IF('R&amp;C-Painel de Controle'!$D$24="Não",AX94+AX97+AX100+AX103+AX106+AX109+AX112+AX115,AX94+AX97+AX100+AX103+AX106+AX109+AX112+AX115+'R&amp;C-Painel de Controle'!$L$91)</f>
        <v>28.430628271202551</v>
      </c>
      <c r="AY90" s="296">
        <f>IF('R&amp;C-Painel de Controle'!$D$24="Não",AY94+AY97+AY100+AY103+AY106+AY109+AY112+AY115,AY94+AY97+AY100+AY103+AY106+AY109+AY112+AY115+'R&amp;C-Painel de Controle'!$L$91)</f>
        <v>28.430628271202551</v>
      </c>
      <c r="AZ90" s="296">
        <f>IF('R&amp;C-Painel de Controle'!$D$24="Não",AZ94+AZ97+AZ100+AZ103+AZ106+AZ109+AZ112+AZ115,AZ94+AZ97+AZ100+AZ103+AZ106+AZ109+AZ112+AZ115+'R&amp;C-Painel de Controle'!$L$91)</f>
        <v>28.430628271202551</v>
      </c>
      <c r="BA90" s="296">
        <f>IF('R&amp;C-Painel de Controle'!$D$24="Não",BA94+BA97+BA100+BA103+BA106+BA109+BA112+BA115,BA94+BA97+BA100+BA103+BA106+BA109+BA112+BA115+'R&amp;C-Painel de Controle'!$L$91)</f>
        <v>28.430628271202551</v>
      </c>
      <c r="BB90" s="296">
        <f>IF('R&amp;C-Painel de Controle'!$D$24="Não",BB94+BB97+BB100+BB103+BB106+BB109+BB112+BB115,BB94+BB97+BB100+BB103+BB106+BB109+BB112+BB115+'R&amp;C-Painel de Controle'!$L$91)</f>
        <v>28.430628271202551</v>
      </c>
      <c r="BC90" s="296">
        <f>IF('R&amp;C-Painel de Controle'!$D$24="Não",BC94+BC97+BC100+BC103+BC106+BC109+BC112+BC115,BC94+BC97+BC100+BC103+BC106+BC109+BC112+BC115+'R&amp;C-Painel de Controle'!$L$91)</f>
        <v>28.430628271202551</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146467.94871794875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12.123928617820592</v>
      </c>
      <c r="G97" s="308">
        <f>IF(G42&gt;0,'R&amp;C-Painel de Controle'!$O57+'R&amp;C-Painel de Controle'!$P57*G42/1000000,0)</f>
        <v>12.123928617820592</v>
      </c>
      <c r="H97" s="308">
        <f>IF(H42&gt;0,'R&amp;C-Painel de Controle'!$O57+'R&amp;C-Painel de Controle'!$P57*H42/1000000,0)</f>
        <v>12.123928617820592</v>
      </c>
      <c r="I97" s="308">
        <f>IF(I42&gt;0,'R&amp;C-Painel de Controle'!$O57+'R&amp;C-Painel de Controle'!$P57*I42/1000000,0)</f>
        <v>12.123928617820592</v>
      </c>
      <c r="J97" s="308">
        <f>IF(J42&gt;0,'R&amp;C-Painel de Controle'!$O57+'R&amp;C-Painel de Controle'!$P57*J42/1000000,0)</f>
        <v>12.123928617820592</v>
      </c>
      <c r="K97" s="308">
        <f>IF(K42&gt;0,'R&amp;C-Painel de Controle'!$O57+'R&amp;C-Painel de Controle'!$P57*K42/1000000,0)</f>
        <v>12.123928617820592</v>
      </c>
      <c r="L97" s="308">
        <f>IF(L42&gt;0,'R&amp;C-Painel de Controle'!$O57+'R&amp;C-Painel de Controle'!$P57*L42/1000000,0)</f>
        <v>12.123928617820592</v>
      </c>
      <c r="M97" s="308">
        <f>IF(M42&gt;0,'R&amp;C-Painel de Controle'!$O57+'R&amp;C-Painel de Controle'!$P57*M42/1000000,0)</f>
        <v>12.123928617820592</v>
      </c>
      <c r="N97" s="308">
        <f>IF(N42&gt;0,'R&amp;C-Painel de Controle'!$O57+'R&amp;C-Painel de Controle'!$P57*N42/1000000,0)</f>
        <v>12.123928617820592</v>
      </c>
      <c r="O97" s="308">
        <f>IF(O42&gt;0,'R&amp;C-Painel de Controle'!$O57+'R&amp;C-Painel de Controle'!$P57*O42/1000000,0)</f>
        <v>12.123928617820592</v>
      </c>
      <c r="P97" s="308">
        <f>IF(P42&gt;0,'R&amp;C-Painel de Controle'!$O57+'R&amp;C-Painel de Controle'!$P57*P42/1000000,0)</f>
        <v>12.123928617820592</v>
      </c>
      <c r="Q97" s="308">
        <f>IF(Q42&gt;0,'R&amp;C-Painel de Controle'!$O57+'R&amp;C-Painel de Controle'!$P57*Q42/1000000,0)</f>
        <v>12.123928617820592</v>
      </c>
      <c r="R97" s="295">
        <f t="shared" ref="R97:BC97" si="42">Q97</f>
        <v>12.123928617820592</v>
      </c>
      <c r="S97" s="295">
        <f t="shared" si="42"/>
        <v>12.123928617820592</v>
      </c>
      <c r="T97" s="295">
        <f t="shared" si="42"/>
        <v>12.123928617820592</v>
      </c>
      <c r="U97" s="295">
        <f t="shared" si="42"/>
        <v>12.123928617820592</v>
      </c>
      <c r="V97" s="295">
        <f t="shared" si="42"/>
        <v>12.123928617820592</v>
      </c>
      <c r="W97" s="295">
        <f t="shared" si="42"/>
        <v>12.123928617820592</v>
      </c>
      <c r="X97" s="295">
        <f t="shared" si="42"/>
        <v>12.123928617820592</v>
      </c>
      <c r="Y97" s="295">
        <f t="shared" si="42"/>
        <v>12.123928617820592</v>
      </c>
      <c r="Z97" s="295">
        <f t="shared" si="42"/>
        <v>12.123928617820592</v>
      </c>
      <c r="AA97" s="295">
        <f t="shared" si="42"/>
        <v>12.123928617820592</v>
      </c>
      <c r="AB97" s="295">
        <f t="shared" si="42"/>
        <v>12.123928617820592</v>
      </c>
      <c r="AC97" s="295">
        <f t="shared" si="42"/>
        <v>12.123928617820592</v>
      </c>
      <c r="AD97" s="295">
        <f t="shared" si="42"/>
        <v>12.123928617820592</v>
      </c>
      <c r="AE97" s="295">
        <f t="shared" si="42"/>
        <v>12.123928617820592</v>
      </c>
      <c r="AF97" s="295">
        <f t="shared" si="42"/>
        <v>12.123928617820592</v>
      </c>
      <c r="AG97" s="295">
        <f t="shared" si="42"/>
        <v>12.123928617820592</v>
      </c>
      <c r="AH97" s="295">
        <f t="shared" si="42"/>
        <v>12.123928617820592</v>
      </c>
      <c r="AI97" s="295">
        <f t="shared" si="42"/>
        <v>12.123928617820592</v>
      </c>
      <c r="AJ97" s="295">
        <f t="shared" si="42"/>
        <v>12.123928617820592</v>
      </c>
      <c r="AK97" s="295">
        <f t="shared" si="42"/>
        <v>12.123928617820592</v>
      </c>
      <c r="AL97" s="295">
        <f t="shared" si="42"/>
        <v>12.123928617820592</v>
      </c>
      <c r="AM97" s="295">
        <f t="shared" si="42"/>
        <v>12.123928617820592</v>
      </c>
      <c r="AN97" s="295">
        <f t="shared" si="42"/>
        <v>12.123928617820592</v>
      </c>
      <c r="AO97" s="295">
        <f t="shared" si="42"/>
        <v>12.123928617820592</v>
      </c>
      <c r="AP97" s="295">
        <f t="shared" si="42"/>
        <v>12.123928617820592</v>
      </c>
      <c r="AQ97" s="295">
        <f t="shared" si="42"/>
        <v>12.123928617820592</v>
      </c>
      <c r="AR97" s="295">
        <f t="shared" si="42"/>
        <v>12.123928617820592</v>
      </c>
      <c r="AS97" s="295">
        <f t="shared" si="42"/>
        <v>12.123928617820592</v>
      </c>
      <c r="AT97" s="295">
        <f t="shared" si="42"/>
        <v>12.123928617820592</v>
      </c>
      <c r="AU97" s="295">
        <f t="shared" si="42"/>
        <v>12.123928617820592</v>
      </c>
      <c r="AV97" s="295">
        <f t="shared" si="42"/>
        <v>12.123928617820592</v>
      </c>
      <c r="AW97" s="295">
        <f t="shared" si="42"/>
        <v>12.123928617820592</v>
      </c>
      <c r="AX97" s="295">
        <f t="shared" si="42"/>
        <v>12.123928617820592</v>
      </c>
      <c r="AY97" s="295">
        <f t="shared" si="42"/>
        <v>12.123928617820592</v>
      </c>
      <c r="AZ97" s="295">
        <f t="shared" si="42"/>
        <v>12.123928617820592</v>
      </c>
      <c r="BA97" s="295">
        <f t="shared" si="42"/>
        <v>12.123928617820592</v>
      </c>
      <c r="BB97" s="295">
        <f t="shared" si="42"/>
        <v>12.123928617820592</v>
      </c>
      <c r="BC97" s="295">
        <f t="shared" si="42"/>
        <v>12.123928617820592</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Sim</v>
      </c>
      <c r="D101" s="306">
        <f>D46</f>
        <v>149195.9142628205</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9.2846126771227766</v>
      </c>
      <c r="G103" s="308">
        <f>IF(G48&gt;0,'R&amp;C-Painel de Controle'!$O63+'R&amp;C-Painel de Controle'!$P63*G48/1000000,0)</f>
        <v>9.2846126771227766</v>
      </c>
      <c r="H103" s="308">
        <f>IF(H48&gt;0,'R&amp;C-Painel de Controle'!$O63+'R&amp;C-Painel de Controle'!$P63*H48/1000000,0)</f>
        <v>9.2846126771227766</v>
      </c>
      <c r="I103" s="308">
        <f>IF(I48&gt;0,'R&amp;C-Painel de Controle'!$O63+'R&amp;C-Painel de Controle'!$P63*I48/1000000,0)</f>
        <v>9.2846126771227766</v>
      </c>
      <c r="J103" s="308">
        <f>IF(J48&gt;0,'R&amp;C-Painel de Controle'!$O63+'R&amp;C-Painel de Controle'!$P63*J48/1000000,0)</f>
        <v>9.2846126771227766</v>
      </c>
      <c r="K103" s="308">
        <f>IF(K48&gt;0,'R&amp;C-Painel de Controle'!$O63+'R&amp;C-Painel de Controle'!$P63*K48/1000000,0)</f>
        <v>9.2846126771227766</v>
      </c>
      <c r="L103" s="308">
        <f>IF(L48&gt;0,'R&amp;C-Painel de Controle'!$O63+'R&amp;C-Painel de Controle'!$P63*L48/1000000,0)</f>
        <v>9.2846126771227766</v>
      </c>
      <c r="M103" s="308">
        <f>IF(M48&gt;0,'R&amp;C-Painel de Controle'!$O63+'R&amp;C-Painel de Controle'!$P63*M48/1000000,0)</f>
        <v>9.2846126771227766</v>
      </c>
      <c r="N103" s="308">
        <f>IF(N48&gt;0,'R&amp;C-Painel de Controle'!$O63+'R&amp;C-Painel de Controle'!$P63*N48/1000000,0)</f>
        <v>9.2846126771227766</v>
      </c>
      <c r="O103" s="308">
        <f>IF(O48&gt;0,'R&amp;C-Painel de Controle'!$O63+'R&amp;C-Painel de Controle'!$P63*O48/1000000,0)</f>
        <v>9.2846126771227766</v>
      </c>
      <c r="P103" s="308">
        <f>IF(P48&gt;0,'R&amp;C-Painel de Controle'!$O63+'R&amp;C-Painel de Controle'!$P63*P48/1000000,0)</f>
        <v>9.2846126771227766</v>
      </c>
      <c r="Q103" s="308">
        <f>IF(Q48&gt;0,'R&amp;C-Painel de Controle'!$O63+'R&amp;C-Painel de Controle'!$P63*Q48/1000000,0)</f>
        <v>9.2846126771227766</v>
      </c>
      <c r="R103" s="295">
        <f t="shared" ref="R103:BC103" si="44">Q103</f>
        <v>9.2846126771227766</v>
      </c>
      <c r="S103" s="295">
        <f t="shared" si="44"/>
        <v>9.2846126771227766</v>
      </c>
      <c r="T103" s="295">
        <f t="shared" si="44"/>
        <v>9.2846126771227766</v>
      </c>
      <c r="U103" s="295">
        <f t="shared" si="44"/>
        <v>9.2846126771227766</v>
      </c>
      <c r="V103" s="295">
        <f t="shared" si="44"/>
        <v>9.2846126771227766</v>
      </c>
      <c r="W103" s="295">
        <f t="shared" si="44"/>
        <v>9.2846126771227766</v>
      </c>
      <c r="X103" s="295">
        <f t="shared" si="44"/>
        <v>9.2846126771227766</v>
      </c>
      <c r="Y103" s="295">
        <f t="shared" si="44"/>
        <v>9.2846126771227766</v>
      </c>
      <c r="Z103" s="295">
        <f t="shared" si="44"/>
        <v>9.2846126771227766</v>
      </c>
      <c r="AA103" s="295">
        <f t="shared" si="44"/>
        <v>9.2846126771227766</v>
      </c>
      <c r="AB103" s="295">
        <f t="shared" si="44"/>
        <v>9.2846126771227766</v>
      </c>
      <c r="AC103" s="295">
        <f t="shared" si="44"/>
        <v>9.2846126771227766</v>
      </c>
      <c r="AD103" s="295">
        <f t="shared" si="44"/>
        <v>9.2846126771227766</v>
      </c>
      <c r="AE103" s="295">
        <f t="shared" si="44"/>
        <v>9.2846126771227766</v>
      </c>
      <c r="AF103" s="295">
        <f t="shared" si="44"/>
        <v>9.2846126771227766</v>
      </c>
      <c r="AG103" s="295">
        <f t="shared" si="44"/>
        <v>9.2846126771227766</v>
      </c>
      <c r="AH103" s="295">
        <f t="shared" si="44"/>
        <v>9.2846126771227766</v>
      </c>
      <c r="AI103" s="295">
        <f t="shared" si="44"/>
        <v>9.2846126771227766</v>
      </c>
      <c r="AJ103" s="295">
        <f t="shared" si="44"/>
        <v>9.2846126771227766</v>
      </c>
      <c r="AK103" s="295">
        <f t="shared" si="44"/>
        <v>9.2846126771227766</v>
      </c>
      <c r="AL103" s="295">
        <f t="shared" si="44"/>
        <v>9.2846126771227766</v>
      </c>
      <c r="AM103" s="295">
        <f t="shared" si="44"/>
        <v>9.2846126771227766</v>
      </c>
      <c r="AN103" s="295">
        <f t="shared" si="44"/>
        <v>9.2846126771227766</v>
      </c>
      <c r="AO103" s="295">
        <f t="shared" si="44"/>
        <v>9.2846126771227766</v>
      </c>
      <c r="AP103" s="295">
        <f t="shared" si="44"/>
        <v>9.2846126771227766</v>
      </c>
      <c r="AQ103" s="295">
        <f t="shared" si="44"/>
        <v>9.2846126771227766</v>
      </c>
      <c r="AR103" s="295">
        <f t="shared" si="44"/>
        <v>9.2846126771227766</v>
      </c>
      <c r="AS103" s="295">
        <f t="shared" si="44"/>
        <v>9.2846126771227766</v>
      </c>
      <c r="AT103" s="295">
        <f t="shared" si="44"/>
        <v>9.2846126771227766</v>
      </c>
      <c r="AU103" s="295">
        <f t="shared" si="44"/>
        <v>9.2846126771227766</v>
      </c>
      <c r="AV103" s="295">
        <f t="shared" si="44"/>
        <v>9.2846126771227766</v>
      </c>
      <c r="AW103" s="295">
        <f t="shared" si="44"/>
        <v>9.2846126771227766</v>
      </c>
      <c r="AX103" s="295">
        <f t="shared" si="44"/>
        <v>9.2846126771227766</v>
      </c>
      <c r="AY103" s="295">
        <f t="shared" si="44"/>
        <v>9.2846126771227766</v>
      </c>
      <c r="AZ103" s="295">
        <f t="shared" si="44"/>
        <v>9.2846126771227766</v>
      </c>
      <c r="BA103" s="295">
        <f t="shared" si="44"/>
        <v>9.2846126771227766</v>
      </c>
      <c r="BB103" s="295">
        <f t="shared" si="44"/>
        <v>9.2846126771227766</v>
      </c>
      <c r="BC103" s="295">
        <f t="shared" si="44"/>
        <v>9.2846126771227766</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70017.417820512841</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7.0220869762591835</v>
      </c>
      <c r="G115" s="308">
        <f>IF(G60&gt;0,'R&amp;C-Painel de Controle'!$O75+'R&amp;C-Painel de Controle'!$P75*G60/1000000,0)</f>
        <v>7.0220869762591835</v>
      </c>
      <c r="H115" s="308">
        <f>IF(H60&gt;0,'R&amp;C-Painel de Controle'!$O75+'R&amp;C-Painel de Controle'!$P75*H60/1000000,0)</f>
        <v>7.0220869762591835</v>
      </c>
      <c r="I115" s="308">
        <f>IF(I60&gt;0,'R&amp;C-Painel de Controle'!$O75+'R&amp;C-Painel de Controle'!$P75*I60/1000000,0)</f>
        <v>7.0220869762591835</v>
      </c>
      <c r="J115" s="308">
        <f>IF(J60&gt;0,'R&amp;C-Painel de Controle'!$O75+'R&amp;C-Painel de Controle'!$P75*J60/1000000,0)</f>
        <v>7.0220869762591835</v>
      </c>
      <c r="K115" s="308">
        <f>IF(K60&gt;0,'R&amp;C-Painel de Controle'!$O75+'R&amp;C-Painel de Controle'!$P75*K60/1000000,0)</f>
        <v>7.0220869762591835</v>
      </c>
      <c r="L115" s="308">
        <f>IF(L60&gt;0,'R&amp;C-Painel de Controle'!$O75+'R&amp;C-Painel de Controle'!$P75*L60/1000000,0)</f>
        <v>7.0220869762591835</v>
      </c>
      <c r="M115" s="308">
        <f>IF(M60&gt;0,'R&amp;C-Painel de Controle'!$O75+'R&amp;C-Painel de Controle'!$P75*M60/1000000,0)</f>
        <v>7.0220869762591835</v>
      </c>
      <c r="N115" s="308">
        <f>IF(N60&gt;0,'R&amp;C-Painel de Controle'!$O75+'R&amp;C-Painel de Controle'!$P75*N60/1000000,0)</f>
        <v>7.0220869762591835</v>
      </c>
      <c r="O115" s="308">
        <f>IF(O60&gt;0,'R&amp;C-Painel de Controle'!$O75+'R&amp;C-Painel de Controle'!$P75*O60/1000000,0)</f>
        <v>7.0220869762591835</v>
      </c>
      <c r="P115" s="308">
        <f>IF(P60&gt;0,'R&amp;C-Painel de Controle'!$O75+'R&amp;C-Painel de Controle'!$P75*P60/1000000,0)</f>
        <v>7.0220869762591835</v>
      </c>
      <c r="Q115" s="308">
        <f>IF(Q60&gt;0,'R&amp;C-Painel de Controle'!$O75+'R&amp;C-Painel de Controle'!$P75*Q60/1000000,0)</f>
        <v>7.0220869762591835</v>
      </c>
      <c r="R115" s="295">
        <f t="shared" ref="R115:BC115" si="48">Q115</f>
        <v>7.0220869762591835</v>
      </c>
      <c r="S115" s="295">
        <f t="shared" si="48"/>
        <v>7.0220869762591835</v>
      </c>
      <c r="T115" s="295">
        <f t="shared" si="48"/>
        <v>7.0220869762591835</v>
      </c>
      <c r="U115" s="295">
        <f t="shared" si="48"/>
        <v>7.0220869762591835</v>
      </c>
      <c r="V115" s="295">
        <f t="shared" si="48"/>
        <v>7.0220869762591835</v>
      </c>
      <c r="W115" s="295">
        <f t="shared" si="48"/>
        <v>7.0220869762591835</v>
      </c>
      <c r="X115" s="295">
        <f t="shared" si="48"/>
        <v>7.0220869762591835</v>
      </c>
      <c r="Y115" s="295">
        <f t="shared" si="48"/>
        <v>7.0220869762591835</v>
      </c>
      <c r="Z115" s="295">
        <f t="shared" si="48"/>
        <v>7.0220869762591835</v>
      </c>
      <c r="AA115" s="295">
        <f t="shared" si="48"/>
        <v>7.0220869762591835</v>
      </c>
      <c r="AB115" s="295">
        <f t="shared" si="48"/>
        <v>7.0220869762591835</v>
      </c>
      <c r="AC115" s="295">
        <f t="shared" si="48"/>
        <v>7.0220869762591835</v>
      </c>
      <c r="AD115" s="295">
        <f t="shared" si="48"/>
        <v>7.0220869762591835</v>
      </c>
      <c r="AE115" s="295">
        <f t="shared" si="48"/>
        <v>7.0220869762591835</v>
      </c>
      <c r="AF115" s="295">
        <f t="shared" si="48"/>
        <v>7.0220869762591835</v>
      </c>
      <c r="AG115" s="295">
        <f t="shared" si="48"/>
        <v>7.0220869762591835</v>
      </c>
      <c r="AH115" s="295">
        <f t="shared" si="48"/>
        <v>7.0220869762591835</v>
      </c>
      <c r="AI115" s="295">
        <f t="shared" si="48"/>
        <v>7.0220869762591835</v>
      </c>
      <c r="AJ115" s="295">
        <f t="shared" si="48"/>
        <v>7.0220869762591835</v>
      </c>
      <c r="AK115" s="295">
        <f t="shared" si="48"/>
        <v>7.0220869762591835</v>
      </c>
      <c r="AL115" s="295">
        <f t="shared" si="48"/>
        <v>7.0220869762591835</v>
      </c>
      <c r="AM115" s="295">
        <f t="shared" si="48"/>
        <v>7.0220869762591835</v>
      </c>
      <c r="AN115" s="295">
        <f t="shared" si="48"/>
        <v>7.0220869762591835</v>
      </c>
      <c r="AO115" s="295">
        <f t="shared" si="48"/>
        <v>7.0220869762591835</v>
      </c>
      <c r="AP115" s="295">
        <f t="shared" si="48"/>
        <v>7.0220869762591835</v>
      </c>
      <c r="AQ115" s="295">
        <f t="shared" si="48"/>
        <v>7.0220869762591835</v>
      </c>
      <c r="AR115" s="295">
        <f t="shared" si="48"/>
        <v>7.0220869762591835</v>
      </c>
      <c r="AS115" s="295">
        <f t="shared" si="48"/>
        <v>7.0220869762591835</v>
      </c>
      <c r="AT115" s="295">
        <f t="shared" si="48"/>
        <v>7.0220869762591835</v>
      </c>
      <c r="AU115" s="295">
        <f t="shared" si="48"/>
        <v>7.0220869762591835</v>
      </c>
      <c r="AV115" s="295">
        <f t="shared" si="48"/>
        <v>7.0220869762591835</v>
      </c>
      <c r="AW115" s="295">
        <f t="shared" si="48"/>
        <v>7.0220869762591835</v>
      </c>
      <c r="AX115" s="295">
        <f t="shared" si="48"/>
        <v>7.0220869762591835</v>
      </c>
      <c r="AY115" s="295">
        <f t="shared" si="48"/>
        <v>7.0220869762591835</v>
      </c>
      <c r="AZ115" s="295">
        <f t="shared" si="48"/>
        <v>7.0220869762591835</v>
      </c>
      <c r="BA115" s="295">
        <f t="shared" si="48"/>
        <v>7.0220869762591835</v>
      </c>
      <c r="BB115" s="295">
        <f t="shared" si="48"/>
        <v>7.0220869762591835</v>
      </c>
      <c r="BC115" s="295">
        <f t="shared" si="48"/>
        <v>7.0220869762591835</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2.5536859999999999</v>
      </c>
      <c r="D117" s="296">
        <f>IF('R-Definição'!$E$121="Existente",D90+((('R&amp;C-Painel de Controle'!$D$88+'R&amp;C-Painel de Controle'!$D$89)*('R&amp;C-Painel de Controle'!$D$44+'R&amp;C-Painel de Controle'!$D$46))/1000000),D90+((('R&amp;C-Painel de Controle'!$D$88)*('R&amp;C-Painel de Controle'!$D$44+'R&amp;C-Painel de Controle'!$D$46))/1000000))</f>
        <v>2.5536859999999999</v>
      </c>
      <c r="E117" s="296">
        <f>IF('R-Definição'!$E$121="Existente",E90+((('R&amp;C-Painel de Controle'!$D$88+'R&amp;C-Painel de Controle'!$D$89)*('R&amp;C-Painel de Controle'!$D$44+'R&amp;C-Painel de Controle'!$D$46))/1000000),E90+((('R&amp;C-Painel de Controle'!$D$88)*('R&amp;C-Painel de Controle'!$D$44+'R&amp;C-Painel de Controle'!$D$46))/1000000))</f>
        <v>2.5536859999999999</v>
      </c>
      <c r="F117" s="296">
        <f>IF('R-Definição'!$E$121="Existente",F90+((('R&amp;C-Painel de Controle'!$D$88+'R&amp;C-Painel de Controle'!$D$89)*('R&amp;C-Painel de Controle'!$D$44+'R&amp;C-Painel de Controle'!$D$46))/1000000),F90+((('R&amp;C-Painel de Controle'!$D$88)*('R&amp;C-Painel de Controle'!$D$44+'R&amp;C-Painel de Controle'!$D$46))/1000000))</f>
        <v>30.98431427120255</v>
      </c>
      <c r="G117" s="296">
        <f>IF('R-Definição'!$E$121="Existente",G90+((('R&amp;C-Painel de Controle'!$D$88+'R&amp;C-Painel de Controle'!$D$89)*('R&amp;C-Painel de Controle'!$D$44+'R&amp;C-Painel de Controle'!$D$46))/1000000),G90+((('R&amp;C-Painel de Controle'!$D$88)*('R&amp;C-Painel de Controle'!$D$44+'R&amp;C-Painel de Controle'!$D$46))/1000000))</f>
        <v>30.98431427120255</v>
      </c>
      <c r="H117" s="296">
        <f>IF('R-Definição'!$E$121="Existente",H90+((('R&amp;C-Painel de Controle'!$D$88+'R&amp;C-Painel de Controle'!$D$89)*('R&amp;C-Painel de Controle'!$D$44+'R&amp;C-Painel de Controle'!$D$46))/1000000),H90+((('R&amp;C-Painel de Controle'!$D$88)*('R&amp;C-Painel de Controle'!$D$44+'R&amp;C-Painel de Controle'!$D$46))/1000000))</f>
        <v>30.98431427120255</v>
      </c>
      <c r="I117" s="296">
        <f>IF('R-Definição'!$E$121="Existente",I90+((('R&amp;C-Painel de Controle'!$D$88+'R&amp;C-Painel de Controle'!$D$89)*('R&amp;C-Painel de Controle'!$D$44+'R&amp;C-Painel de Controle'!$D$46))/1000000),I90+((('R&amp;C-Painel de Controle'!$D$88)*('R&amp;C-Painel de Controle'!$D$44+'R&amp;C-Painel de Controle'!$D$46))/1000000))</f>
        <v>30.98431427120255</v>
      </c>
      <c r="J117" s="296">
        <f>IF('R-Definição'!$E$121="Existente",J90+((('R&amp;C-Painel de Controle'!$D$88+'R&amp;C-Painel de Controle'!$D$89)*('R&amp;C-Painel de Controle'!$D$44+'R&amp;C-Painel de Controle'!$D$46))/1000000),J90+((('R&amp;C-Painel de Controle'!$D$88)*('R&amp;C-Painel de Controle'!$D$44+'R&amp;C-Painel de Controle'!$D$46))/1000000))</f>
        <v>30.98431427120255</v>
      </c>
      <c r="K117" s="296">
        <f>IF('R-Definição'!$E$121="Existente",K90+((('R&amp;C-Painel de Controle'!$D$88+'R&amp;C-Painel de Controle'!$D$89)*('R&amp;C-Painel de Controle'!$D$44+'R&amp;C-Painel de Controle'!$D$46))/1000000),K90+((('R&amp;C-Painel de Controle'!$D$88)*('R&amp;C-Painel de Controle'!$D$44+'R&amp;C-Painel de Controle'!$D$46))/1000000))</f>
        <v>30.98431427120255</v>
      </c>
      <c r="L117" s="296">
        <f>IF('R-Definição'!$E$121="Existente",L90+((('R&amp;C-Painel de Controle'!$D$88+'R&amp;C-Painel de Controle'!$D$89)*('R&amp;C-Painel de Controle'!$D$44+'R&amp;C-Painel de Controle'!$D$46))/1000000),L90+((('R&amp;C-Painel de Controle'!$D$88)*('R&amp;C-Painel de Controle'!$D$44+'R&amp;C-Painel de Controle'!$D$46))/1000000))</f>
        <v>30.98431427120255</v>
      </c>
      <c r="M117" s="296">
        <f>IF('R-Definição'!$E$121="Existente",M90+((('R&amp;C-Painel de Controle'!$D$88+'R&amp;C-Painel de Controle'!$D$89)*('R&amp;C-Painel de Controle'!$D$44+'R&amp;C-Painel de Controle'!$D$46))/1000000),M90+((('R&amp;C-Painel de Controle'!$D$88)*('R&amp;C-Painel de Controle'!$D$44+'R&amp;C-Painel de Controle'!$D$46))/1000000))</f>
        <v>30.98431427120255</v>
      </c>
      <c r="N117" s="296">
        <f>IF('R-Definição'!$E$121="Existente",N90+((('R&amp;C-Painel de Controle'!$D$88+'R&amp;C-Painel de Controle'!$D$89)*('R&amp;C-Painel de Controle'!$D$44+'R&amp;C-Painel de Controle'!$D$46))/1000000),N90+((('R&amp;C-Painel de Controle'!$D$88)*('R&amp;C-Painel de Controle'!$D$44+'R&amp;C-Painel de Controle'!$D$46))/1000000))</f>
        <v>30.98431427120255</v>
      </c>
      <c r="O117" s="296">
        <f>IF('R-Definição'!$E$121="Existente",O90+((('R&amp;C-Painel de Controle'!$D$88+'R&amp;C-Painel de Controle'!$D$89)*('R&amp;C-Painel de Controle'!$D$44+'R&amp;C-Painel de Controle'!$D$46))/1000000),O90+((('R&amp;C-Painel de Controle'!$D$88)*('R&amp;C-Painel de Controle'!$D$44+'R&amp;C-Painel de Controle'!$D$46))/1000000))</f>
        <v>30.98431427120255</v>
      </c>
      <c r="P117" s="296">
        <f>IF('R-Definição'!$E$121="Existente",P90+((('R&amp;C-Painel de Controle'!$D$88+'R&amp;C-Painel de Controle'!$D$89)*('R&amp;C-Painel de Controle'!$D$44+'R&amp;C-Painel de Controle'!$D$46))/1000000),P90+((('R&amp;C-Painel de Controle'!$D$88)*('R&amp;C-Painel de Controle'!$D$44+'R&amp;C-Painel de Controle'!$D$46))/1000000))</f>
        <v>30.98431427120255</v>
      </c>
      <c r="Q117" s="296">
        <f>IF('R-Definição'!$E$121="Existente",Q90+((('R&amp;C-Painel de Controle'!$D$88+'R&amp;C-Painel de Controle'!$D$89)*('R&amp;C-Painel de Controle'!$D$44+'R&amp;C-Painel de Controle'!$D$46))/1000000),Q90+((('R&amp;C-Painel de Controle'!$D$88)*('R&amp;C-Painel de Controle'!$D$44+'R&amp;C-Painel de Controle'!$D$46))/1000000))</f>
        <v>30.98431427120255</v>
      </c>
      <c r="R117" s="296">
        <f>IF('R-Definição'!$E$121="Existente",R90+((('R&amp;C-Painel de Controle'!$D$88+'R&amp;C-Painel de Controle'!$D$89)*('R&amp;C-Painel de Controle'!$D$44+'R&amp;C-Painel de Controle'!$D$46))/1000000),R90+((('R&amp;C-Painel de Controle'!$D$88)*('R&amp;C-Painel de Controle'!$D$44+'R&amp;C-Painel de Controle'!$D$46))/1000000))</f>
        <v>30.98431427120255</v>
      </c>
      <c r="S117" s="296">
        <f>IF('R-Definição'!$E$121="Existente",S90+((('R&amp;C-Painel de Controle'!$D$88+'R&amp;C-Painel de Controle'!$D$89)*('R&amp;C-Painel de Controle'!$D$44+'R&amp;C-Painel de Controle'!$D$46))/1000000),S90+((('R&amp;C-Painel de Controle'!$D$88)*('R&amp;C-Painel de Controle'!$D$44+'R&amp;C-Painel de Controle'!$D$46))/1000000))</f>
        <v>30.98431427120255</v>
      </c>
      <c r="T117" s="296">
        <f>IF('R-Definição'!$E$121="Existente",T90+((('R&amp;C-Painel de Controle'!$D$88+'R&amp;C-Painel de Controle'!$D$89)*('R&amp;C-Painel de Controle'!$D$44+'R&amp;C-Painel de Controle'!$D$46))/1000000),T90+((('R&amp;C-Painel de Controle'!$D$88)*('R&amp;C-Painel de Controle'!$D$44+'R&amp;C-Painel de Controle'!$D$46))/1000000))</f>
        <v>30.98431427120255</v>
      </c>
      <c r="U117" s="296">
        <f>IF('R-Definição'!$E$121="Existente",U90+((('R&amp;C-Painel de Controle'!$D$88+'R&amp;C-Painel de Controle'!$D$89)*('R&amp;C-Painel de Controle'!$D$44+'R&amp;C-Painel de Controle'!$D$46))/1000000),U90+((('R&amp;C-Painel de Controle'!$D$88)*('R&amp;C-Painel de Controle'!$D$44+'R&amp;C-Painel de Controle'!$D$46))/1000000))</f>
        <v>30.98431427120255</v>
      </c>
      <c r="V117" s="296">
        <f>IF('R-Definição'!$E$121="Existente",V90+((('R&amp;C-Painel de Controle'!$D$88+'R&amp;C-Painel de Controle'!$D$89)*('R&amp;C-Painel de Controle'!$D$44+'R&amp;C-Painel de Controle'!$D$46))/1000000),V90+((('R&amp;C-Painel de Controle'!$D$88)*('R&amp;C-Painel de Controle'!$D$44+'R&amp;C-Painel de Controle'!$D$46))/1000000))</f>
        <v>30.98431427120255</v>
      </c>
      <c r="W117" s="296">
        <f>IF('R-Definição'!$E$121="Existente",W90+((('R&amp;C-Painel de Controle'!$D$88+'R&amp;C-Painel de Controle'!$D$89)*('R&amp;C-Painel de Controle'!$D$44+'R&amp;C-Painel de Controle'!$D$46))/1000000),W90+((('R&amp;C-Painel de Controle'!$D$88)*('R&amp;C-Painel de Controle'!$D$44+'R&amp;C-Painel de Controle'!$D$46))/1000000))</f>
        <v>30.98431427120255</v>
      </c>
      <c r="X117" s="296">
        <f>IF('R-Definição'!$E$121="Existente",X90+((('R&amp;C-Painel de Controle'!$D$88+'R&amp;C-Painel de Controle'!$D$89)*('R&amp;C-Painel de Controle'!$D$44+'R&amp;C-Painel de Controle'!$D$46))/1000000),X90+((('R&amp;C-Painel de Controle'!$D$88)*('R&amp;C-Painel de Controle'!$D$44+'R&amp;C-Painel de Controle'!$D$46))/1000000))</f>
        <v>30.98431427120255</v>
      </c>
      <c r="Y117" s="296">
        <f>IF('R-Definição'!$E$121="Existente",Y90+((('R&amp;C-Painel de Controle'!$D$88+'R&amp;C-Painel de Controle'!$D$89)*('R&amp;C-Painel de Controle'!$D$44+'R&amp;C-Painel de Controle'!$D$46))/1000000),Y90+((('R&amp;C-Painel de Controle'!$D$88)*('R&amp;C-Painel de Controle'!$D$44+'R&amp;C-Painel de Controle'!$D$46))/1000000))</f>
        <v>30.98431427120255</v>
      </c>
      <c r="Z117" s="296">
        <f>IF('R-Definição'!$E$121="Existente",Z90+((('R&amp;C-Painel de Controle'!$D$88+'R&amp;C-Painel de Controle'!$D$89)*('R&amp;C-Painel de Controle'!$D$44+'R&amp;C-Painel de Controle'!$D$46))/1000000),Z90+((('R&amp;C-Painel de Controle'!$D$88)*('R&amp;C-Painel de Controle'!$D$44+'R&amp;C-Painel de Controle'!$D$46))/1000000))</f>
        <v>30.98431427120255</v>
      </c>
      <c r="AA117" s="296">
        <f>IF('R-Definição'!$E$121="Existente",AA90+((('R&amp;C-Painel de Controle'!$D$88+'R&amp;C-Painel de Controle'!$D$89)*('R&amp;C-Painel de Controle'!$D$44+'R&amp;C-Painel de Controle'!$D$46))/1000000),AA90+((('R&amp;C-Painel de Controle'!$D$88)*('R&amp;C-Painel de Controle'!$D$44+'R&amp;C-Painel de Controle'!$D$46))/1000000))</f>
        <v>30.98431427120255</v>
      </c>
      <c r="AB117" s="296">
        <f>IF('R-Definição'!$E$121="Existente",AB90+((('R&amp;C-Painel de Controle'!$D$88+'R&amp;C-Painel de Controle'!$D$89)*('R&amp;C-Painel de Controle'!$D$44+'R&amp;C-Painel de Controle'!$D$46))/1000000),AB90+((('R&amp;C-Painel de Controle'!$D$88)*('R&amp;C-Painel de Controle'!$D$44+'R&amp;C-Painel de Controle'!$D$46))/1000000))</f>
        <v>30.98431427120255</v>
      </c>
      <c r="AC117" s="296">
        <f>IF('R-Definição'!$E$121="Existente",AC90+((('R&amp;C-Painel de Controle'!$D$88+'R&amp;C-Painel de Controle'!$D$89)*('R&amp;C-Painel de Controle'!$D$44+'R&amp;C-Painel de Controle'!$D$46))/1000000),AC90+((('R&amp;C-Painel de Controle'!$D$88)*('R&amp;C-Painel de Controle'!$D$44+'R&amp;C-Painel de Controle'!$D$46))/1000000))</f>
        <v>30.98431427120255</v>
      </c>
      <c r="AD117" s="296">
        <f>IF('R-Definição'!$E$121="Existente",AD90+((('R&amp;C-Painel de Controle'!$D$88+'R&amp;C-Painel de Controle'!$D$89)*('R&amp;C-Painel de Controle'!$D$44+'R&amp;C-Painel de Controle'!$D$46))/1000000),AD90+((('R&amp;C-Painel de Controle'!$D$88)*('R&amp;C-Painel de Controle'!$D$44+'R&amp;C-Painel de Controle'!$D$46))/1000000))</f>
        <v>30.98431427120255</v>
      </c>
      <c r="AE117" s="296">
        <f>IF('R-Definição'!$E$121="Existente",AE90+((('R&amp;C-Painel de Controle'!$D$88+'R&amp;C-Painel de Controle'!$D$89)*('R&amp;C-Painel de Controle'!$D$44+'R&amp;C-Painel de Controle'!$D$46))/1000000),AE90+((('R&amp;C-Painel de Controle'!$D$88)*('R&amp;C-Painel de Controle'!$D$44+'R&amp;C-Painel de Controle'!$D$46))/1000000))</f>
        <v>30.98431427120255</v>
      </c>
      <c r="AF117" s="296">
        <f>IF('R-Definição'!$E$121="Existente",AF90+((('R&amp;C-Painel de Controle'!$D$88+'R&amp;C-Painel de Controle'!$D$89)*('R&amp;C-Painel de Controle'!$D$44+'R&amp;C-Painel de Controle'!$D$46))/1000000),AF90+((('R&amp;C-Painel de Controle'!$D$88)*('R&amp;C-Painel de Controle'!$D$44+'R&amp;C-Painel de Controle'!$D$46))/1000000))</f>
        <v>30.98431427120255</v>
      </c>
      <c r="AG117" s="296">
        <f>IF('R-Definição'!$E$121="Existente",AG90+((('R&amp;C-Painel de Controle'!$D$88+'R&amp;C-Painel de Controle'!$D$89)*('R&amp;C-Painel de Controle'!$D$44+'R&amp;C-Painel de Controle'!$D$46))/1000000),AG90+((('R&amp;C-Painel de Controle'!$D$88)*('R&amp;C-Painel de Controle'!$D$44+'R&amp;C-Painel de Controle'!$D$46))/1000000))</f>
        <v>30.98431427120255</v>
      </c>
      <c r="AH117" s="296">
        <f>IF('R-Definição'!$E$121="Existente",AH90+((('R&amp;C-Painel de Controle'!$D$88+'R&amp;C-Painel de Controle'!$D$89)*('R&amp;C-Painel de Controle'!$D$44+'R&amp;C-Painel de Controle'!$D$46))/1000000),AH90+((('R&amp;C-Painel de Controle'!$D$88)*('R&amp;C-Painel de Controle'!$D$44+'R&amp;C-Painel de Controle'!$D$46))/1000000))</f>
        <v>30.98431427120255</v>
      </c>
      <c r="AI117" s="296">
        <f>IF('R-Definição'!$E$121="Existente",AI90+((('R&amp;C-Painel de Controle'!$D$88+'R&amp;C-Painel de Controle'!$D$89)*('R&amp;C-Painel de Controle'!$D$44+'R&amp;C-Painel de Controle'!$D$46))/1000000),AI90+((('R&amp;C-Painel de Controle'!$D$88)*('R&amp;C-Painel de Controle'!$D$44+'R&amp;C-Painel de Controle'!$D$46))/1000000))</f>
        <v>30.98431427120255</v>
      </c>
      <c r="AJ117" s="296">
        <f>IF('R-Definição'!$E$121="Existente",AJ90+((('R&amp;C-Painel de Controle'!$D$88+'R&amp;C-Painel de Controle'!$D$89)*('R&amp;C-Painel de Controle'!$D$44+'R&amp;C-Painel de Controle'!$D$46))/1000000),AJ90+((('R&amp;C-Painel de Controle'!$D$88)*('R&amp;C-Painel de Controle'!$D$44+'R&amp;C-Painel de Controle'!$D$46))/1000000))</f>
        <v>30.98431427120255</v>
      </c>
      <c r="AK117" s="296">
        <f>IF('R-Definição'!$E$121="Existente",AK90+((('R&amp;C-Painel de Controle'!$D$88+'R&amp;C-Painel de Controle'!$D$89)*('R&amp;C-Painel de Controle'!$D$44+'R&amp;C-Painel de Controle'!$D$46))/1000000),AK90+((('R&amp;C-Painel de Controle'!$D$88)*('R&amp;C-Painel de Controle'!$D$44+'R&amp;C-Painel de Controle'!$D$46))/1000000))</f>
        <v>30.98431427120255</v>
      </c>
      <c r="AL117" s="296">
        <f>IF('R-Definição'!$E$121="Existente",AL90+((('R&amp;C-Painel de Controle'!$D$88+'R&amp;C-Painel de Controle'!$D$89)*('R&amp;C-Painel de Controle'!$D$44+'R&amp;C-Painel de Controle'!$D$46))/1000000),AL90+((('R&amp;C-Painel de Controle'!$D$88)*('R&amp;C-Painel de Controle'!$D$44+'R&amp;C-Painel de Controle'!$D$46))/1000000))</f>
        <v>30.98431427120255</v>
      </c>
      <c r="AM117" s="296">
        <f>IF('R-Definição'!$E$121="Existente",AM90+((('R&amp;C-Painel de Controle'!$D$88+'R&amp;C-Painel de Controle'!$D$89)*('R&amp;C-Painel de Controle'!$D$44+'R&amp;C-Painel de Controle'!$D$46))/1000000),AM90+((('R&amp;C-Painel de Controle'!$D$88)*('R&amp;C-Painel de Controle'!$D$44+'R&amp;C-Painel de Controle'!$D$46))/1000000))</f>
        <v>30.98431427120255</v>
      </c>
      <c r="AN117" s="296">
        <f>IF('R-Definição'!$E$121="Existente",AN90+((('R&amp;C-Painel de Controle'!$D$88+'R&amp;C-Painel de Controle'!$D$89)*('R&amp;C-Painel de Controle'!$D$44+'R&amp;C-Painel de Controle'!$D$46))/1000000),AN90+((('R&amp;C-Painel de Controle'!$D$88)*('R&amp;C-Painel de Controle'!$D$44+'R&amp;C-Painel de Controle'!$D$46))/1000000))</f>
        <v>30.98431427120255</v>
      </c>
      <c r="AO117" s="296">
        <f>IF('R-Definição'!$E$121="Existente",AO90+((('R&amp;C-Painel de Controle'!$D$88+'R&amp;C-Painel de Controle'!$D$89)*('R&amp;C-Painel de Controle'!$D$44+'R&amp;C-Painel de Controle'!$D$46))/1000000),AO90+((('R&amp;C-Painel de Controle'!$D$88)*('R&amp;C-Painel de Controle'!$D$44+'R&amp;C-Painel de Controle'!$D$46))/1000000))</f>
        <v>30.98431427120255</v>
      </c>
      <c r="AP117" s="296">
        <f>IF('R-Definição'!$E$121="Existente",AP90+((('R&amp;C-Painel de Controle'!$D$88+'R&amp;C-Painel de Controle'!$D$89)*('R&amp;C-Painel de Controle'!$D$44+'R&amp;C-Painel de Controle'!$D$46))/1000000),AP90+((('R&amp;C-Painel de Controle'!$D$88)*('R&amp;C-Painel de Controle'!$D$44+'R&amp;C-Painel de Controle'!$D$46))/1000000))</f>
        <v>30.98431427120255</v>
      </c>
      <c r="AQ117" s="296">
        <f>IF('R-Definição'!$E$121="Existente",AQ90+((('R&amp;C-Painel de Controle'!$D$88+'R&amp;C-Painel de Controle'!$D$89)*('R&amp;C-Painel de Controle'!$D$44+'R&amp;C-Painel de Controle'!$D$46))/1000000),AQ90+((('R&amp;C-Painel de Controle'!$D$88)*('R&amp;C-Painel de Controle'!$D$44+'R&amp;C-Painel de Controle'!$D$46))/1000000))</f>
        <v>30.98431427120255</v>
      </c>
      <c r="AR117" s="296">
        <f>IF('R-Definição'!$E$121="Existente",AR90+((('R&amp;C-Painel de Controle'!$D$88+'R&amp;C-Painel de Controle'!$D$89)*('R&amp;C-Painel de Controle'!$D$44+'R&amp;C-Painel de Controle'!$D$46))/1000000),AR90+((('R&amp;C-Painel de Controle'!$D$88)*('R&amp;C-Painel de Controle'!$D$44+'R&amp;C-Painel de Controle'!$D$46))/1000000))</f>
        <v>30.98431427120255</v>
      </c>
      <c r="AS117" s="296">
        <f>IF('R-Definição'!$E$121="Existente",AS90+((('R&amp;C-Painel de Controle'!$D$88+'R&amp;C-Painel de Controle'!$D$89)*('R&amp;C-Painel de Controle'!$D$44+'R&amp;C-Painel de Controle'!$D$46))/1000000),AS90+((('R&amp;C-Painel de Controle'!$D$88)*('R&amp;C-Painel de Controle'!$D$44+'R&amp;C-Painel de Controle'!$D$46))/1000000))</f>
        <v>30.98431427120255</v>
      </c>
      <c r="AT117" s="296">
        <f>IF('R-Definição'!$E$121="Existente",AT90+((('R&amp;C-Painel de Controle'!$D$88+'R&amp;C-Painel de Controle'!$D$89)*('R&amp;C-Painel de Controle'!$D$44+'R&amp;C-Painel de Controle'!$D$46))/1000000),AT90+((('R&amp;C-Painel de Controle'!$D$88)*('R&amp;C-Painel de Controle'!$D$44+'R&amp;C-Painel de Controle'!$D$46))/1000000))</f>
        <v>30.98431427120255</v>
      </c>
      <c r="AU117" s="296">
        <f>IF('R-Definição'!$E$121="Existente",AU90+((('R&amp;C-Painel de Controle'!$D$88+'R&amp;C-Painel de Controle'!$D$89)*('R&amp;C-Painel de Controle'!$D$44+'R&amp;C-Painel de Controle'!$D$46))/1000000),AU90+((('R&amp;C-Painel de Controle'!$D$88)*('R&amp;C-Painel de Controle'!$D$44+'R&amp;C-Painel de Controle'!$D$46))/1000000))</f>
        <v>30.98431427120255</v>
      </c>
      <c r="AV117" s="296">
        <f>IF('R-Definição'!$E$121="Existente",AV90+((('R&amp;C-Painel de Controle'!$D$88+'R&amp;C-Painel de Controle'!$D$89)*('R&amp;C-Painel de Controle'!$D$44+'R&amp;C-Painel de Controle'!$D$46))/1000000),AV90+((('R&amp;C-Painel de Controle'!$D$88)*('R&amp;C-Painel de Controle'!$D$44+'R&amp;C-Painel de Controle'!$D$46))/1000000))</f>
        <v>30.98431427120255</v>
      </c>
      <c r="AW117" s="296">
        <f>IF('R-Definição'!$E$121="Existente",AW90+((('R&amp;C-Painel de Controle'!$D$88+'R&amp;C-Painel de Controle'!$D$89)*('R&amp;C-Painel de Controle'!$D$44+'R&amp;C-Painel de Controle'!$D$46))/1000000),AW90+((('R&amp;C-Painel de Controle'!$D$88)*('R&amp;C-Painel de Controle'!$D$44+'R&amp;C-Painel de Controle'!$D$46))/1000000))</f>
        <v>30.98431427120255</v>
      </c>
      <c r="AX117" s="296">
        <f>IF('R-Definição'!$E$121="Existente",AX90+((('R&amp;C-Painel de Controle'!$D$88+'R&amp;C-Painel de Controle'!$D$89)*('R&amp;C-Painel de Controle'!$D$44+'R&amp;C-Painel de Controle'!$D$46))/1000000),AX90+((('R&amp;C-Painel de Controle'!$D$88)*('R&amp;C-Painel de Controle'!$D$44+'R&amp;C-Painel de Controle'!$D$46))/1000000))</f>
        <v>30.98431427120255</v>
      </c>
      <c r="AY117" s="296">
        <f>IF('R-Definição'!$E$121="Existente",AY90+((('R&amp;C-Painel de Controle'!$D$88+'R&amp;C-Painel de Controle'!$D$89)*('R&amp;C-Painel de Controle'!$D$44+'R&amp;C-Painel de Controle'!$D$46))/1000000),AY90+((('R&amp;C-Painel de Controle'!$D$88)*('R&amp;C-Painel de Controle'!$D$44+'R&amp;C-Painel de Controle'!$D$46))/1000000))</f>
        <v>30.98431427120255</v>
      </c>
      <c r="AZ117" s="296">
        <f>IF('R-Definição'!$E$121="Existente",AZ90+((('R&amp;C-Painel de Controle'!$D$88+'R&amp;C-Painel de Controle'!$D$89)*('R&amp;C-Painel de Controle'!$D$44+'R&amp;C-Painel de Controle'!$D$46))/1000000),AZ90+((('R&amp;C-Painel de Controle'!$D$88)*('R&amp;C-Painel de Controle'!$D$44+'R&amp;C-Painel de Controle'!$D$46))/1000000))</f>
        <v>30.98431427120255</v>
      </c>
      <c r="BA117" s="296">
        <f>IF('R-Definição'!$E$121="Existente",BA90+((('R&amp;C-Painel de Controle'!$D$88+'R&amp;C-Painel de Controle'!$D$89)*('R&amp;C-Painel de Controle'!$D$44+'R&amp;C-Painel de Controle'!$D$46))/1000000),BA90+((('R&amp;C-Painel de Controle'!$D$88)*('R&amp;C-Painel de Controle'!$D$44+'R&amp;C-Painel de Controle'!$D$46))/1000000))</f>
        <v>30.98431427120255</v>
      </c>
      <c r="BB117" s="296">
        <f>IF('R-Definição'!$E$121="Existente",BB90+((('R&amp;C-Painel de Controle'!$D$88+'R&amp;C-Painel de Controle'!$D$89)*('R&amp;C-Painel de Controle'!$D$44+'R&amp;C-Painel de Controle'!$D$46))/1000000),BB90+((('R&amp;C-Painel de Controle'!$D$88)*('R&amp;C-Painel de Controle'!$D$44+'R&amp;C-Painel de Controle'!$D$46))/1000000))</f>
        <v>30.98431427120255</v>
      </c>
      <c r="BC117" s="29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3.5536859999999999</v>
      </c>
      <c r="D119" s="296">
        <f>(D117+'R&amp;C-Painel de Controle'!$D$28)*(1+$C$118)</f>
        <v>3.5536859999999999</v>
      </c>
      <c r="E119" s="296">
        <f>(E117+'R&amp;C-Painel de Controle'!$D$28)*(1+$C$118)</f>
        <v>3.5536859999999999</v>
      </c>
      <c r="F119" s="296">
        <f>(F117+'R&amp;C-Painel de Controle'!$D$28)*(1+$C$118)</f>
        <v>31.98431427120255</v>
      </c>
      <c r="G119" s="296">
        <f>(G117+'R&amp;C-Painel de Controle'!$D$28)*(1+$C$118)</f>
        <v>31.98431427120255</v>
      </c>
      <c r="H119" s="296">
        <f>(H117+'R&amp;C-Painel de Controle'!$D$28)*(1+$C$118)</f>
        <v>31.98431427120255</v>
      </c>
      <c r="I119" s="296">
        <f>(I117+'R&amp;C-Painel de Controle'!$D$28)*(1+$C$118)</f>
        <v>31.98431427120255</v>
      </c>
      <c r="J119" s="296">
        <f>(J117+'R&amp;C-Painel de Controle'!$D$28)*(1+$C$118)</f>
        <v>31.98431427120255</v>
      </c>
      <c r="K119" s="296">
        <f>(K117+'R&amp;C-Painel de Controle'!$D$28)*(1+$C$118)</f>
        <v>31.98431427120255</v>
      </c>
      <c r="L119" s="296">
        <f>(L117+'R&amp;C-Painel de Controle'!$D$28)*(1+$C$118)</f>
        <v>31.98431427120255</v>
      </c>
      <c r="M119" s="296">
        <f>(M117+'R&amp;C-Painel de Controle'!$D$28)*(1+$C$118)</f>
        <v>31.98431427120255</v>
      </c>
      <c r="N119" s="296">
        <f>(N117+'R&amp;C-Painel de Controle'!$D$28)*(1+$C$118)</f>
        <v>31.98431427120255</v>
      </c>
      <c r="O119" s="296">
        <f>(O117+'R&amp;C-Painel de Controle'!$D$28)*(1+$C$118)</f>
        <v>31.98431427120255</v>
      </c>
      <c r="P119" s="296">
        <f>(P117+'R&amp;C-Painel de Controle'!$D$28)*(1+$C$118)</f>
        <v>31.98431427120255</v>
      </c>
      <c r="Q119" s="296">
        <f>(Q117+'R&amp;C-Painel de Controle'!$D$28)*(1+$C$118)</f>
        <v>31.98431427120255</v>
      </c>
      <c r="R119" s="296">
        <f>(R117+'R&amp;C-Painel de Controle'!$D$28)*(1+$C$118)</f>
        <v>31.98431427120255</v>
      </c>
      <c r="S119" s="296">
        <f>(S117+'R&amp;C-Painel de Controle'!$D$28)*(1+$C$118)</f>
        <v>31.98431427120255</v>
      </c>
      <c r="T119" s="296">
        <f>(T117+'R&amp;C-Painel de Controle'!$D$28)*(1+$C$118)</f>
        <v>31.98431427120255</v>
      </c>
      <c r="U119" s="296">
        <f>(U117+'R&amp;C-Painel de Controle'!$D$28)*(1+$C$118)</f>
        <v>31.98431427120255</v>
      </c>
      <c r="V119" s="296">
        <f>(V117+'R&amp;C-Painel de Controle'!$D$28)*(1+$C$118)</f>
        <v>31.98431427120255</v>
      </c>
      <c r="W119" s="296">
        <f>(W117+'R&amp;C-Painel de Controle'!$D$28)*(1+$C$118)</f>
        <v>31.98431427120255</v>
      </c>
      <c r="X119" s="296">
        <f>(X117+'R&amp;C-Painel de Controle'!$D$28)*(1+$C$118)</f>
        <v>31.98431427120255</v>
      </c>
      <c r="Y119" s="296">
        <f>(Y117+'R&amp;C-Painel de Controle'!$D$28)*(1+$C$118)</f>
        <v>31.98431427120255</v>
      </c>
      <c r="Z119" s="296">
        <f>(Z117+'R&amp;C-Painel de Controle'!$D$28)*(1+$C$118)</f>
        <v>31.98431427120255</v>
      </c>
      <c r="AA119" s="296">
        <f>(AA117+'R&amp;C-Painel de Controle'!$D$28)*(1+$C$118)</f>
        <v>31.98431427120255</v>
      </c>
      <c r="AB119" s="296">
        <f>(AB117+'R&amp;C-Painel de Controle'!$D$28)*(1+$C$118)</f>
        <v>31.98431427120255</v>
      </c>
      <c r="AC119" s="296">
        <f>(AC117+'R&amp;C-Painel de Controle'!$D$28)*(1+$C$118)</f>
        <v>31.98431427120255</v>
      </c>
      <c r="AD119" s="296">
        <f>(AD117+'R&amp;C-Painel de Controle'!$D$28)*(1+$C$118)</f>
        <v>31.98431427120255</v>
      </c>
      <c r="AE119" s="296">
        <f>(AE117+'R&amp;C-Painel de Controle'!$D$28)*(1+$C$118)</f>
        <v>31.98431427120255</v>
      </c>
      <c r="AF119" s="296">
        <f>(AF117+'R&amp;C-Painel de Controle'!$D$28)*(1+$C$118)</f>
        <v>31.98431427120255</v>
      </c>
      <c r="AG119" s="296">
        <f>(AG117+'R&amp;C-Painel de Controle'!$D$28)*(1+$C$118)</f>
        <v>31.98431427120255</v>
      </c>
      <c r="AH119" s="296">
        <f>(AH117+'R&amp;C-Painel de Controle'!$D$28)*(1+$C$118)</f>
        <v>31.98431427120255</v>
      </c>
      <c r="AI119" s="296">
        <f>(AI117+'R&amp;C-Painel de Controle'!$D$28)*(1+$C$118)</f>
        <v>31.98431427120255</v>
      </c>
      <c r="AJ119" s="296">
        <f>(AJ117+'R&amp;C-Painel de Controle'!$D$28)*(1+$C$118)</f>
        <v>31.98431427120255</v>
      </c>
      <c r="AK119" s="296">
        <f>(AK117+'R&amp;C-Painel de Controle'!$D$28)*(1+$C$118)</f>
        <v>31.98431427120255</v>
      </c>
      <c r="AL119" s="296">
        <f>(AL117+'R&amp;C-Painel de Controle'!$D$28)*(1+$C$118)</f>
        <v>31.98431427120255</v>
      </c>
      <c r="AM119" s="296">
        <f>(AM117+'R&amp;C-Painel de Controle'!$D$28)*(1+$C$118)</f>
        <v>31.98431427120255</v>
      </c>
      <c r="AN119" s="296">
        <f>(AN117+'R&amp;C-Painel de Controle'!$D$28)*(1+$C$118)</f>
        <v>31.98431427120255</v>
      </c>
      <c r="AO119" s="296">
        <f>(AO117+'R&amp;C-Painel de Controle'!$D$28)*(1+$C$118)</f>
        <v>31.98431427120255</v>
      </c>
      <c r="AP119" s="296">
        <f>(AP117+'R&amp;C-Painel de Controle'!$D$28)*(1+$C$118)</f>
        <v>31.98431427120255</v>
      </c>
      <c r="AQ119" s="296">
        <f>(AQ117+'R&amp;C-Painel de Controle'!$D$28)*(1+$C$118)</f>
        <v>31.98431427120255</v>
      </c>
      <c r="AR119" s="296">
        <f>(AR117+'R&amp;C-Painel de Controle'!$D$28)*(1+$C$118)</f>
        <v>31.98431427120255</v>
      </c>
      <c r="AS119" s="296">
        <f>(AS117+'R&amp;C-Painel de Controle'!$D$28)*(1+$C$118)</f>
        <v>31.98431427120255</v>
      </c>
      <c r="AT119" s="296">
        <f>(AT117+'R&amp;C-Painel de Controle'!$D$28)*(1+$C$118)</f>
        <v>31.98431427120255</v>
      </c>
      <c r="AU119" s="296">
        <f>(AU117+'R&amp;C-Painel de Controle'!$D$28)*(1+$C$118)</f>
        <v>31.98431427120255</v>
      </c>
      <c r="AV119" s="296">
        <f>(AV117+'R&amp;C-Painel de Controle'!$D$28)*(1+$C$118)</f>
        <v>31.98431427120255</v>
      </c>
      <c r="AW119" s="296">
        <f>(AW117+'R&amp;C-Painel de Controle'!$D$28)*(1+$C$118)</f>
        <v>31.98431427120255</v>
      </c>
      <c r="AX119" s="296">
        <f>(AX117+'R&amp;C-Painel de Controle'!$D$28)*(1+$C$118)</f>
        <v>31.98431427120255</v>
      </c>
      <c r="AY119" s="296">
        <f>(AY117+'R&amp;C-Painel de Controle'!$D$28)*(1+$C$118)</f>
        <v>31.98431427120255</v>
      </c>
      <c r="AZ119" s="296">
        <f>(AZ117+'R&amp;C-Painel de Controle'!$D$28)*(1+$C$118)</f>
        <v>31.98431427120255</v>
      </c>
      <c r="BA119" s="296">
        <f>(BA117+'R&amp;C-Painel de Controle'!$D$28)*(1+$C$118)</f>
        <v>31.98431427120255</v>
      </c>
      <c r="BB119" s="296">
        <f>(BB117+'R&amp;C-Painel de Controle'!$D$28)*(1+$C$118)</f>
        <v>31.98431427120255</v>
      </c>
      <c r="BC119" s="296">
        <f>(BC117+'R&amp;C-Painel de Controle'!$D$28)*(1+$C$118)</f>
        <v>31.98431427120255</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146467.94871794875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Sim</v>
      </c>
      <c r="D132" s="306">
        <f>D101</f>
        <v>149195.9142628205</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5.0455400206920924</v>
      </c>
      <c r="G134" s="315">
        <f>IF(G48&gt;0,'R&amp;C-Painel de Controle'!$O$62*(1-0.0925)*G35/1000000,0)</f>
        <v>5.0692540587893449</v>
      </c>
      <c r="H134" s="315">
        <f>IF(H48&gt;0,'R&amp;C-Painel de Controle'!$O$62*(1-0.0925)*H35/1000000,0)</f>
        <v>5.0930795528656549</v>
      </c>
      <c r="I134" s="315">
        <f>IF(I48&gt;0,'R&amp;C-Painel de Controle'!$O$62*(1-0.0925)*I35/1000000,0)</f>
        <v>5.1170170267641231</v>
      </c>
      <c r="J134" s="315">
        <f>IF(J48&gt;0,'R&amp;C-Painel de Controle'!$O$62*(1-0.0925)*J35/1000000,0)</f>
        <v>5.141067006789914</v>
      </c>
      <c r="K134" s="315">
        <f>IF(K48&gt;0,'R&amp;C-Painel de Controle'!$O$62*(1-0.0925)*K35/1000000,0)</f>
        <v>5.1652300217218272</v>
      </c>
      <c r="L134" s="315">
        <f>IF(L48&gt;0,'R&amp;C-Painel de Controle'!$O$62*(1-0.0925)*L35/1000000,0)</f>
        <v>5.1895066028239194</v>
      </c>
      <c r="M134" s="315">
        <f>IF(M48&gt;0,'R&amp;C-Painel de Controle'!$O$62*(1-0.0925)*M35/1000000,0)</f>
        <v>5.2138972838571922</v>
      </c>
      <c r="N134" s="315">
        <f>IF(N48&gt;0,'R&amp;C-Painel de Controle'!$O$62*(1-0.0925)*N35/1000000,0)</f>
        <v>5.2384026010913196</v>
      </c>
      <c r="O134" s="315">
        <f>IF(O48&gt;0,'R&amp;C-Painel de Controle'!$O$62*(1-0.0925)*O35/1000000,0)</f>
        <v>5.2630230933164484</v>
      </c>
      <c r="P134" s="315">
        <f>IF(P48&gt;0,'R&amp;C-Painel de Controle'!$O$62*(1-0.0925)*P35/1000000,0)</f>
        <v>5.2877593018550355</v>
      </c>
      <c r="Q134" s="315">
        <f>IF(Q48&gt;0,'R&amp;C-Painel de Controle'!$O$62*(1-0.0925)*Q35/1000000,0)</f>
        <v>5.3126117705737528</v>
      </c>
      <c r="R134" s="315">
        <f>IF(R48&gt;0,'R&amp;C-Painel de Controle'!$O$62*(1-0.0925)*R35/1000000,0)</f>
        <v>5.3375810458954502</v>
      </c>
      <c r="S134" s="315">
        <f>IF(S48&gt;0,'R&amp;C-Painel de Controle'!$O$62*(1-0.0925)*S35/1000000,0)</f>
        <v>5.3626676768111574</v>
      </c>
      <c r="T134" s="315">
        <f>IF(T48&gt;0,'R&amp;C-Painel de Controle'!$O$62*(1-0.0925)*T35/1000000,0)</f>
        <v>5.3878722148921696</v>
      </c>
      <c r="U134" s="315">
        <f>IF(U48&gt;0,'R&amp;C-Painel de Controle'!$O$62*(1-0.0925)*U35/1000000,0)</f>
        <v>5.4131952143021618</v>
      </c>
      <c r="V134" s="315">
        <f>IF(V48&gt;0,'R&amp;C-Painel de Controle'!$O$62*(1-0.0925)*V35/1000000,0)</f>
        <v>5.4386372318093814</v>
      </c>
      <c r="W134" s="315">
        <f>IF(W48&gt;0,'R&amp;C-Painel de Controle'!$O$62*(1-0.0925)*W35/1000000,0)</f>
        <v>5.464198826798885</v>
      </c>
      <c r="X134" s="315">
        <f>IF(X48&gt;0,'R&amp;C-Painel de Controle'!$O$62*(1-0.0925)*X35/1000000,0)</f>
        <v>5.4898805612848394</v>
      </c>
      <c r="Y134" s="315">
        <f>IF(Y48&gt;0,'R&amp;C-Painel de Controle'!$O$62*(1-0.0925)*Y35/1000000,0)</f>
        <v>5.5156829999228769</v>
      </c>
      <c r="Z134" s="315">
        <f>IF(Z48&gt;0,'R&amp;C-Painel de Controle'!$O$62*(1-0.0925)*Z35/1000000,0)</f>
        <v>5.5416067100225144</v>
      </c>
      <c r="AA134" s="315">
        <f>IF(AA48&gt;0,'R&amp;C-Painel de Controle'!$O$62*(1-0.0925)*AA35/1000000,0)</f>
        <v>5.56765226155962</v>
      </c>
      <c r="AB134" s="315">
        <f>IF(AB48&gt;0,'R&amp;C-Painel de Controle'!$O$62*(1-0.0925)*AB35/1000000,0)</f>
        <v>5.5938202271889494</v>
      </c>
      <c r="AC134" s="315">
        <f>IF(AC48&gt;0,'R&amp;C-Painel de Controle'!$O$62*(1-0.0925)*AC35/1000000,0)</f>
        <v>5.6201111822567364</v>
      </c>
      <c r="AD134" s="315">
        <f>IF(AD48&gt;0,'R&amp;C-Painel de Controle'!$O$62*(1-0.0925)*AD35/1000000,0)</f>
        <v>5.6465257048133433</v>
      </c>
      <c r="AE134" s="315">
        <f>IF(AE48&gt;0,'R&amp;C-Painel de Controle'!$O$62*(1-0.0925)*AE35/1000000,0)</f>
        <v>5.6730643756259651</v>
      </c>
      <c r="AF134" s="315">
        <f>IF(AF48&gt;0,'R&amp;C-Painel de Controle'!$O$62*(1-0.0925)*AF35/1000000,0)</f>
        <v>5.6997277781914075</v>
      </c>
      <c r="AG134" s="315">
        <f>IF(AG48&gt;0,'R&amp;C-Painel de Controle'!$O$62*(1-0.0925)*AG35/1000000,0)</f>
        <v>5.7265164987489063</v>
      </c>
      <c r="AH134" s="315">
        <f>IF(AH48&gt;0,'R&amp;C-Painel de Controle'!$O$62*(1-0.0925)*AH35/1000000,0)</f>
        <v>5.7534311262930258</v>
      </c>
      <c r="AI134" s="315">
        <f>IF(AI48&gt;0,'R&amp;C-Painel de Controle'!$O$62*(1-0.0925)*AI35/1000000,0)</f>
        <v>5.7804722525866019</v>
      </c>
      <c r="AJ134" s="315">
        <f>IF(AJ48&gt;0,'R&amp;C-Painel de Controle'!$O$62*(1-0.0925)*AJ35/1000000,0)</f>
        <v>5.8076404721737589</v>
      </c>
      <c r="AK134" s="315">
        <f>IF(AK48&gt;0,'R&amp;C-Painel de Controle'!$O$62*(1-0.0925)*AK35/1000000,0)</f>
        <v>5.8349363823929759</v>
      </c>
      <c r="AL134" s="315">
        <f>IF(AL48&gt;0,'R&amp;C-Painel de Controle'!$O$62*(1-0.0925)*AL35/1000000,0)</f>
        <v>5.8623605833902221</v>
      </c>
      <c r="AM134" s="315">
        <f>IF(AM48&gt;0,'R&amp;C-Painel de Controle'!$O$62*(1-0.0925)*AM35/1000000,0)</f>
        <v>5.8899136781321557</v>
      </c>
      <c r="AN134" s="315">
        <f>IF(AN48&gt;0,'R&amp;C-Painel de Controle'!$O$62*(1-0.0925)*AN35/1000000,0)</f>
        <v>5.9175962724193774</v>
      </c>
      <c r="AO134" s="315">
        <f>IF(AO48&gt;0,'R&amp;C-Painel de Controle'!$O$62*(1-0.0925)*AO35/1000000,0)</f>
        <v>5.9454089748997472</v>
      </c>
      <c r="AP134" s="315">
        <f>IF(AP48&gt;0,'R&amp;C-Painel de Controle'!$O$62*(1-0.0925)*AP35/1000000,0)</f>
        <v>5.9733523970817757</v>
      </c>
      <c r="AQ134" s="315">
        <f>IF(AQ48&gt;0,'R&amp;C-Painel de Controle'!$O$62*(1-0.0925)*AQ35/1000000,0)</f>
        <v>6.0014271533480592</v>
      </c>
      <c r="AR134" s="315">
        <f>IF(AR48&gt;0,'R&amp;C-Painel de Controle'!$O$62*(1-0.0925)*AR35/1000000,0)</f>
        <v>6.0296338609687954</v>
      </c>
      <c r="AS134" s="315">
        <f>IF(AS48&gt;0,'R&amp;C-Painel de Controle'!$O$62*(1-0.0925)*AS35/1000000,0)</f>
        <v>6.0579731401153483</v>
      </c>
      <c r="AT134" s="315">
        <f>IF(AT48&gt;0,'R&amp;C-Painel de Controle'!$O$62*(1-0.0925)*AT35/1000000,0)</f>
        <v>6.0864456138738907</v>
      </c>
      <c r="AU134" s="315">
        <f>IF(AU48&gt;0,'R&amp;C-Painel de Controle'!$O$62*(1-0.0925)*AU35/1000000,0)</f>
        <v>6.1150519082590984</v>
      </c>
      <c r="AV134" s="315">
        <f>IF(AV48&gt;0,'R&amp;C-Painel de Controle'!$O$62*(1-0.0925)*AV35/1000000,0)</f>
        <v>6.1437926522279147</v>
      </c>
      <c r="AW134" s="315">
        <f>IF(AW48&gt;0,'R&amp;C-Painel de Controle'!$O$62*(1-0.0925)*AW35/1000000,0)</f>
        <v>6.172668477693386</v>
      </c>
      <c r="AX134" s="315">
        <f>IF(AX48&gt;0,'R&amp;C-Painel de Controle'!$O$62*(1-0.0925)*AX35/1000000,0)</f>
        <v>6.2016800195385446</v>
      </c>
      <c r="AY134" s="315">
        <f>IF(AY48&gt;0,'R&amp;C-Painel de Controle'!$O$62*(1-0.0925)*AY35/1000000,0)</f>
        <v>6.2308279156303756</v>
      </c>
      <c r="AZ134" s="315">
        <f>IF(AZ48&gt;0,'R&amp;C-Painel de Controle'!$O$62*(1-0.0925)*AZ35/1000000,0)</f>
        <v>6.2601128068338383</v>
      </c>
      <c r="BA134" s="315">
        <f>IF(BA48&gt;0,'R&amp;C-Painel de Controle'!$O$62*(1-0.0925)*BA35/1000000,0)</f>
        <v>6.2895353370259572</v>
      </c>
      <c r="BB134" s="315">
        <f>IF(BB48&gt;0,'R&amp;C-Painel de Controle'!$O$62*(1-0.0925)*BB35/1000000,0)</f>
        <v>6.319096153109979</v>
      </c>
      <c r="BC134" s="315">
        <f>IF(BC48&gt;0,'R&amp;C-Painel de Controle'!$O$62*(1-0.0925)*BC35/1000000,0)</f>
        <v>6.3487959050295952</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70017.417820512841</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38.279633361846358</v>
      </c>
      <c r="D148" s="296">
        <f t="shared" si="51"/>
        <v>38.459547638647031</v>
      </c>
      <c r="E148" s="296">
        <f t="shared" si="51"/>
        <v>38.640307512548659</v>
      </c>
      <c r="F148" s="296">
        <f t="shared" si="51"/>
        <v>38.821916957857646</v>
      </c>
      <c r="G148" s="296">
        <f t="shared" si="51"/>
        <v>39.004379967559572</v>
      </c>
      <c r="H148" s="296">
        <f t="shared" si="51"/>
        <v>39.187700553407105</v>
      </c>
      <c r="I148" s="296">
        <f t="shared" si="51"/>
        <v>39.371882746008112</v>
      </c>
      <c r="J148" s="296">
        <f t="shared" si="51"/>
        <v>39.556930594914348</v>
      </c>
      <c r="K148" s="296">
        <f t="shared" si="51"/>
        <v>39.742848168710452</v>
      </c>
      <c r="L148" s="296">
        <f t="shared" si="51"/>
        <v>39.929639555103378</v>
      </c>
      <c r="M148" s="296">
        <f t="shared" si="51"/>
        <v>40.117308861012361</v>
      </c>
      <c r="N148" s="296">
        <f t="shared" si="51"/>
        <v>40.30586021265912</v>
      </c>
      <c r="O148" s="296">
        <f t="shared" si="51"/>
        <v>40.495297755658612</v>
      </c>
      <c r="P148" s="296">
        <f t="shared" si="51"/>
        <v>40.685625655110201</v>
      </c>
      <c r="Q148" s="296">
        <f t="shared" si="51"/>
        <v>40.876848095689212</v>
      </c>
      <c r="R148" s="296">
        <f t="shared" si="51"/>
        <v>41.068969281738951</v>
      </c>
      <c r="S148" s="296">
        <f t="shared" si="51"/>
        <v>41.261993437363124</v>
      </c>
      <c r="T148" s="296">
        <f t="shared" si="51"/>
        <v>41.455924806518723</v>
      </c>
      <c r="U148" s="296">
        <f t="shared" si="51"/>
        <v>41.650767653109362</v>
      </c>
      <c r="V148" s="296">
        <f t="shared" si="51"/>
        <v>41.846526261078971</v>
      </c>
      <c r="W148" s="296">
        <f t="shared" si="51"/>
        <v>42.043204934506036</v>
      </c>
      <c r="X148" s="296">
        <f t="shared" si="51"/>
        <v>42.240807997698212</v>
      </c>
      <c r="Y148" s="296">
        <f t="shared" si="51"/>
        <v>42.439339795287388</v>
      </c>
      <c r="Z148" s="296">
        <f t="shared" si="51"/>
        <v>42.638804692325238</v>
      </c>
      <c r="AA148" s="296">
        <f t="shared" si="51"/>
        <v>42.839207074379161</v>
      </c>
      <c r="AB148" s="296">
        <f t="shared" si="51"/>
        <v>43.040551347628742</v>
      </c>
      <c r="AC148" s="296">
        <f t="shared" si="51"/>
        <v>43.242841938962592</v>
      </c>
      <c r="AD148" s="296">
        <f t="shared" si="51"/>
        <v>43.446083296075706</v>
      </c>
      <c r="AE148" s="296">
        <f t="shared" si="51"/>
        <v>43.650279887567265</v>
      </c>
      <c r="AF148" s="296">
        <f t="shared" si="51"/>
        <v>43.855436203038821</v>
      </c>
      <c r="AG148" s="296">
        <f t="shared" si="51"/>
        <v>44.061556753193102</v>
      </c>
      <c r="AH148" s="296">
        <f t="shared" si="51"/>
        <v>44.268646069933112</v>
      </c>
      <c r="AI148" s="296">
        <f t="shared" ref="AI148:BC148" si="52">AI35*$H$26*(1-0.0925-$C$10)/1000000+AI149</f>
        <v>44.476708706461793</v>
      </c>
      <c r="AJ148" s="296">
        <f t="shared" si="52"/>
        <v>44.685749237382161</v>
      </c>
      <c r="AK148" s="296">
        <f t="shared" si="52"/>
        <v>44.895772258797855</v>
      </c>
      <c r="AL148" s="296">
        <f t="shared" si="52"/>
        <v>45.106782388414196</v>
      </c>
      <c r="AM148" s="296">
        <f t="shared" si="52"/>
        <v>45.318784265639742</v>
      </c>
      <c r="AN148" s="296">
        <f t="shared" si="52"/>
        <v>45.531782551688259</v>
      </c>
      <c r="AO148" s="296">
        <f t="shared" si="52"/>
        <v>45.745781929681179</v>
      </c>
      <c r="AP148" s="296">
        <f t="shared" si="52"/>
        <v>45.960787104750679</v>
      </c>
      <c r="AQ148" s="296">
        <f t="shared" si="52"/>
        <v>46.176802804143001</v>
      </c>
      <c r="AR148" s="296">
        <f t="shared" si="52"/>
        <v>46.39383377732247</v>
      </c>
      <c r="AS148" s="296">
        <f t="shared" si="52"/>
        <v>46.611884796075884</v>
      </c>
      <c r="AT148" s="296">
        <f t="shared" si="52"/>
        <v>46.830960654617442</v>
      </c>
      <c r="AU148" s="296">
        <f t="shared" si="52"/>
        <v>47.051066169694145</v>
      </c>
      <c r="AV148" s="296">
        <f t="shared" si="52"/>
        <v>47.272206180691704</v>
      </c>
      <c r="AW148" s="296">
        <f t="shared" si="52"/>
        <v>47.494385549740947</v>
      </c>
      <c r="AX148" s="296">
        <f t="shared" si="52"/>
        <v>47.717609161824733</v>
      </c>
      <c r="AY148" s="296">
        <f t="shared" si="52"/>
        <v>47.941881924885308</v>
      </c>
      <c r="AZ148" s="296">
        <f t="shared" si="52"/>
        <v>48.167208769932259</v>
      </c>
      <c r="BA148" s="296">
        <f t="shared" si="52"/>
        <v>48.393594651150941</v>
      </c>
      <c r="BB148" s="296">
        <f t="shared" si="52"/>
        <v>48.621044546011355</v>
      </c>
      <c r="BC148" s="296">
        <f t="shared" si="52"/>
        <v>48.849563455377613</v>
      </c>
    </row>
    <row r="149" spans="2:58" s="197" customFormat="1" ht="16.899999999999999" customHeight="1" x14ac:dyDescent="0.25">
      <c r="B149" s="197" t="s">
        <v>991</v>
      </c>
      <c r="C149" s="296">
        <f>'R&amp;C-Painel de Controle'!D31*312*'R&amp;C-Painel de Controle'!H31*(1-0.0925-$C$10)/1000000</f>
        <v>1.604516096632798</v>
      </c>
      <c r="D149" s="296">
        <f>C149*(1+'R&amp;C-Painel de Controle'!$D$27)</f>
        <v>1.6120573222869721</v>
      </c>
      <c r="E149" s="296">
        <f>D149*(1+'R&amp;C-Painel de Controle'!$D$27)</f>
        <v>1.6196339917017206</v>
      </c>
      <c r="F149" s="296">
        <f>E149*(1+'R&amp;C-Painel de Controle'!$D$27)</f>
        <v>1.6272462714627185</v>
      </c>
      <c r="G149" s="296">
        <f>F149*(1+'R&amp;C-Painel de Controle'!$D$27)</f>
        <v>1.6348943289385931</v>
      </c>
      <c r="H149" s="296">
        <f>G149*(1+'R&amp;C-Painel de Controle'!$D$27)</f>
        <v>1.6425783322846044</v>
      </c>
      <c r="I149" s="296">
        <f>H149*(1+'R&amp;C-Painel de Controle'!$D$27)</f>
        <v>1.6502984504463418</v>
      </c>
      <c r="J149" s="296">
        <f>I149*(1+'R&amp;C-Painel de Controle'!$D$27)</f>
        <v>1.6580548531634396</v>
      </c>
      <c r="K149" s="296">
        <f>J149*(1+'R&amp;C-Painel de Controle'!$D$27)</f>
        <v>1.6658477109733076</v>
      </c>
      <c r="L149" s="296">
        <f>K149*(1+'R&amp;C-Painel de Controle'!$D$27)</f>
        <v>1.6736771952148821</v>
      </c>
      <c r="M149" s="296">
        <f>L149*(1+'R&amp;C-Painel de Controle'!$D$27)</f>
        <v>1.6815434780323919</v>
      </c>
      <c r="N149" s="296">
        <f>M149*(1+'R&amp;C-Painel de Controle'!$D$27)</f>
        <v>1.689446732379144</v>
      </c>
      <c r="O149" s="296">
        <f>N149*(1+'R&amp;C-Painel de Controle'!$D$27)</f>
        <v>1.6973871320213259</v>
      </c>
      <c r="P149" s="296">
        <f>O149*(1+'R&amp;C-Painel de Controle'!$D$27)</f>
        <v>1.705364851541826</v>
      </c>
      <c r="Q149" s="296">
        <f>P149*(1+'R&amp;C-Painel de Controle'!$D$27)</f>
        <v>1.7133800663440726</v>
      </c>
      <c r="R149" s="296">
        <f>Q149*(1+'R&amp;C-Painel de Controle'!$D$27)</f>
        <v>1.7214329526558896</v>
      </c>
      <c r="S149" s="296">
        <f>R149*(1+'R&amp;C-Painel de Controle'!$D$27)</f>
        <v>1.7295236875333722</v>
      </c>
      <c r="T149" s="296">
        <f>S149*(1+'R&amp;C-Painel de Controle'!$D$27)</f>
        <v>1.7376524488647789</v>
      </c>
      <c r="U149" s="296">
        <f>T149*(1+'R&amp;C-Painel de Controle'!$D$27)</f>
        <v>1.7458194153744433</v>
      </c>
      <c r="V149" s="296">
        <f>U149*(1+'R&amp;C-Painel de Controle'!$D$27)</f>
        <v>1.754024766626703</v>
      </c>
      <c r="W149" s="296">
        <f>V149*(1+'R&amp;C-Painel de Controle'!$D$27)</f>
        <v>1.7622686830298484</v>
      </c>
      <c r="X149" s="296">
        <f>W149*(1+'R&amp;C-Painel de Controle'!$D$27)</f>
        <v>1.7705513458400886</v>
      </c>
      <c r="Y149" s="296">
        <f>X149*(1+'R&amp;C-Painel de Controle'!$D$27)</f>
        <v>1.7788729371655367</v>
      </c>
      <c r="Z149" s="296">
        <f>Y149*(1+'R&amp;C-Painel de Controle'!$D$27)</f>
        <v>1.7872336399702147</v>
      </c>
      <c r="AA149" s="296">
        <f>Z149*(1+'R&amp;C-Painel de Controle'!$D$27)</f>
        <v>1.7956336380780746</v>
      </c>
      <c r="AB149" s="296">
        <f>AA149*(1+'R&amp;C-Painel de Controle'!$D$27)</f>
        <v>1.8040731161770414</v>
      </c>
      <c r="AC149" s="296">
        <f>AB149*(1+'R&amp;C-Painel de Controle'!$D$27)</f>
        <v>1.8125522598230732</v>
      </c>
      <c r="AD149" s="296">
        <f>AC149*(1+'R&amp;C-Painel de Controle'!$D$27)</f>
        <v>1.8210712554442414</v>
      </c>
      <c r="AE149" s="296">
        <f>AD149*(1+'R&amp;C-Painel de Controle'!$D$27)</f>
        <v>1.8296302903448292</v>
      </c>
      <c r="AF149" s="296">
        <f>AE149*(1+'R&amp;C-Painel de Controle'!$D$27)</f>
        <v>1.8382295527094497</v>
      </c>
      <c r="AG149" s="296">
        <f>AF149*(1+'R&amp;C-Painel de Controle'!$D$27)</f>
        <v>1.846869231607184</v>
      </c>
      <c r="AH149" s="296">
        <f>AG149*(1+'R&amp;C-Painel de Controle'!$D$27)</f>
        <v>1.8555495169957377</v>
      </c>
      <c r="AI149" s="296">
        <f>AH149*(1+'R&amp;C-Painel de Controle'!$D$27)</f>
        <v>1.8642705997256175</v>
      </c>
      <c r="AJ149" s="296">
        <f>AI149*(1+'R&amp;C-Painel de Controle'!$D$27)</f>
        <v>1.8730326715443277</v>
      </c>
      <c r="AK149" s="296">
        <f>AJ149*(1+'R&amp;C-Painel de Controle'!$D$27)</f>
        <v>1.8818359251005858</v>
      </c>
      <c r="AL149" s="296">
        <f>AK149*(1+'R&amp;C-Painel de Controle'!$D$27)</f>
        <v>1.8906805539485585</v>
      </c>
      <c r="AM149" s="296">
        <f>AL149*(1+'R&amp;C-Painel de Controle'!$D$27)</f>
        <v>1.8995667525521165</v>
      </c>
      <c r="AN149" s="296">
        <f>AM149*(1+'R&amp;C-Painel de Controle'!$D$27)</f>
        <v>1.9084947162891113</v>
      </c>
      <c r="AO149" s="296">
        <f>AN149*(1+'R&amp;C-Painel de Controle'!$D$27)</f>
        <v>1.91746464145567</v>
      </c>
      <c r="AP149" s="296">
        <f>AO149*(1+'R&amp;C-Painel de Controle'!$D$27)</f>
        <v>1.9264767252705115</v>
      </c>
      <c r="AQ149" s="296">
        <f>AP149*(1+'R&amp;C-Painel de Controle'!$D$27)</f>
        <v>1.9355311658792829</v>
      </c>
      <c r="AR149" s="296">
        <f>AQ149*(1+'R&amp;C-Painel de Controle'!$D$27)</f>
        <v>1.9446281623589154</v>
      </c>
      <c r="AS149" s="296">
        <f>AR149*(1+'R&amp;C-Painel de Controle'!$D$27)</f>
        <v>1.9537679147220022</v>
      </c>
      <c r="AT149" s="296">
        <f>AS149*(1+'R&amp;C-Painel de Controle'!$D$27)</f>
        <v>1.9629506239211953</v>
      </c>
      <c r="AU149" s="296">
        <f>AT149*(1+'R&amp;C-Painel de Controle'!$D$27)</f>
        <v>1.9721764918536249</v>
      </c>
      <c r="AV149" s="296">
        <f>AU149*(1+'R&amp;C-Painel de Controle'!$D$27)</f>
        <v>1.9814457213653367</v>
      </c>
      <c r="AW149" s="296">
        <f>AV149*(1+'R&amp;C-Painel de Controle'!$D$27)</f>
        <v>1.9907585162557537</v>
      </c>
      <c r="AX149" s="296">
        <f>AW149*(1+'R&amp;C-Painel de Controle'!$D$27)</f>
        <v>2.0001150812821558</v>
      </c>
      <c r="AY149" s="296">
        <f>AX149*(1+'R&amp;C-Painel de Controle'!$D$27)</f>
        <v>2.0095156221641819</v>
      </c>
      <c r="AZ149" s="296">
        <f>AY149*(1+'R&amp;C-Painel de Controle'!$D$27)</f>
        <v>2.0189603455883534</v>
      </c>
      <c r="BA149" s="296">
        <f>AZ149*(1+'R&amp;C-Painel de Controle'!$D$27)</f>
        <v>2.0284494592126183</v>
      </c>
      <c r="BB149" s="296">
        <f>BA149*(1+'R&amp;C-Painel de Controle'!$D$27)</f>
        <v>2.0379831716709176</v>
      </c>
      <c r="BC149" s="296">
        <f>BB149*(1+'R&amp;C-Painel de Controle'!$D$27)</f>
        <v>2.0475616925777707</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34.725947361846359</v>
      </c>
      <c r="D151" s="297">
        <f t="shared" si="53"/>
        <v>34.905861638647032</v>
      </c>
      <c r="E151" s="297">
        <f t="shared" si="53"/>
        <v>35.08662151254866</v>
      </c>
      <c r="F151" s="297">
        <f t="shared" si="53"/>
        <v>6.8376026866550959</v>
      </c>
      <c r="G151" s="297">
        <f t="shared" si="53"/>
        <v>7.0200656963570225</v>
      </c>
      <c r="H151" s="297">
        <f t="shared" si="53"/>
        <v>7.2033862822045549</v>
      </c>
      <c r="I151" s="297">
        <f t="shared" si="53"/>
        <v>7.3875684748055619</v>
      </c>
      <c r="J151" s="297">
        <f t="shared" si="53"/>
        <v>7.5726163237117987</v>
      </c>
      <c r="K151" s="297">
        <f t="shared" si="53"/>
        <v>7.7585338975079026</v>
      </c>
      <c r="L151" s="297">
        <f t="shared" si="53"/>
        <v>7.9453252839008286</v>
      </c>
      <c r="M151" s="297">
        <f t="shared" si="53"/>
        <v>8.1329945898098117</v>
      </c>
      <c r="N151" s="297">
        <f t="shared" si="53"/>
        <v>8.32154594145657</v>
      </c>
      <c r="O151" s="297">
        <f t="shared" si="53"/>
        <v>8.5109834844560623</v>
      </c>
      <c r="P151" s="297">
        <f t="shared" si="53"/>
        <v>8.701311383907651</v>
      </c>
      <c r="Q151" s="297">
        <f t="shared" si="53"/>
        <v>8.8925338244866623</v>
      </c>
      <c r="R151" s="297">
        <f t="shared" si="53"/>
        <v>9.0846550105364017</v>
      </c>
      <c r="S151" s="297">
        <f t="shared" si="53"/>
        <v>9.2776791661605742</v>
      </c>
      <c r="T151" s="297">
        <f t="shared" si="53"/>
        <v>9.4716105353161737</v>
      </c>
      <c r="U151" s="297">
        <f t="shared" si="53"/>
        <v>9.6664533819068126</v>
      </c>
      <c r="V151" s="297">
        <f t="shared" si="53"/>
        <v>9.8622119898764211</v>
      </c>
      <c r="W151" s="297">
        <f t="shared" si="53"/>
        <v>10.058890663303487</v>
      </c>
      <c r="X151" s="297">
        <f t="shared" si="53"/>
        <v>10.256493726495663</v>
      </c>
      <c r="Y151" s="297">
        <f t="shared" si="53"/>
        <v>10.455025524084839</v>
      </c>
      <c r="Z151" s="297">
        <f t="shared" si="53"/>
        <v>10.654490421122688</v>
      </c>
      <c r="AA151" s="297">
        <f t="shared" si="53"/>
        <v>10.854892803176611</v>
      </c>
      <c r="AB151" s="297">
        <f t="shared" si="53"/>
        <v>11.056237076426193</v>
      </c>
      <c r="AC151" s="297">
        <f t="shared" si="53"/>
        <v>11.258527667760042</v>
      </c>
      <c r="AD151" s="297">
        <f t="shared" si="53"/>
        <v>11.461769024873156</v>
      </c>
      <c r="AE151" s="297">
        <f t="shared" si="53"/>
        <v>11.665965616364716</v>
      </c>
      <c r="AF151" s="297">
        <f t="shared" si="53"/>
        <v>11.871121931836271</v>
      </c>
      <c r="AG151" s="297">
        <f t="shared" si="53"/>
        <v>12.077242481990552</v>
      </c>
      <c r="AH151" s="297">
        <f t="shared" si="53"/>
        <v>12.284331798730562</v>
      </c>
      <c r="AI151" s="297">
        <f t="shared" si="53"/>
        <v>12.492394435259243</v>
      </c>
      <c r="AJ151" s="297">
        <f t="shared" si="53"/>
        <v>12.701434966179612</v>
      </c>
      <c r="AK151" s="297">
        <f t="shared" si="53"/>
        <v>12.911457987595305</v>
      </c>
      <c r="AL151" s="297">
        <f t="shared" si="53"/>
        <v>13.122468117211646</v>
      </c>
      <c r="AM151" s="297">
        <f t="shared" si="53"/>
        <v>13.334469994437192</v>
      </c>
      <c r="AN151" s="297">
        <f t="shared" si="53"/>
        <v>13.54746828048571</v>
      </c>
      <c r="AO151" s="297">
        <f t="shared" si="53"/>
        <v>13.76146765847863</v>
      </c>
      <c r="AP151" s="297">
        <f t="shared" si="53"/>
        <v>13.976472833548129</v>
      </c>
      <c r="AQ151" s="297">
        <f t="shared" si="53"/>
        <v>14.192488532940452</v>
      </c>
      <c r="AR151" s="297">
        <f t="shared" si="53"/>
        <v>14.409519506119921</v>
      </c>
      <c r="AS151" s="297">
        <f t="shared" si="53"/>
        <v>14.627570524873335</v>
      </c>
      <c r="AT151" s="297">
        <f t="shared" si="53"/>
        <v>14.846646383414893</v>
      </c>
      <c r="AU151" s="297">
        <f t="shared" si="53"/>
        <v>15.066751898491596</v>
      </c>
      <c r="AV151" s="297">
        <f t="shared" si="53"/>
        <v>15.287891909489154</v>
      </c>
      <c r="AW151" s="297">
        <f t="shared" si="53"/>
        <v>15.510071278538398</v>
      </c>
      <c r="AX151" s="297">
        <f t="shared" si="53"/>
        <v>15.733294890622183</v>
      </c>
      <c r="AY151" s="297">
        <f t="shared" si="53"/>
        <v>15.957567653682759</v>
      </c>
      <c r="AZ151" s="297">
        <f t="shared" si="53"/>
        <v>16.182894498729709</v>
      </c>
      <c r="BA151" s="297">
        <f t="shared" si="53"/>
        <v>16.409280379948392</v>
      </c>
      <c r="BB151" s="297">
        <f t="shared" si="53"/>
        <v>16.636730274808805</v>
      </c>
      <c r="BC151" s="297">
        <f t="shared" si="53"/>
        <v>16.865249184175063</v>
      </c>
    </row>
    <row r="152" spans="2:58" s="197" customFormat="1" ht="16.899999999999999" customHeight="1" outlineLevel="1" x14ac:dyDescent="0.25">
      <c r="B152" s="197" t="s">
        <v>413</v>
      </c>
      <c r="C152" s="297">
        <f>C63</f>
        <v>79.308724236660794</v>
      </c>
      <c r="D152" s="297">
        <f>IF(SUM($C$152:C152)&lt;'R&amp;C-Painel de Controle'!$H$24,D63,0)</f>
        <v>121.06304957243202</v>
      </c>
      <c r="E152" s="297">
        <f>IF(SUM($C$152:D152)&lt;'R&amp;C-Painel de Controle'!$H$24,E63,0)</f>
        <v>111.3935103955976</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-44.582776874814435</v>
      </c>
      <c r="D153" s="297">
        <f t="shared" si="54"/>
        <v>-86.157187933784996</v>
      </c>
      <c r="E153" s="297">
        <f t="shared" si="54"/>
        <v>-76.306888883048941</v>
      </c>
      <c r="F153" s="297">
        <f t="shared" si="54"/>
        <v>6.8376026866550959</v>
      </c>
      <c r="G153" s="297">
        <f t="shared" si="54"/>
        <v>7.0200656963570225</v>
      </c>
      <c r="H153" s="297">
        <f t="shared" si="54"/>
        <v>7.2033862822045549</v>
      </c>
      <c r="I153" s="297">
        <f t="shared" si="54"/>
        <v>7.3875684748055619</v>
      </c>
      <c r="J153" s="297">
        <f t="shared" si="54"/>
        <v>7.5726163237117987</v>
      </c>
      <c r="K153" s="297">
        <f t="shared" si="54"/>
        <v>7.7585338975079026</v>
      </c>
      <c r="L153" s="297">
        <f t="shared" si="54"/>
        <v>7.9453252839008286</v>
      </c>
      <c r="M153" s="297">
        <f t="shared" si="54"/>
        <v>8.1329945898098117</v>
      </c>
      <c r="N153" s="297">
        <f t="shared" si="54"/>
        <v>8.32154594145657</v>
      </c>
      <c r="O153" s="297">
        <f t="shared" si="54"/>
        <v>8.5109834844560623</v>
      </c>
      <c r="P153" s="297">
        <f t="shared" si="54"/>
        <v>8.701311383907651</v>
      </c>
      <c r="Q153" s="297">
        <f t="shared" si="54"/>
        <v>8.8925338244866623</v>
      </c>
      <c r="R153" s="297">
        <f t="shared" si="54"/>
        <v>9.0846550105364017</v>
      </c>
      <c r="S153" s="297">
        <f t="shared" si="54"/>
        <v>9.2776791661605742</v>
      </c>
      <c r="T153" s="297">
        <f t="shared" si="54"/>
        <v>9.4716105353161737</v>
      </c>
      <c r="U153" s="297">
        <f t="shared" si="54"/>
        <v>9.6664533819068126</v>
      </c>
      <c r="V153" s="297">
        <f t="shared" si="54"/>
        <v>9.8622119898764211</v>
      </c>
      <c r="W153" s="297">
        <f t="shared" si="54"/>
        <v>10.058890663303487</v>
      </c>
      <c r="X153" s="297">
        <f t="shared" si="54"/>
        <v>10.256493726495663</v>
      </c>
      <c r="Y153" s="297">
        <f t="shared" si="54"/>
        <v>10.455025524084839</v>
      </c>
      <c r="Z153" s="297">
        <f t="shared" si="54"/>
        <v>10.654490421122688</v>
      </c>
      <c r="AA153" s="297">
        <f t="shared" si="54"/>
        <v>10.854892803176611</v>
      </c>
      <c r="AB153" s="297">
        <f t="shared" si="54"/>
        <v>11.056237076426193</v>
      </c>
      <c r="AC153" s="297">
        <f t="shared" si="54"/>
        <v>11.258527667760042</v>
      </c>
      <c r="AD153" s="297">
        <f t="shared" si="54"/>
        <v>11.461769024873156</v>
      </c>
      <c r="AE153" s="297">
        <f t="shared" si="54"/>
        <v>11.665965616364716</v>
      </c>
      <c r="AF153" s="297">
        <f t="shared" si="54"/>
        <v>11.871121931836271</v>
      </c>
      <c r="AG153" s="297">
        <f t="shared" si="54"/>
        <v>12.077242481990552</v>
      </c>
      <c r="AH153" s="297">
        <f t="shared" si="54"/>
        <v>12.284331798730562</v>
      </c>
      <c r="AI153" s="297">
        <f t="shared" si="54"/>
        <v>12.492394435259243</v>
      </c>
      <c r="AJ153" s="297">
        <f t="shared" si="54"/>
        <v>12.701434966179612</v>
      </c>
      <c r="AK153" s="297">
        <f t="shared" si="54"/>
        <v>12.911457987595305</v>
      </c>
      <c r="AL153" s="297">
        <f t="shared" si="54"/>
        <v>13.122468117211646</v>
      </c>
      <c r="AM153" s="297">
        <f t="shared" si="54"/>
        <v>13.334469994437192</v>
      </c>
      <c r="AN153" s="297">
        <f t="shared" si="54"/>
        <v>13.54746828048571</v>
      </c>
      <c r="AO153" s="297">
        <f t="shared" si="54"/>
        <v>13.76146765847863</v>
      </c>
      <c r="AP153" s="297">
        <f t="shared" si="54"/>
        <v>13.976472833548129</v>
      </c>
      <c r="AQ153" s="297">
        <f t="shared" si="54"/>
        <v>14.192488532940452</v>
      </c>
      <c r="AR153" s="297">
        <f t="shared" si="54"/>
        <v>14.409519506119921</v>
      </c>
      <c r="AS153" s="297">
        <f t="shared" si="54"/>
        <v>14.627570524873335</v>
      </c>
      <c r="AT153" s="297">
        <f t="shared" si="54"/>
        <v>14.846646383414893</v>
      </c>
      <c r="AU153" s="297">
        <f t="shared" si="54"/>
        <v>15.066751898491596</v>
      </c>
      <c r="AV153" s="297">
        <f t="shared" si="54"/>
        <v>15.287891909489154</v>
      </c>
      <c r="AW153" s="297">
        <f t="shared" si="54"/>
        <v>15.510071278538398</v>
      </c>
      <c r="AX153" s="297">
        <f t="shared" si="54"/>
        <v>15.733294890622183</v>
      </c>
      <c r="AY153" s="297">
        <f t="shared" si="54"/>
        <v>15.957567653682759</v>
      </c>
      <c r="AZ153" s="297">
        <f t="shared" si="54"/>
        <v>16.182894498729709</v>
      </c>
      <c r="BA153" s="297">
        <f t="shared" si="54"/>
        <v>16.409280379948392</v>
      </c>
      <c r="BB153" s="297">
        <f t="shared" si="54"/>
        <v>16.636730274808805</v>
      </c>
      <c r="BC153" s="297">
        <f t="shared" si="54"/>
        <v>16.865249184175063</v>
      </c>
    </row>
    <row r="154" spans="2:58" s="197" customFormat="1" ht="16.899999999999999" customHeight="1" outlineLevel="1" x14ac:dyDescent="0.25">
      <c r="B154" s="291" t="s">
        <v>415</v>
      </c>
      <c r="C154" s="297">
        <f>IF((C153&gt;0),C153*(1-($C$26+$C$25)),C153)</f>
        <v>-44.582776874814435</v>
      </c>
      <c r="D154" s="297">
        <f t="shared" ref="D154:BC154" si="55">IF((D153&gt;0),D153*(1-($C$26+$C$25)),D153)</f>
        <v>-86.157187933784996</v>
      </c>
      <c r="E154" s="297">
        <f t="shared" si="55"/>
        <v>-76.306888883048941</v>
      </c>
      <c r="F154" s="297">
        <f t="shared" si="55"/>
        <v>4.5128177731923635</v>
      </c>
      <c r="G154" s="297">
        <f t="shared" si="55"/>
        <v>4.6332433595956353</v>
      </c>
      <c r="H154" s="297">
        <f t="shared" si="55"/>
        <v>4.7542349462550062</v>
      </c>
      <c r="I154" s="297">
        <f t="shared" si="55"/>
        <v>4.8757951933716708</v>
      </c>
      <c r="J154" s="297">
        <f t="shared" si="55"/>
        <v>4.9979267736497874</v>
      </c>
      <c r="K154" s="297">
        <f t="shared" si="55"/>
        <v>5.1206323723552156</v>
      </c>
      <c r="L154" s="297">
        <f t="shared" si="55"/>
        <v>5.2439146873745468</v>
      </c>
      <c r="M154" s="297">
        <f t="shared" si="55"/>
        <v>5.3677764292744756</v>
      </c>
      <c r="N154" s="297">
        <f t="shared" si="55"/>
        <v>5.4922203213613363</v>
      </c>
      <c r="O154" s="297">
        <f t="shared" si="55"/>
        <v>5.6172490997410014</v>
      </c>
      <c r="P154" s="297">
        <f t="shared" si="55"/>
        <v>5.7428655133790496</v>
      </c>
      <c r="Q154" s="297">
        <f t="shared" si="55"/>
        <v>5.8690723241611975</v>
      </c>
      <c r="R154" s="297">
        <f t="shared" si="55"/>
        <v>5.9958723069540252</v>
      </c>
      <c r="S154" s="297">
        <f t="shared" si="55"/>
        <v>6.1232682496659789</v>
      </c>
      <c r="T154" s="297">
        <f t="shared" si="55"/>
        <v>6.2512629533086752</v>
      </c>
      <c r="U154" s="297">
        <f t="shared" si="55"/>
        <v>6.3798592320584966</v>
      </c>
      <c r="V154" s="297">
        <f t="shared" si="55"/>
        <v>6.5090599133184384</v>
      </c>
      <c r="W154" s="297">
        <f t="shared" si="55"/>
        <v>6.6388678377803014</v>
      </c>
      <c r="X154" s="297">
        <f t="shared" si="55"/>
        <v>6.7692858594871375</v>
      </c>
      <c r="Y154" s="297">
        <f t="shared" si="55"/>
        <v>6.9003168458959943</v>
      </c>
      <c r="Z154" s="297">
        <f t="shared" si="55"/>
        <v>7.0319636779409747</v>
      </c>
      <c r="AA154" s="297">
        <f t="shared" si="55"/>
        <v>7.1642292500965636</v>
      </c>
      <c r="AB154" s="297">
        <f t="shared" si="55"/>
        <v>7.2971164704412876</v>
      </c>
      <c r="AC154" s="297">
        <f t="shared" si="55"/>
        <v>7.4306282607216279</v>
      </c>
      <c r="AD154" s="297">
        <f t="shared" si="55"/>
        <v>7.5647675564162835</v>
      </c>
      <c r="AE154" s="297">
        <f t="shared" si="55"/>
        <v>7.6995373068007122</v>
      </c>
      <c r="AF154" s="297">
        <f t="shared" si="55"/>
        <v>7.8349404750119387</v>
      </c>
      <c r="AG154" s="297">
        <f t="shared" si="55"/>
        <v>7.9709800381137645</v>
      </c>
      <c r="AH154" s="297">
        <f t="shared" si="55"/>
        <v>8.1076589871621714</v>
      </c>
      <c r="AI154" s="297">
        <f t="shared" si="55"/>
        <v>8.2449803272711009</v>
      </c>
      <c r="AJ154" s="297">
        <f t="shared" si="55"/>
        <v>8.3829470776785442</v>
      </c>
      <c r="AK154" s="297">
        <f t="shared" si="55"/>
        <v>8.5215622718129023</v>
      </c>
      <c r="AL154" s="297">
        <f t="shared" si="55"/>
        <v>8.6608289573596871</v>
      </c>
      <c r="AM154" s="297">
        <f t="shared" si="55"/>
        <v>8.800750196328547</v>
      </c>
      <c r="AN154" s="297">
        <f t="shared" si="55"/>
        <v>8.9413290651205681</v>
      </c>
      <c r="AO154" s="297">
        <f t="shared" si="55"/>
        <v>9.0825686545958959</v>
      </c>
      <c r="AP154" s="297">
        <f t="shared" si="55"/>
        <v>9.2244720701417666</v>
      </c>
      <c r="AQ154" s="297">
        <f t="shared" si="55"/>
        <v>9.3670424317406979</v>
      </c>
      <c r="AR154" s="297">
        <f t="shared" si="55"/>
        <v>9.5102828740391487</v>
      </c>
      <c r="AS154" s="297">
        <f t="shared" si="55"/>
        <v>9.6541965464164008</v>
      </c>
      <c r="AT154" s="297">
        <f t="shared" si="55"/>
        <v>9.7987866130538297</v>
      </c>
      <c r="AU154" s="297">
        <f t="shared" si="55"/>
        <v>9.9440562530044545</v>
      </c>
      <c r="AV154" s="297">
        <f t="shared" si="55"/>
        <v>10.090008660262843</v>
      </c>
      <c r="AW154" s="297">
        <f t="shared" si="55"/>
        <v>10.236647043835342</v>
      </c>
      <c r="AX154" s="297">
        <f t="shared" si="55"/>
        <v>10.383974627810641</v>
      </c>
      <c r="AY154" s="297">
        <f t="shared" si="55"/>
        <v>10.531994651430621</v>
      </c>
      <c r="AZ154" s="297">
        <f t="shared" si="55"/>
        <v>10.680710369161609</v>
      </c>
      <c r="BA154" s="297">
        <f t="shared" si="55"/>
        <v>10.83012505076594</v>
      </c>
      <c r="BB154" s="297">
        <f t="shared" si="55"/>
        <v>10.980241981373812</v>
      </c>
      <c r="BC154" s="297">
        <f t="shared" si="55"/>
        <v>11.131064461555543</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-44.582776874814435</v>
      </c>
      <c r="D156" s="297">
        <f t="shared" ref="D156:BC156" si="56">D154</f>
        <v>-86.157187933784996</v>
      </c>
      <c r="E156" s="297">
        <f t="shared" si="56"/>
        <v>-76.306888883048941</v>
      </c>
      <c r="F156" s="297">
        <f t="shared" si="56"/>
        <v>4.5128177731923635</v>
      </c>
      <c r="G156" s="297">
        <f t="shared" si="56"/>
        <v>4.6332433595956353</v>
      </c>
      <c r="H156" s="297">
        <f t="shared" si="56"/>
        <v>4.7542349462550062</v>
      </c>
      <c r="I156" s="297">
        <f t="shared" si="56"/>
        <v>4.8757951933716708</v>
      </c>
      <c r="J156" s="297">
        <f t="shared" si="56"/>
        <v>4.9979267736497874</v>
      </c>
      <c r="K156" s="297">
        <f t="shared" si="56"/>
        <v>5.1206323723552156</v>
      </c>
      <c r="L156" s="297">
        <f t="shared" si="56"/>
        <v>5.2439146873745468</v>
      </c>
      <c r="M156" s="297">
        <f t="shared" si="56"/>
        <v>5.3677764292744756</v>
      </c>
      <c r="N156" s="297">
        <f t="shared" si="56"/>
        <v>5.4922203213613363</v>
      </c>
      <c r="O156" s="297">
        <f t="shared" si="56"/>
        <v>5.6172490997410014</v>
      </c>
      <c r="P156" s="297">
        <f t="shared" si="56"/>
        <v>5.7428655133790496</v>
      </c>
      <c r="Q156" s="297">
        <f t="shared" si="56"/>
        <v>5.8690723241611975</v>
      </c>
      <c r="R156" s="297">
        <f t="shared" si="56"/>
        <v>5.9958723069540252</v>
      </c>
      <c r="S156" s="297">
        <f t="shared" si="56"/>
        <v>6.1232682496659789</v>
      </c>
      <c r="T156" s="297">
        <f t="shared" si="56"/>
        <v>6.2512629533086752</v>
      </c>
      <c r="U156" s="297">
        <f t="shared" si="56"/>
        <v>6.3798592320584966</v>
      </c>
      <c r="V156" s="297">
        <f t="shared" si="56"/>
        <v>6.5090599133184384</v>
      </c>
      <c r="W156" s="297">
        <f t="shared" si="56"/>
        <v>6.6388678377803014</v>
      </c>
      <c r="X156" s="297">
        <f t="shared" si="56"/>
        <v>6.7692858594871375</v>
      </c>
      <c r="Y156" s="297">
        <f t="shared" si="56"/>
        <v>6.9003168458959943</v>
      </c>
      <c r="Z156" s="297">
        <f t="shared" si="56"/>
        <v>7.0319636779409747</v>
      </c>
      <c r="AA156" s="297">
        <f t="shared" si="56"/>
        <v>7.1642292500965636</v>
      </c>
      <c r="AB156" s="297">
        <f t="shared" si="56"/>
        <v>7.2971164704412876</v>
      </c>
      <c r="AC156" s="297">
        <f t="shared" si="56"/>
        <v>7.4306282607216279</v>
      </c>
      <c r="AD156" s="297">
        <f t="shared" si="56"/>
        <v>7.5647675564162835</v>
      </c>
      <c r="AE156" s="297">
        <f t="shared" si="56"/>
        <v>7.6995373068007122</v>
      </c>
      <c r="AF156" s="297">
        <f t="shared" si="56"/>
        <v>7.8349404750119387</v>
      </c>
      <c r="AG156" s="297">
        <f t="shared" si="56"/>
        <v>7.9709800381137645</v>
      </c>
      <c r="AH156" s="297">
        <f t="shared" si="56"/>
        <v>8.1076589871621714</v>
      </c>
      <c r="AI156" s="297">
        <f t="shared" si="56"/>
        <v>8.2449803272711009</v>
      </c>
      <c r="AJ156" s="297">
        <f t="shared" si="56"/>
        <v>8.3829470776785442</v>
      </c>
      <c r="AK156" s="297">
        <f t="shared" si="56"/>
        <v>8.5215622718129023</v>
      </c>
      <c r="AL156" s="297">
        <f t="shared" si="56"/>
        <v>8.6608289573596871</v>
      </c>
      <c r="AM156" s="297">
        <f t="shared" si="56"/>
        <v>8.800750196328547</v>
      </c>
      <c r="AN156" s="297">
        <f t="shared" si="56"/>
        <v>8.9413290651205681</v>
      </c>
      <c r="AO156" s="297">
        <f t="shared" si="56"/>
        <v>9.0825686545958959</v>
      </c>
      <c r="AP156" s="297">
        <f t="shared" si="56"/>
        <v>9.2244720701417666</v>
      </c>
      <c r="AQ156" s="297">
        <f t="shared" si="56"/>
        <v>9.3670424317406979</v>
      </c>
      <c r="AR156" s="297">
        <f t="shared" si="56"/>
        <v>9.5102828740391487</v>
      </c>
      <c r="AS156" s="297">
        <f t="shared" si="56"/>
        <v>9.6541965464164008</v>
      </c>
      <c r="AT156" s="297">
        <f t="shared" si="56"/>
        <v>9.7987866130538297</v>
      </c>
      <c r="AU156" s="297">
        <f t="shared" si="56"/>
        <v>9.9440562530044545</v>
      </c>
      <c r="AV156" s="297">
        <f t="shared" si="56"/>
        <v>10.090008660262843</v>
      </c>
      <c r="AW156" s="297">
        <f t="shared" si="56"/>
        <v>10.236647043835342</v>
      </c>
      <c r="AX156" s="297">
        <f t="shared" si="56"/>
        <v>10.383974627810641</v>
      </c>
      <c r="AY156" s="297">
        <f t="shared" si="56"/>
        <v>10.531994651430621</v>
      </c>
      <c r="AZ156" s="297">
        <f t="shared" si="56"/>
        <v>10.680710369161609</v>
      </c>
      <c r="BA156" s="297">
        <f t="shared" si="56"/>
        <v>10.83012505076594</v>
      </c>
      <c r="BB156" s="297">
        <f t="shared" si="56"/>
        <v>10.980241981373812</v>
      </c>
      <c r="BC156" s="297">
        <f t="shared" si="56"/>
        <v>11.131064461555543</v>
      </c>
    </row>
    <row r="157" spans="2:58" s="197" customFormat="1" ht="16.899999999999999" customHeight="1" outlineLevel="1" x14ac:dyDescent="0.25">
      <c r="B157" s="197" t="s">
        <v>465</v>
      </c>
      <c r="C157" s="297">
        <f>C156</f>
        <v>-44.582776874814435</v>
      </c>
      <c r="D157" s="297">
        <f t="shared" ref="D157:BC157" si="57">C157+D156</f>
        <v>-130.73996480859944</v>
      </c>
      <c r="E157" s="297">
        <f t="shared" si="57"/>
        <v>-207.04685369164838</v>
      </c>
      <c r="F157" s="297">
        <f t="shared" si="57"/>
        <v>-202.53403591845603</v>
      </c>
      <c r="G157" s="297">
        <f t="shared" si="57"/>
        <v>-197.90079255886039</v>
      </c>
      <c r="H157" s="297">
        <f t="shared" si="57"/>
        <v>-193.14655761260539</v>
      </c>
      <c r="I157" s="297">
        <f t="shared" si="57"/>
        <v>-188.27076241923373</v>
      </c>
      <c r="J157" s="297">
        <f t="shared" si="57"/>
        <v>-183.27283564558394</v>
      </c>
      <c r="K157" s="297">
        <f t="shared" si="57"/>
        <v>-178.15220327322874</v>
      </c>
      <c r="L157" s="297">
        <f t="shared" si="57"/>
        <v>-172.90828858585419</v>
      </c>
      <c r="M157" s="297">
        <f t="shared" si="57"/>
        <v>-167.54051215657972</v>
      </c>
      <c r="N157" s="297">
        <f t="shared" si="57"/>
        <v>-162.04829183521838</v>
      </c>
      <c r="O157" s="297">
        <f t="shared" si="57"/>
        <v>-156.43104273547738</v>
      </c>
      <c r="P157" s="297">
        <f t="shared" si="57"/>
        <v>-150.68817722209832</v>
      </c>
      <c r="Q157" s="297">
        <f t="shared" si="57"/>
        <v>-144.81910489793711</v>
      </c>
      <c r="R157" s="297">
        <f t="shared" si="57"/>
        <v>-138.82323259098308</v>
      </c>
      <c r="S157" s="297">
        <f t="shared" si="57"/>
        <v>-132.6999643413171</v>
      </c>
      <c r="T157" s="297">
        <f t="shared" si="57"/>
        <v>-126.44870138800843</v>
      </c>
      <c r="U157" s="297">
        <f t="shared" si="57"/>
        <v>-120.06884215594994</v>
      </c>
      <c r="V157" s="297">
        <f t="shared" si="57"/>
        <v>-113.5597822426315</v>
      </c>
      <c r="W157" s="297">
        <f t="shared" si="57"/>
        <v>-106.9209144048512</v>
      </c>
      <c r="X157" s="297">
        <f t="shared" si="57"/>
        <v>-100.15162854536406</v>
      </c>
      <c r="Y157" s="297">
        <f t="shared" si="57"/>
        <v>-93.251311699468062</v>
      </c>
      <c r="Z157" s="297">
        <f t="shared" si="57"/>
        <v>-86.219348021527082</v>
      </c>
      <c r="AA157" s="297">
        <f t="shared" si="57"/>
        <v>-79.055118771430514</v>
      </c>
      <c r="AB157" s="297">
        <f t="shared" si="57"/>
        <v>-71.758002300989233</v>
      </c>
      <c r="AC157" s="297">
        <f t="shared" si="57"/>
        <v>-64.3273740402676</v>
      </c>
      <c r="AD157" s="297">
        <f t="shared" si="57"/>
        <v>-56.762606483851314</v>
      </c>
      <c r="AE157" s="297">
        <f t="shared" si="57"/>
        <v>-49.0630691770506</v>
      </c>
      <c r="AF157" s="297">
        <f t="shared" si="57"/>
        <v>-41.22812870203866</v>
      </c>
      <c r="AG157" s="297">
        <f t="shared" si="57"/>
        <v>-33.257148663924895</v>
      </c>
      <c r="AH157" s="297">
        <f t="shared" si="57"/>
        <v>-25.149489676762723</v>
      </c>
      <c r="AI157" s="297">
        <f t="shared" si="57"/>
        <v>-16.904509349491622</v>
      </c>
      <c r="AJ157" s="297">
        <f t="shared" si="57"/>
        <v>-8.5215622718130781</v>
      </c>
      <c r="AK157" s="297">
        <f t="shared" si="57"/>
        <v>-1.758593271006248E-13</v>
      </c>
      <c r="AL157" s="297">
        <f t="shared" si="57"/>
        <v>8.6608289573595112</v>
      </c>
      <c r="AM157" s="297">
        <f t="shared" si="57"/>
        <v>17.461579153688056</v>
      </c>
      <c r="AN157" s="297">
        <f t="shared" si="57"/>
        <v>26.402908218808626</v>
      </c>
      <c r="AO157" s="297">
        <f t="shared" si="57"/>
        <v>35.485476873404522</v>
      </c>
      <c r="AP157" s="297">
        <f t="shared" si="57"/>
        <v>44.709948943546287</v>
      </c>
      <c r="AQ157" s="297">
        <f t="shared" si="57"/>
        <v>54.076991375286987</v>
      </c>
      <c r="AR157" s="297">
        <f t="shared" si="57"/>
        <v>63.587274249326136</v>
      </c>
      <c r="AS157" s="297">
        <f t="shared" si="57"/>
        <v>73.241470795742543</v>
      </c>
      <c r="AT157" s="297">
        <f t="shared" si="57"/>
        <v>83.040257408796379</v>
      </c>
      <c r="AU157" s="297">
        <f t="shared" si="57"/>
        <v>92.984313661800826</v>
      </c>
      <c r="AV157" s="297">
        <f t="shared" si="57"/>
        <v>103.07432232206367</v>
      </c>
      <c r="AW157" s="297">
        <f t="shared" si="57"/>
        <v>113.31096936589901</v>
      </c>
      <c r="AX157" s="297">
        <f t="shared" si="57"/>
        <v>123.69494399370966</v>
      </c>
      <c r="AY157" s="297">
        <f t="shared" si="57"/>
        <v>134.22693864514028</v>
      </c>
      <c r="AZ157" s="297">
        <f t="shared" si="57"/>
        <v>144.90764901430188</v>
      </c>
      <c r="BA157" s="297">
        <f t="shared" si="57"/>
        <v>155.73777406506781</v>
      </c>
      <c r="BB157" s="297">
        <f t="shared" si="57"/>
        <v>166.71801604644162</v>
      </c>
      <c r="BC157" s="297">
        <f t="shared" si="57"/>
        <v>177.84908050799717</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-40.625821828699145</v>
      </c>
      <c r="D159" s="300">
        <f t="shared" ref="D159:BC159" si="58">NPV($C$28,D156)</f>
        <v>-78.510286070516671</v>
      </c>
      <c r="E159" s="300">
        <f t="shared" si="58"/>
        <v>-69.534252672725486</v>
      </c>
      <c r="F159" s="300">
        <f t="shared" si="58"/>
        <v>4.1122815502026278</v>
      </c>
      <c r="G159" s="300">
        <f t="shared" si="58"/>
        <v>4.2220187348237976</v>
      </c>
      <c r="H159" s="300">
        <f t="shared" si="58"/>
        <v>4.3322716842126905</v>
      </c>
      <c r="I159" s="300">
        <f t="shared" si="58"/>
        <v>4.4430428224637062</v>
      </c>
      <c r="J159" s="300">
        <f t="shared" si="58"/>
        <v>4.5543345850645052</v>
      </c>
      <c r="K159" s="300">
        <f t="shared" si="58"/>
        <v>4.6661494189495318</v>
      </c>
      <c r="L159" s="300">
        <f t="shared" si="58"/>
        <v>4.7784897825538062</v>
      </c>
      <c r="M159" s="300">
        <f t="shared" si="58"/>
        <v>4.8913581458670272</v>
      </c>
      <c r="N159" s="300">
        <f t="shared" si="58"/>
        <v>5.0047569904878229</v>
      </c>
      <c r="O159" s="300">
        <f t="shared" si="58"/>
        <v>5.1186888096783321</v>
      </c>
      <c r="P159" s="300">
        <f t="shared" si="58"/>
        <v>5.2331561084190357</v>
      </c>
      <c r="Q159" s="300">
        <f t="shared" si="58"/>
        <v>5.3481614034638216</v>
      </c>
      <c r="R159" s="300">
        <f t="shared" si="58"/>
        <v>5.4637072233953212</v>
      </c>
      <c r="S159" s="300">
        <f t="shared" si="58"/>
        <v>5.5797961086804984</v>
      </c>
      <c r="T159" s="300">
        <f t="shared" si="58"/>
        <v>5.6964306117265133</v>
      </c>
      <c r="U159" s="300">
        <f t="shared" si="58"/>
        <v>5.8136132969368477</v>
      </c>
      <c r="V159" s="300">
        <f t="shared" si="58"/>
        <v>5.9313467407676681</v>
      </c>
      <c r="W159" s="300">
        <f t="shared" si="58"/>
        <v>6.049633531784492</v>
      </c>
      <c r="X159" s="300">
        <f t="shared" si="58"/>
        <v>6.1684762707190979</v>
      </c>
      <c r="Y159" s="300">
        <f t="shared" si="58"/>
        <v>6.2878775705266943</v>
      </c>
      <c r="Z159" s="300">
        <f t="shared" si="58"/>
        <v>6.4078400564433888</v>
      </c>
      <c r="AA159" s="300">
        <f t="shared" si="58"/>
        <v>6.5283663660438895</v>
      </c>
      <c r="AB159" s="300">
        <f t="shared" si="58"/>
        <v>6.6494591492995152</v>
      </c>
      <c r="AC159" s="300">
        <f t="shared" si="58"/>
        <v>6.7711210686364396</v>
      </c>
      <c r="AD159" s="300">
        <f t="shared" si="58"/>
        <v>6.8933547989942445</v>
      </c>
      <c r="AE159" s="300">
        <f t="shared" si="58"/>
        <v>7.0161630278847396</v>
      </c>
      <c r="AF159" s="300">
        <f t="shared" si="58"/>
        <v>7.1395484554510107</v>
      </c>
      <c r="AG159" s="300">
        <f t="shared" si="58"/>
        <v>7.2635137945268502</v>
      </c>
      <c r="AH159" s="300">
        <f t="shared" si="58"/>
        <v>7.3880617706963481</v>
      </c>
      <c r="AI159" s="300">
        <f t="shared" si="58"/>
        <v>7.5131951223538378</v>
      </c>
      <c r="AJ159" s="300">
        <f t="shared" si="58"/>
        <v>7.6389166007641194</v>
      </c>
      <c r="AK159" s="300">
        <f t="shared" si="58"/>
        <v>7.7652289701229291</v>
      </c>
      <c r="AL159" s="300">
        <f t="shared" si="58"/>
        <v>7.8921350076177212</v>
      </c>
      <c r="AM159" s="300">
        <f t="shared" si="58"/>
        <v>8.0196375034887435</v>
      </c>
      <c r="AN159" s="300">
        <f t="shared" si="58"/>
        <v>8.1477392610903667</v>
      </c>
      <c r="AO159" s="300">
        <f t="shared" si="58"/>
        <v>8.2764430969527023</v>
      </c>
      <c r="AP159" s="300">
        <f t="shared" si="58"/>
        <v>8.4057518408436014</v>
      </c>
      <c r="AQ159" s="300">
        <f t="shared" si="58"/>
        <v>8.5356683358307812</v>
      </c>
      <c r="AR159" s="300">
        <f t="shared" si="58"/>
        <v>8.6661954383444044</v>
      </c>
      <c r="AS159" s="300">
        <f t="shared" si="58"/>
        <v>8.7973360182398412</v>
      </c>
      <c r="AT159" s="300">
        <f t="shared" si="58"/>
        <v>8.9290929588607888</v>
      </c>
      <c r="AU159" s="300">
        <f t="shared" si="58"/>
        <v>9.0614691571026569</v>
      </c>
      <c r="AV159" s="300">
        <f t="shared" si="58"/>
        <v>9.1944675234762556</v>
      </c>
      <c r="AW159" s="300">
        <f t="shared" si="58"/>
        <v>9.3280909821718083</v>
      </c>
      <c r="AX159" s="300">
        <f t="shared" si="58"/>
        <v>9.4623424711232378</v>
      </c>
      <c r="AY159" s="300">
        <f t="shared" si="58"/>
        <v>9.5972249420727369</v>
      </c>
      <c r="AZ159" s="300">
        <f t="shared" si="58"/>
        <v>9.7327413606356927</v>
      </c>
      <c r="BA159" s="300">
        <f t="shared" si="58"/>
        <v>9.8688947063659018</v>
      </c>
      <c r="BB159" s="300">
        <f t="shared" si="58"/>
        <v>10.005687972821043</v>
      </c>
      <c r="BC159" s="300">
        <f t="shared" si="58"/>
        <v>10.143124167628525</v>
      </c>
    </row>
    <row r="160" spans="2:58" s="197" customFormat="1" ht="16.899999999999999" customHeight="1" outlineLevel="1" x14ac:dyDescent="0.25">
      <c r="B160" s="301" t="s">
        <v>467</v>
      </c>
      <c r="C160" s="300">
        <f>C159</f>
        <v>-40.625821828699145</v>
      </c>
      <c r="D160" s="300">
        <f t="shared" ref="D160:BC160" si="59">C160+D159</f>
        <v>-119.13610789921582</v>
      </c>
      <c r="E160" s="300">
        <f t="shared" si="59"/>
        <v>-188.6703605719413</v>
      </c>
      <c r="F160" s="300">
        <f t="shared" si="59"/>
        <v>-184.55807902173868</v>
      </c>
      <c r="G160" s="300">
        <f t="shared" si="59"/>
        <v>-180.33606028691489</v>
      </c>
      <c r="H160" s="300">
        <f t="shared" si="59"/>
        <v>-176.0037886027022</v>
      </c>
      <c r="I160" s="300">
        <f t="shared" si="59"/>
        <v>-171.56074578023851</v>
      </c>
      <c r="J160" s="300">
        <f t="shared" si="59"/>
        <v>-167.006411195174</v>
      </c>
      <c r="K160" s="300">
        <f t="shared" si="59"/>
        <v>-162.34026177622445</v>
      </c>
      <c r="L160" s="300">
        <f t="shared" si="59"/>
        <v>-157.56177199367065</v>
      </c>
      <c r="M160" s="300">
        <f t="shared" si="59"/>
        <v>-152.67041384780362</v>
      </c>
      <c r="N160" s="300">
        <f t="shared" si="59"/>
        <v>-147.66565685731578</v>
      </c>
      <c r="O160" s="300">
        <f t="shared" si="59"/>
        <v>-142.54696804763745</v>
      </c>
      <c r="P160" s="300">
        <f t="shared" si="59"/>
        <v>-137.31381193921843</v>
      </c>
      <c r="Q160" s="300">
        <f t="shared" si="59"/>
        <v>-131.96565053575461</v>
      </c>
      <c r="R160" s="300">
        <f t="shared" si="59"/>
        <v>-126.50194331235929</v>
      </c>
      <c r="S160" s="300">
        <f t="shared" si="59"/>
        <v>-120.92214720367879</v>
      </c>
      <c r="T160" s="300">
        <f t="shared" si="59"/>
        <v>-115.22571659195228</v>
      </c>
      <c r="U160" s="300">
        <f t="shared" si="59"/>
        <v>-109.41210329501543</v>
      </c>
      <c r="V160" s="300">
        <f t="shared" si="59"/>
        <v>-103.48075655424776</v>
      </c>
      <c r="W160" s="300">
        <f t="shared" si="59"/>
        <v>-97.431123022463268</v>
      </c>
      <c r="X160" s="300">
        <f t="shared" si="59"/>
        <v>-91.262646751744171</v>
      </c>
      <c r="Y160" s="300">
        <f t="shared" si="59"/>
        <v>-84.974769181217482</v>
      </c>
      <c r="Z160" s="300">
        <f t="shared" si="59"/>
        <v>-78.566929124774092</v>
      </c>
      <c r="AA160" s="300">
        <f t="shared" si="59"/>
        <v>-72.038562758730208</v>
      </c>
      <c r="AB160" s="300">
        <f t="shared" si="59"/>
        <v>-65.389103609430691</v>
      </c>
      <c r="AC160" s="300">
        <f t="shared" si="59"/>
        <v>-58.617982540794252</v>
      </c>
      <c r="AD160" s="300">
        <f t="shared" si="59"/>
        <v>-51.724627741800006</v>
      </c>
      <c r="AE160" s="300">
        <f t="shared" si="59"/>
        <v>-44.708464713915269</v>
      </c>
      <c r="AF160" s="300">
        <f t="shared" si="59"/>
        <v>-37.568916258464256</v>
      </c>
      <c r="AG160" s="300">
        <f t="shared" si="59"/>
        <v>-30.305402463937405</v>
      </c>
      <c r="AH160" s="300">
        <f t="shared" si="59"/>
        <v>-22.917340693241059</v>
      </c>
      <c r="AI160" s="300">
        <f t="shared" si="59"/>
        <v>-15.40414557088722</v>
      </c>
      <c r="AJ160" s="300">
        <f t="shared" si="59"/>
        <v>-7.7652289701231005</v>
      </c>
      <c r="AK160" s="300">
        <f t="shared" si="59"/>
        <v>-1.7141843500212417E-13</v>
      </c>
      <c r="AL160" s="300">
        <f t="shared" si="59"/>
        <v>7.8921350076175498</v>
      </c>
      <c r="AM160" s="300">
        <f t="shared" si="59"/>
        <v>15.911772511106292</v>
      </c>
      <c r="AN160" s="300">
        <f t="shared" si="59"/>
        <v>24.059511772196657</v>
      </c>
      <c r="AO160" s="300">
        <f t="shared" si="59"/>
        <v>32.335954869149361</v>
      </c>
      <c r="AP160" s="300">
        <f t="shared" si="59"/>
        <v>40.741706709992961</v>
      </c>
      <c r="AQ160" s="300">
        <f t="shared" si="59"/>
        <v>49.277375045823746</v>
      </c>
      <c r="AR160" s="300">
        <f t="shared" si="59"/>
        <v>57.943570484168148</v>
      </c>
      <c r="AS160" s="300">
        <f t="shared" si="59"/>
        <v>66.740906502407995</v>
      </c>
      <c r="AT160" s="300">
        <f t="shared" si="59"/>
        <v>75.669999461268787</v>
      </c>
      <c r="AU160" s="300">
        <f t="shared" si="59"/>
        <v>84.731468618371451</v>
      </c>
      <c r="AV160" s="300">
        <f t="shared" si="59"/>
        <v>93.9259361418477</v>
      </c>
      <c r="AW160" s="300">
        <f t="shared" si="59"/>
        <v>103.2540271240195</v>
      </c>
      <c r="AX160" s="300">
        <f t="shared" si="59"/>
        <v>112.71636959514274</v>
      </c>
      <c r="AY160" s="300">
        <f t="shared" si="59"/>
        <v>122.31359453721548</v>
      </c>
      <c r="AZ160" s="300">
        <f t="shared" si="59"/>
        <v>132.04633589785118</v>
      </c>
      <c r="BA160" s="300">
        <f t="shared" si="59"/>
        <v>141.91523060421707</v>
      </c>
      <c r="BB160" s="300">
        <f t="shared" si="59"/>
        <v>151.92091857703812</v>
      </c>
      <c r="BC160" s="300">
        <f t="shared" si="59"/>
        <v>162.06404274466664</v>
      </c>
    </row>
    <row r="161" spans="1:58" s="197" customFormat="1" ht="16.899999999999999" customHeight="1" outlineLevel="1" x14ac:dyDescent="0.25">
      <c r="B161" s="197" t="s">
        <v>416</v>
      </c>
      <c r="C161" s="297">
        <f t="shared" ref="C161:AH161" si="60">C156/(1+$C$28)^C32</f>
        <v>-44.582776874814435</v>
      </c>
      <c r="D161" s="297">
        <f t="shared" si="60"/>
        <v>-78.510286070516671</v>
      </c>
      <c r="E161" s="297">
        <f t="shared" si="60"/>
        <v>-63.362723412361483</v>
      </c>
      <c r="F161" s="297">
        <f t="shared" si="60"/>
        <v>3.4147029484926237</v>
      </c>
      <c r="G161" s="297">
        <f t="shared" si="60"/>
        <v>3.1946647409597015</v>
      </c>
      <c r="H161" s="297">
        <f t="shared" si="60"/>
        <v>2.9871419486629942</v>
      </c>
      <c r="I161" s="297">
        <f t="shared" si="60"/>
        <v>2.7916162631259849</v>
      </c>
      <c r="J161" s="297">
        <f t="shared" si="60"/>
        <v>2.6075653285574849</v>
      </c>
      <c r="K161" s="297">
        <f t="shared" si="60"/>
        <v>2.4344673289072953</v>
      </c>
      <c r="L161" s="297">
        <f t="shared" si="60"/>
        <v>2.2718048106613002</v>
      </c>
      <c r="M161" s="297">
        <f t="shared" si="60"/>
        <v>2.1190678393762288</v>
      </c>
      <c r="N161" s="297">
        <f t="shared" si="60"/>
        <v>1.9757565767077911</v>
      </c>
      <c r="O161" s="297">
        <f t="shared" si="60"/>
        <v>1.8413833546531502</v>
      </c>
      <c r="P161" s="297">
        <f t="shared" si="60"/>
        <v>1.715474314783116</v>
      </c>
      <c r="Q161" s="297">
        <f t="shared" si="60"/>
        <v>1.5975706722685097</v>
      </c>
      <c r="R161" s="297">
        <f t="shared" si="60"/>
        <v>1.4872296574067978</v>
      </c>
      <c r="S161" s="297">
        <f t="shared" si="60"/>
        <v>1.3840251810379844</v>
      </c>
      <c r="T161" s="297">
        <f t="shared" si="60"/>
        <v>1.2875482646208047</v>
      </c>
      <c r="U161" s="297">
        <f t="shared" si="60"/>
        <v>1.1974072707476884</v>
      </c>
      <c r="V161" s="297">
        <f t="shared" si="60"/>
        <v>1.1132279654435626</v>
      </c>
      <c r="W161" s="297">
        <f t="shared" si="60"/>
        <v>1.034653439659948</v>
      </c>
      <c r="X161" s="297">
        <f t="shared" si="60"/>
        <v>0.96134391388851259</v>
      </c>
      <c r="Y161" s="297">
        <f t="shared" si="60"/>
        <v>0.89297644672962595</v>
      </c>
      <c r="Z161" s="297">
        <f t="shared" si="60"/>
        <v>0.82924456551843806</v>
      </c>
      <c r="AA161" s="297">
        <f t="shared" si="60"/>
        <v>0.76985783469524516</v>
      </c>
      <c r="AB161" s="297">
        <f t="shared" si="60"/>
        <v>0.71454137547388119</v>
      </c>
      <c r="AC161" s="297">
        <f t="shared" si="60"/>
        <v>0.66303534848074974</v>
      </c>
      <c r="AD161" s="297">
        <f t="shared" si="60"/>
        <v>0.61509440938022775</v>
      </c>
      <c r="AE161" s="297">
        <f t="shared" si="60"/>
        <v>0.57048714604479112</v>
      </c>
      <c r="AF161" s="297">
        <f t="shared" si="60"/>
        <v>0.52899550454820154</v>
      </c>
      <c r="AG161" s="297">
        <f t="shared" si="60"/>
        <v>0.49041421013765885</v>
      </c>
      <c r="AH161" s="297">
        <f t="shared" si="60"/>
        <v>0.45455018835822741</v>
      </c>
      <c r="AI161" s="297">
        <f t="shared" ref="AI161:BC161" si="61">AI156/(1+$C$28)^AI32</f>
        <v>0.42122199064435595</v>
      </c>
      <c r="AJ161" s="297">
        <f t="shared" si="61"/>
        <v>0.39025922794470236</v>
      </c>
      <c r="AK161" s="297">
        <f t="shared" si="61"/>
        <v>0.36150201529522502</v>
      </c>
      <c r="AL161" s="297">
        <f t="shared" si="61"/>
        <v>0.3348004296903227</v>
      </c>
      <c r="AM161" s="297">
        <f t="shared" si="61"/>
        <v>0.31001398311267342</v>
      </c>
      <c r="AN161" s="297">
        <f t="shared" si="61"/>
        <v>0.28701111216040226</v>
      </c>
      <c r="AO161" s="297">
        <f t="shared" si="61"/>
        <v>0.26566868534735544</v>
      </c>
      <c r="AP161" s="297">
        <f t="shared" si="61"/>
        <v>0.24587152884146182</v>
      </c>
      <c r="AQ161" s="297">
        <f t="shared" si="61"/>
        <v>0.22751197114114272</v>
      </c>
      <c r="AR161" s="297">
        <f t="shared" si="61"/>
        <v>0.21048940696489576</v>
      </c>
      <c r="AS161" s="297">
        <f t="shared" si="61"/>
        <v>0.19470988043952467</v>
      </c>
      <c r="AT161" s="297">
        <f t="shared" si="61"/>
        <v>0.1800856875136379</v>
      </c>
      <c r="AU161" s="297">
        <f t="shared" si="61"/>
        <v>0.16653499739105831</v>
      </c>
      <c r="AV161" s="297">
        <f t="shared" si="61"/>
        <v>0.15398149267022279</v>
      </c>
      <c r="AW161" s="297">
        <f t="shared" si="61"/>
        <v>0.14235402778742939</v>
      </c>
      <c r="AX161" s="297">
        <f t="shared" si="61"/>
        <v>0.13158630529120718</v>
      </c>
      <c r="AY161" s="297">
        <f t="shared" si="61"/>
        <v>0.1216165694197419</v>
      </c>
      <c r="AZ161" s="297">
        <f t="shared" si="61"/>
        <v>0.11238731641108084</v>
      </c>
      <c r="BA161" s="297">
        <f t="shared" si="61"/>
        <v>0.10384502094489882</v>
      </c>
      <c r="BB161" s="297">
        <f t="shared" si="61"/>
        <v>9.5939878093304135E-2</v>
      </c>
      <c r="BC161" s="297">
        <f t="shared" si="61"/>
        <v>8.8625560145057278E-2</v>
      </c>
    </row>
    <row r="162" spans="1:58" s="197" customFormat="1" ht="16.899999999999999" customHeight="1" outlineLevel="1" x14ac:dyDescent="0.25">
      <c r="B162" s="290" t="s">
        <v>417</v>
      </c>
      <c r="C162" s="297">
        <f>C161</f>
        <v>-44.582776874814435</v>
      </c>
      <c r="D162" s="297">
        <f t="shared" ref="D162:BC162" si="62">C162+D161</f>
        <v>-123.0930629453311</v>
      </c>
      <c r="E162" s="297">
        <f t="shared" si="62"/>
        <v>-186.45578635769257</v>
      </c>
      <c r="F162" s="297">
        <f t="shared" si="62"/>
        <v>-183.04108340919996</v>
      </c>
      <c r="G162" s="297">
        <f t="shared" si="62"/>
        <v>-179.84641866824026</v>
      </c>
      <c r="H162" s="297">
        <f t="shared" si="62"/>
        <v>-176.85927671957728</v>
      </c>
      <c r="I162" s="297">
        <f t="shared" si="62"/>
        <v>-174.06766045645131</v>
      </c>
      <c r="J162" s="297">
        <f t="shared" si="62"/>
        <v>-171.46009512789382</v>
      </c>
      <c r="K162" s="297">
        <f t="shared" si="62"/>
        <v>-169.02562779898653</v>
      </c>
      <c r="L162" s="297">
        <f t="shared" si="62"/>
        <v>-166.75382298832523</v>
      </c>
      <c r="M162" s="297">
        <f t="shared" si="62"/>
        <v>-164.63475514894898</v>
      </c>
      <c r="N162" s="297">
        <f t="shared" si="62"/>
        <v>-162.65899857224119</v>
      </c>
      <c r="O162" s="297">
        <f t="shared" si="62"/>
        <v>-160.81761521758804</v>
      </c>
      <c r="P162" s="297">
        <f t="shared" si="62"/>
        <v>-159.10214090280493</v>
      </c>
      <c r="Q162" s="297">
        <f t="shared" si="62"/>
        <v>-157.50457023053642</v>
      </c>
      <c r="R162" s="297">
        <f t="shared" si="62"/>
        <v>-156.01734057312962</v>
      </c>
      <c r="S162" s="297">
        <f t="shared" si="62"/>
        <v>-154.63331539209162</v>
      </c>
      <c r="T162" s="297">
        <f t="shared" si="62"/>
        <v>-153.34576712747082</v>
      </c>
      <c r="U162" s="297">
        <f t="shared" si="62"/>
        <v>-152.14835985672315</v>
      </c>
      <c r="V162" s="297">
        <f t="shared" si="62"/>
        <v>-151.03513189127958</v>
      </c>
      <c r="W162" s="297">
        <f t="shared" si="62"/>
        <v>-150.00047845161964</v>
      </c>
      <c r="X162" s="297">
        <f t="shared" si="62"/>
        <v>-149.03913453773114</v>
      </c>
      <c r="Y162" s="297">
        <f t="shared" si="62"/>
        <v>-148.14615809100152</v>
      </c>
      <c r="Z162" s="297">
        <f t="shared" si="62"/>
        <v>-147.31691352548307</v>
      </c>
      <c r="AA162" s="297">
        <f t="shared" si="62"/>
        <v>-146.54705569078783</v>
      </c>
      <c r="AB162" s="297">
        <f t="shared" si="62"/>
        <v>-145.83251431531394</v>
      </c>
      <c r="AC162" s="297">
        <f t="shared" si="62"/>
        <v>-145.1694789668332</v>
      </c>
      <c r="AD162" s="297">
        <f t="shared" si="62"/>
        <v>-144.55438455745298</v>
      </c>
      <c r="AE162" s="297">
        <f t="shared" si="62"/>
        <v>-143.98389741140818</v>
      </c>
      <c r="AF162" s="297">
        <f t="shared" si="62"/>
        <v>-143.45490190685999</v>
      </c>
      <c r="AG162" s="297">
        <f t="shared" si="62"/>
        <v>-142.96448769672233</v>
      </c>
      <c r="AH162" s="297">
        <f t="shared" si="62"/>
        <v>-142.50993750836409</v>
      </c>
      <c r="AI162" s="297">
        <f t="shared" si="62"/>
        <v>-142.08871551771972</v>
      </c>
      <c r="AJ162" s="297">
        <f t="shared" si="62"/>
        <v>-141.69845628977501</v>
      </c>
      <c r="AK162" s="297">
        <f t="shared" si="62"/>
        <v>-141.33695427447978</v>
      </c>
      <c r="AL162" s="297">
        <f t="shared" si="62"/>
        <v>-141.00215384478946</v>
      </c>
      <c r="AM162" s="297">
        <f t="shared" si="62"/>
        <v>-140.69213986167679</v>
      </c>
      <c r="AN162" s="297">
        <f t="shared" si="62"/>
        <v>-140.40512874951639</v>
      </c>
      <c r="AO162" s="297">
        <f t="shared" si="62"/>
        <v>-140.13946006416904</v>
      </c>
      <c r="AP162" s="297">
        <f t="shared" si="62"/>
        <v>-139.89358853532758</v>
      </c>
      <c r="AQ162" s="297">
        <f t="shared" si="62"/>
        <v>-139.66607656418643</v>
      </c>
      <c r="AR162" s="297">
        <f t="shared" si="62"/>
        <v>-139.45558715722154</v>
      </c>
      <c r="AS162" s="297">
        <f t="shared" si="62"/>
        <v>-139.26087727678203</v>
      </c>
      <c r="AT162" s="297">
        <f t="shared" si="62"/>
        <v>-139.08079158926839</v>
      </c>
      <c r="AU162" s="297">
        <f t="shared" si="62"/>
        <v>-138.91425659187732</v>
      </c>
      <c r="AV162" s="297">
        <f t="shared" si="62"/>
        <v>-138.76027509920709</v>
      </c>
      <c r="AW162" s="297">
        <f t="shared" si="62"/>
        <v>-138.61792107141966</v>
      </c>
      <c r="AX162" s="297">
        <f t="shared" si="62"/>
        <v>-138.48633476612846</v>
      </c>
      <c r="AY162" s="297">
        <f t="shared" si="62"/>
        <v>-138.36471819670874</v>
      </c>
      <c r="AZ162" s="297">
        <f t="shared" si="62"/>
        <v>-138.25233088029765</v>
      </c>
      <c r="BA162" s="297">
        <f t="shared" si="62"/>
        <v>-138.14848585935275</v>
      </c>
      <c r="BB162" s="297">
        <f t="shared" si="62"/>
        <v>-138.05254598125944</v>
      </c>
      <c r="BC162" s="297">
        <f t="shared" si="62"/>
        <v>-137.96392042111438</v>
      </c>
    </row>
    <row r="163" spans="1:58" s="197" customFormat="1" ht="16.899999999999999" customHeight="1" outlineLevel="1" x14ac:dyDescent="0.25">
      <c r="B163" s="290" t="s">
        <v>418</v>
      </c>
      <c r="C163" s="297">
        <f t="shared" ref="C163:AH163" si="63">C63/(1+$C$28)^C32</f>
        <v>79.308724236660794</v>
      </c>
      <c r="D163" s="297">
        <f t="shared" si="63"/>
        <v>110.31806959397852</v>
      </c>
      <c r="E163" s="297">
        <f t="shared" si="63"/>
        <v>92.497496522836158</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2.0317081350640365E-14</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0</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55.516106965662551</v>
      </c>
      <c r="D167" s="297">
        <f t="shared" ref="D167:BC167" si="66">D63*(1-$D$14)</f>
        <v>84.744134700702404</v>
      </c>
      <c r="E167" s="297">
        <f t="shared" si="66"/>
        <v>77.97545727691832</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55.516106965662551</v>
      </c>
      <c r="D168" s="297">
        <f t="shared" ref="D168:BC168" si="67">C173+D167</f>
        <v>140.26024166636495</v>
      </c>
      <c r="E168" s="297">
        <f t="shared" si="67"/>
        <v>218.23569894328327</v>
      </c>
      <c r="F168" s="297">
        <f t="shared" si="67"/>
        <v>218.23569894328327</v>
      </c>
      <c r="G168" s="297">
        <f t="shared" si="67"/>
        <v>207.3239139961191</v>
      </c>
      <c r="H168" s="297">
        <f t="shared" si="67"/>
        <v>196.41212904895494</v>
      </c>
      <c r="I168" s="297">
        <f t="shared" si="67"/>
        <v>185.50034410179077</v>
      </c>
      <c r="J168" s="297">
        <f t="shared" si="67"/>
        <v>174.58855915462661</v>
      </c>
      <c r="K168" s="297">
        <f t="shared" si="67"/>
        <v>163.67677420746244</v>
      </c>
      <c r="L168" s="297">
        <f t="shared" si="67"/>
        <v>152.76498926029828</v>
      </c>
      <c r="M168" s="297">
        <f t="shared" si="67"/>
        <v>141.85320431313411</v>
      </c>
      <c r="N168" s="297">
        <f t="shared" si="67"/>
        <v>130.94141936596995</v>
      </c>
      <c r="O168" s="297">
        <f t="shared" si="67"/>
        <v>120.02963441880578</v>
      </c>
      <c r="P168" s="297">
        <f t="shared" si="67"/>
        <v>109.11784947164162</v>
      </c>
      <c r="Q168" s="297">
        <f t="shared" si="67"/>
        <v>98.206064524477455</v>
      </c>
      <c r="R168" s="297">
        <f t="shared" si="67"/>
        <v>87.29427957731329</v>
      </c>
      <c r="S168" s="297">
        <f t="shared" si="67"/>
        <v>76.382494630149125</v>
      </c>
      <c r="T168" s="297">
        <f t="shared" si="67"/>
        <v>65.47070968298496</v>
      </c>
      <c r="U168" s="297">
        <f t="shared" si="67"/>
        <v>54.558924735820796</v>
      </c>
      <c r="V168" s="297">
        <f t="shared" si="67"/>
        <v>43.647139788656631</v>
      </c>
      <c r="W168" s="297">
        <f t="shared" si="67"/>
        <v>32.735354841492466</v>
      </c>
      <c r="X168" s="297">
        <f t="shared" si="67"/>
        <v>21.823569894328301</v>
      </c>
      <c r="Y168" s="297">
        <f t="shared" si="67"/>
        <v>10.911784947164138</v>
      </c>
      <c r="Z168" s="297">
        <f t="shared" si="67"/>
        <v>-2.4868995751603507E-14</v>
      </c>
      <c r="AA168" s="297">
        <f t="shared" si="67"/>
        <v>-2.4868995751603507E-14</v>
      </c>
      <c r="AB168" s="297">
        <f t="shared" si="67"/>
        <v>-2.4868995751603507E-14</v>
      </c>
      <c r="AC168" s="297">
        <f t="shared" si="67"/>
        <v>-2.4868995751603507E-14</v>
      </c>
      <c r="AD168" s="297">
        <f t="shared" si="67"/>
        <v>-2.4868995751603507E-14</v>
      </c>
      <c r="AE168" s="297">
        <f t="shared" si="67"/>
        <v>-2.4868995751603507E-14</v>
      </c>
      <c r="AF168" s="297">
        <f t="shared" si="67"/>
        <v>-2.4868995751603507E-14</v>
      </c>
      <c r="AG168" s="297">
        <f t="shared" si="67"/>
        <v>-2.4868995751603507E-14</v>
      </c>
      <c r="AH168" s="297">
        <f t="shared" si="67"/>
        <v>-2.4868995751603507E-14</v>
      </c>
      <c r="AI168" s="297">
        <f t="shared" si="67"/>
        <v>-2.4868995751603507E-14</v>
      </c>
      <c r="AJ168" s="297">
        <f t="shared" si="67"/>
        <v>-2.4868995751603507E-14</v>
      </c>
      <c r="AK168" s="297">
        <f t="shared" si="67"/>
        <v>-2.4868995751603507E-14</v>
      </c>
      <c r="AL168" s="297">
        <f t="shared" si="67"/>
        <v>-2.4868995751603507E-14</v>
      </c>
      <c r="AM168" s="297">
        <f t="shared" si="67"/>
        <v>-2.4868995751603507E-14</v>
      </c>
      <c r="AN168" s="297">
        <f t="shared" si="67"/>
        <v>-2.4868995751603507E-14</v>
      </c>
      <c r="AO168" s="297">
        <f t="shared" si="67"/>
        <v>-2.4868995751603507E-14</v>
      </c>
      <c r="AP168" s="297">
        <f t="shared" si="67"/>
        <v>-2.4868995751603507E-14</v>
      </c>
      <c r="AQ168" s="297">
        <f t="shared" si="67"/>
        <v>-2.4868995751603507E-14</v>
      </c>
      <c r="AR168" s="297">
        <f t="shared" si="67"/>
        <v>-2.4868995751603507E-14</v>
      </c>
      <c r="AS168" s="297">
        <f t="shared" si="67"/>
        <v>-2.4868995751603507E-14</v>
      </c>
      <c r="AT168" s="297">
        <f t="shared" si="67"/>
        <v>-2.4868995751603507E-14</v>
      </c>
      <c r="AU168" s="297">
        <f t="shared" si="67"/>
        <v>-2.4868995751603507E-14</v>
      </c>
      <c r="AV168" s="297">
        <f t="shared" si="67"/>
        <v>-2.4868995751603507E-14</v>
      </c>
      <c r="AW168" s="297">
        <f t="shared" si="67"/>
        <v>-2.4868995751603507E-14</v>
      </c>
      <c r="AX168" s="297">
        <f t="shared" si="67"/>
        <v>-2.4868995751603507E-14</v>
      </c>
      <c r="AY168" s="297">
        <f t="shared" si="67"/>
        <v>-2.4868995751603507E-14</v>
      </c>
      <c r="AZ168" s="297">
        <f t="shared" si="67"/>
        <v>-2.4868995751603507E-14</v>
      </c>
      <c r="BA168" s="297">
        <f t="shared" si="67"/>
        <v>-2.4868995751603507E-14</v>
      </c>
      <c r="BB168" s="297">
        <f t="shared" si="67"/>
        <v>-2.4868995751603507E-14</v>
      </c>
      <c r="BC168" s="297">
        <f t="shared" si="67"/>
        <v>-2.4868995751603507E-14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-10.911784947164163</v>
      </c>
      <c r="G171" s="297">
        <f t="shared" si="70"/>
        <v>-10.911784947164163</v>
      </c>
      <c r="H171" s="297">
        <f t="shared" si="70"/>
        <v>-10.911784947164163</v>
      </c>
      <c r="I171" s="297">
        <f t="shared" si="70"/>
        <v>-10.911784947164163</v>
      </c>
      <c r="J171" s="297">
        <f t="shared" si="70"/>
        <v>-10.911784947164163</v>
      </c>
      <c r="K171" s="297">
        <f t="shared" si="70"/>
        <v>-10.911784947164163</v>
      </c>
      <c r="L171" s="297">
        <f t="shared" si="70"/>
        <v>-10.911784947164163</v>
      </c>
      <c r="M171" s="297">
        <f t="shared" si="70"/>
        <v>-10.911784947164163</v>
      </c>
      <c r="N171" s="297">
        <f t="shared" si="70"/>
        <v>-10.911784947164163</v>
      </c>
      <c r="O171" s="297">
        <f t="shared" si="70"/>
        <v>-10.911784947164163</v>
      </c>
      <c r="P171" s="297">
        <f t="shared" si="70"/>
        <v>-10.911784947164163</v>
      </c>
      <c r="Q171" s="297">
        <f t="shared" si="70"/>
        <v>-10.911784947164163</v>
      </c>
      <c r="R171" s="297">
        <f t="shared" si="70"/>
        <v>-10.911784947164163</v>
      </c>
      <c r="S171" s="297">
        <f t="shared" si="70"/>
        <v>-10.911784947164163</v>
      </c>
      <c r="T171" s="297">
        <f t="shared" si="70"/>
        <v>-10.911784947164163</v>
      </c>
      <c r="U171" s="297">
        <f t="shared" si="70"/>
        <v>-10.911784947164163</v>
      </c>
      <c r="V171" s="297">
        <f t="shared" si="70"/>
        <v>-10.911784947164163</v>
      </c>
      <c r="W171" s="297">
        <f t="shared" si="70"/>
        <v>-10.911784947164163</v>
      </c>
      <c r="X171" s="297">
        <f t="shared" si="70"/>
        <v>-10.911784947164163</v>
      </c>
      <c r="Y171" s="297">
        <f t="shared" si="70"/>
        <v>-10.911784947164163</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-2.4149506530063207</v>
      </c>
      <c r="E172" s="297">
        <f t="shared" si="72"/>
        <v>-6.1013205124868746</v>
      </c>
      <c r="F172" s="297">
        <f t="shared" si="72"/>
        <v>-10.911784947164165</v>
      </c>
      <c r="G172" s="297">
        <f t="shared" si="72"/>
        <v>-10.366195699805957</v>
      </c>
      <c r="H172" s="297">
        <f t="shared" si="72"/>
        <v>-9.8206064524477483</v>
      </c>
      <c r="I172" s="297">
        <f t="shared" si="72"/>
        <v>-9.2750172050895383</v>
      </c>
      <c r="J172" s="297">
        <f t="shared" si="72"/>
        <v>-8.7294279577313301</v>
      </c>
      <c r="K172" s="297">
        <f t="shared" si="72"/>
        <v>-8.1838387103731218</v>
      </c>
      <c r="L172" s="297">
        <f t="shared" si="72"/>
        <v>-7.6382494630149145</v>
      </c>
      <c r="M172" s="297">
        <f t="shared" si="72"/>
        <v>-7.0926602156567062</v>
      </c>
      <c r="N172" s="297">
        <f t="shared" si="72"/>
        <v>-6.547070968298498</v>
      </c>
      <c r="O172" s="297">
        <f t="shared" si="72"/>
        <v>-6.0014817209402898</v>
      </c>
      <c r="P172" s="297">
        <f t="shared" si="72"/>
        <v>-5.4558924735820815</v>
      </c>
      <c r="Q172" s="297">
        <f t="shared" si="72"/>
        <v>-4.9103032262238733</v>
      </c>
      <c r="R172" s="297">
        <f t="shared" si="72"/>
        <v>-4.364713978865665</v>
      </c>
      <c r="S172" s="297">
        <f t="shared" si="72"/>
        <v>-3.8191247315074563</v>
      </c>
      <c r="T172" s="297">
        <f t="shared" si="72"/>
        <v>-3.2735354841492481</v>
      </c>
      <c r="U172" s="297">
        <f t="shared" si="72"/>
        <v>-2.7279462367910399</v>
      </c>
      <c r="V172" s="297">
        <f t="shared" si="72"/>
        <v>-2.1823569894328316</v>
      </c>
      <c r="W172" s="297">
        <f t="shared" si="72"/>
        <v>-1.6367677420746234</v>
      </c>
      <c r="X172" s="297">
        <f t="shared" si="72"/>
        <v>-1.0911784947164151</v>
      </c>
      <c r="Y172" s="297">
        <f t="shared" si="72"/>
        <v>-0.54558924735820691</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55.516106965662551</v>
      </c>
      <c r="D173" s="297">
        <f t="shared" ref="D173:BC173" si="74">D168+D171</f>
        <v>140.26024166636495</v>
      </c>
      <c r="E173" s="297">
        <f t="shared" si="74"/>
        <v>218.23569894328327</v>
      </c>
      <c r="F173" s="297">
        <f t="shared" si="74"/>
        <v>207.3239139961191</v>
      </c>
      <c r="G173" s="297">
        <f t="shared" si="74"/>
        <v>196.41212904895494</v>
      </c>
      <c r="H173" s="297">
        <f t="shared" si="74"/>
        <v>185.50034410179077</v>
      </c>
      <c r="I173" s="297">
        <f t="shared" si="74"/>
        <v>174.58855915462661</v>
      </c>
      <c r="J173" s="297">
        <f t="shared" si="74"/>
        <v>163.67677420746244</v>
      </c>
      <c r="K173" s="297">
        <f t="shared" si="74"/>
        <v>152.76498926029828</v>
      </c>
      <c r="L173" s="297">
        <f t="shared" si="74"/>
        <v>141.85320431313411</v>
      </c>
      <c r="M173" s="297">
        <f t="shared" si="74"/>
        <v>130.94141936596995</v>
      </c>
      <c r="N173" s="297">
        <f t="shared" si="74"/>
        <v>120.02963441880578</v>
      </c>
      <c r="O173" s="297">
        <f t="shared" si="74"/>
        <v>109.11784947164162</v>
      </c>
      <c r="P173" s="297">
        <f t="shared" si="74"/>
        <v>98.206064524477455</v>
      </c>
      <c r="Q173" s="297">
        <f t="shared" si="74"/>
        <v>87.29427957731329</v>
      </c>
      <c r="R173" s="297">
        <f t="shared" si="74"/>
        <v>76.382494630149125</v>
      </c>
      <c r="S173" s="297">
        <f t="shared" si="74"/>
        <v>65.47070968298496</v>
      </c>
      <c r="T173" s="297">
        <f t="shared" si="74"/>
        <v>54.558924735820796</v>
      </c>
      <c r="U173" s="297">
        <f t="shared" si="74"/>
        <v>43.647139788656631</v>
      </c>
      <c r="V173" s="297">
        <f t="shared" si="74"/>
        <v>32.735354841492466</v>
      </c>
      <c r="W173" s="297">
        <f t="shared" si="74"/>
        <v>21.823569894328301</v>
      </c>
      <c r="X173" s="297">
        <f t="shared" si="74"/>
        <v>10.911784947164138</v>
      </c>
      <c r="Y173" s="297">
        <f t="shared" si="74"/>
        <v>-2.4868995751603507E-14</v>
      </c>
      <c r="Z173" s="297">
        <f t="shared" si="74"/>
        <v>-2.4868995751603507E-14</v>
      </c>
      <c r="AA173" s="297">
        <f t="shared" si="74"/>
        <v>-2.4868995751603507E-14</v>
      </c>
      <c r="AB173" s="297">
        <f t="shared" si="74"/>
        <v>-2.4868995751603507E-14</v>
      </c>
      <c r="AC173" s="297">
        <f t="shared" si="74"/>
        <v>-2.4868995751603507E-14</v>
      </c>
      <c r="AD173" s="297">
        <f t="shared" si="74"/>
        <v>-2.4868995751603507E-14</v>
      </c>
      <c r="AE173" s="297">
        <f t="shared" si="74"/>
        <v>-2.4868995751603507E-14</v>
      </c>
      <c r="AF173" s="297">
        <f t="shared" si="74"/>
        <v>-2.4868995751603507E-14</v>
      </c>
      <c r="AG173" s="297">
        <f t="shared" si="74"/>
        <v>-2.4868995751603507E-14</v>
      </c>
      <c r="AH173" s="297">
        <f t="shared" si="74"/>
        <v>-2.4868995751603507E-14</v>
      </c>
      <c r="AI173" s="297">
        <f t="shared" si="74"/>
        <v>-2.4868995751603507E-14</v>
      </c>
      <c r="AJ173" s="297">
        <f t="shared" si="74"/>
        <v>-2.4868995751603507E-14</v>
      </c>
      <c r="AK173" s="297">
        <f t="shared" si="74"/>
        <v>-2.4868995751603507E-14</v>
      </c>
      <c r="AL173" s="297">
        <f t="shared" si="74"/>
        <v>-2.4868995751603507E-14</v>
      </c>
      <c r="AM173" s="297">
        <f t="shared" si="74"/>
        <v>-2.4868995751603507E-14</v>
      </c>
      <c r="AN173" s="297">
        <f t="shared" si="74"/>
        <v>-2.4868995751603507E-14</v>
      </c>
      <c r="AO173" s="297">
        <f t="shared" si="74"/>
        <v>-2.4868995751603507E-14</v>
      </c>
      <c r="AP173" s="297">
        <f t="shared" si="74"/>
        <v>-2.4868995751603507E-14</v>
      </c>
      <c r="AQ173" s="297">
        <f t="shared" si="74"/>
        <v>-2.4868995751603507E-14</v>
      </c>
      <c r="AR173" s="297">
        <f t="shared" si="74"/>
        <v>-2.4868995751603507E-14</v>
      </c>
      <c r="AS173" s="297">
        <f t="shared" si="74"/>
        <v>-2.4868995751603507E-14</v>
      </c>
      <c r="AT173" s="297">
        <f t="shared" si="74"/>
        <v>-2.4868995751603507E-14</v>
      </c>
      <c r="AU173" s="297">
        <f t="shared" si="74"/>
        <v>-2.4868995751603507E-14</v>
      </c>
      <c r="AV173" s="297">
        <f t="shared" si="74"/>
        <v>-2.4868995751603507E-14</v>
      </c>
      <c r="AW173" s="297">
        <f t="shared" si="74"/>
        <v>-2.4868995751603507E-14</v>
      </c>
      <c r="AX173" s="297">
        <f t="shared" si="74"/>
        <v>-2.4868995751603507E-14</v>
      </c>
      <c r="AY173" s="297">
        <f t="shared" si="74"/>
        <v>-2.4868995751603507E-14</v>
      </c>
      <c r="AZ173" s="297">
        <f t="shared" si="74"/>
        <v>-2.4868995751603507E-14</v>
      </c>
      <c r="BA173" s="297">
        <f t="shared" si="74"/>
        <v>-2.4868995751603507E-14</v>
      </c>
      <c r="BB173" s="297">
        <f t="shared" si="74"/>
        <v>-2.4868995751603507E-14</v>
      </c>
      <c r="BC173" s="297">
        <f t="shared" si="74"/>
        <v>-2.4868995751603507E-14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14.17709269278056</v>
      </c>
      <c r="D175" s="297">
        <f t="shared" ref="D175:BC175" si="75">D156+D167+D171+D172-D148+D35*$H$29*(1-0.0925-$C$10)/1000000+D149</f>
        <v>-0.56899559992738369</v>
      </c>
      <c r="E175" s="297">
        <f t="shared" si="75"/>
        <v>-1.1584264935109991</v>
      </c>
      <c r="F175" s="297">
        <f t="shared" si="75"/>
        <v>-14.021037165591471</v>
      </c>
      <c r="G175" s="297">
        <f t="shared" si="75"/>
        <v>-13.339560671538941</v>
      </c>
      <c r="H175" s="297">
        <f t="shared" si="75"/>
        <v>-12.657445507426939</v>
      </c>
      <c r="I175" s="297">
        <f t="shared" si="75"/>
        <v>-11.974688671506193</v>
      </c>
      <c r="J175" s="297">
        <f t="shared" si="75"/>
        <v>-11.291287147919194</v>
      </c>
      <c r="K175" s="297">
        <f t="shared" si="75"/>
        <v>-10.607237906633928</v>
      </c>
      <c r="L175" s="297">
        <f t="shared" si="75"/>
        <v>-9.9225379033772008</v>
      </c>
      <c r="M175" s="297">
        <f t="shared" si="75"/>
        <v>-9.2371840795677578</v>
      </c>
      <c r="N175" s="297">
        <f t="shared" si="75"/>
        <v>-8.5511733622489974</v>
      </c>
      <c r="O175" s="297">
        <f t="shared" si="75"/>
        <v>-7.8645026640214155</v>
      </c>
      <c r="P175" s="297">
        <f t="shared" si="75"/>
        <v>-7.177168882974752</v>
      </c>
      <c r="Q175" s="297">
        <f t="shared" si="75"/>
        <v>-6.4891689026197454</v>
      </c>
      <c r="R175" s="297">
        <f t="shared" si="75"/>
        <v>-5.8004995918196647</v>
      </c>
      <c r="S175" s="297">
        <f t="shared" si="75"/>
        <v>-5.1111578047214019</v>
      </c>
      <c r="T175" s="297">
        <f t="shared" si="75"/>
        <v>-4.421140380686353</v>
      </c>
      <c r="U175" s="297">
        <f t="shared" si="75"/>
        <v>-3.7304441442209377</v>
      </c>
      <c r="V175" s="297">
        <f t="shared" si="75"/>
        <v>-3.0390659049067033</v>
      </c>
      <c r="W175" s="297">
        <f t="shared" si="75"/>
        <v>-2.3470024573302943</v>
      </c>
      <c r="X175" s="297">
        <f t="shared" si="75"/>
        <v>-1.6542505810128405</v>
      </c>
      <c r="Y175" s="297">
        <f t="shared" si="75"/>
        <v>-0.96080704033929831</v>
      </c>
      <c r="Z175" s="297">
        <f t="shared" si="75"/>
        <v>10.645116362677012</v>
      </c>
      <c r="AA175" s="297">
        <f t="shared" si="75"/>
        <v>10.794363752450858</v>
      </c>
      <c r="AB175" s="297">
        <f t="shared" si="75"/>
        <v>10.944312604956648</v>
      </c>
      <c r="AC175" s="297">
        <f t="shared" si="75"/>
        <v>11.094966217069201</v>
      </c>
      <c r="AD175" s="297">
        <f t="shared" si="75"/>
        <v>11.246327901158704</v>
      </c>
      <c r="AE175" s="297">
        <f t="shared" si="75"/>
        <v>11.398400985163418</v>
      </c>
      <c r="AF175" s="297">
        <f t="shared" si="75"/>
        <v>11.55118881266295</v>
      </c>
      <c r="AG175" s="297">
        <f t="shared" si="75"/>
        <v>11.704694742951734</v>
      </c>
      <c r="AH175" s="297">
        <f t="shared" si="75"/>
        <v>11.858922151112878</v>
      </c>
      <c r="AI175" s="297">
        <f t="shared" si="75"/>
        <v>12.013874428092375</v>
      </c>
      <c r="AJ175" s="297">
        <f t="shared" si="75"/>
        <v>12.169554980773674</v>
      </c>
      <c r="AK175" s="297">
        <f t="shared" si="75"/>
        <v>12.32596723205258</v>
      </c>
      <c r="AL175" s="297">
        <f t="shared" si="75"/>
        <v>12.483114620912504</v>
      </c>
      <c r="AM175" s="297">
        <f t="shared" si="75"/>
        <v>12.641000602500048</v>
      </c>
      <c r="AN175" s="297">
        <f t="shared" si="75"/>
        <v>12.79962864820107</v>
      </c>
      <c r="AO175" s="297">
        <f t="shared" si="75"/>
        <v>12.959002245716892</v>
      </c>
      <c r="AP175" s="297">
        <f t="shared" si="75"/>
        <v>13.119124899141021</v>
      </c>
      <c r="AQ175" s="297">
        <f t="shared" si="75"/>
        <v>13.280000129036253</v>
      </c>
      <c r="AR175" s="297">
        <f t="shared" si="75"/>
        <v>13.441631472511991</v>
      </c>
      <c r="AS175" s="297">
        <f t="shared" si="75"/>
        <v>13.604022483302069</v>
      </c>
      <c r="AT175" s="297">
        <f t="shared" si="75"/>
        <v>13.767176731842859</v>
      </c>
      <c r="AU175" s="297">
        <f t="shared" si="75"/>
        <v>13.931097805351792</v>
      </c>
      <c r="AV175" s="297">
        <f t="shared" si="75"/>
        <v>14.095789307906205</v>
      </c>
      <c r="AW175" s="297">
        <f t="shared" si="75"/>
        <v>14.261254860522635</v>
      </c>
      <c r="AX175" s="297">
        <f t="shared" si="75"/>
        <v>14.427498101236354</v>
      </c>
      <c r="AY175" s="297">
        <f t="shared" si="75"/>
        <v>14.59452268518144</v>
      </c>
      <c r="AZ175" s="297">
        <f t="shared" si="75"/>
        <v>14.762332284671068</v>
      </c>
      <c r="BA175" s="297">
        <f t="shared" si="75"/>
        <v>14.930930589278278</v>
      </c>
      <c r="BB175" s="297">
        <f t="shared" si="75"/>
        <v>15.100321305917165</v>
      </c>
      <c r="BC175" s="297">
        <f t="shared" si="75"/>
        <v>15.270508158924242</v>
      </c>
    </row>
    <row r="176" spans="1:58" s="197" customFormat="1" ht="16.899999999999999" customHeight="1" outlineLevel="1" x14ac:dyDescent="0.25">
      <c r="B176" s="197" t="s">
        <v>471</v>
      </c>
      <c r="C176" s="297">
        <f>C175</f>
        <v>14.17709269278056</v>
      </c>
      <c r="D176" s="297">
        <f t="shared" ref="D176:BC176" si="76">C176+D175</f>
        <v>13.608097092853177</v>
      </c>
      <c r="E176" s="297">
        <f t="shared" si="76"/>
        <v>12.449670599342177</v>
      </c>
      <c r="F176" s="297">
        <f t="shared" si="76"/>
        <v>-1.5713665662492939</v>
      </c>
      <c r="G176" s="297">
        <f t="shared" si="76"/>
        <v>-14.910927237788234</v>
      </c>
      <c r="H176" s="297">
        <f t="shared" si="76"/>
        <v>-27.568372745215171</v>
      </c>
      <c r="I176" s="297">
        <f t="shared" si="76"/>
        <v>-39.543061416721365</v>
      </c>
      <c r="J176" s="297">
        <f t="shared" si="76"/>
        <v>-50.834348564640557</v>
      </c>
      <c r="K176" s="297">
        <f t="shared" si="76"/>
        <v>-61.441586471274483</v>
      </c>
      <c r="L176" s="297">
        <f t="shared" si="76"/>
        <v>-71.364124374651681</v>
      </c>
      <c r="M176" s="297">
        <f t="shared" si="76"/>
        <v>-80.601308454219435</v>
      </c>
      <c r="N176" s="297">
        <f t="shared" si="76"/>
        <v>-89.152481816468438</v>
      </c>
      <c r="O176" s="297">
        <f t="shared" si="76"/>
        <v>-97.016984480489853</v>
      </c>
      <c r="P176" s="297">
        <f t="shared" si="76"/>
        <v>-104.19415336346461</v>
      </c>
      <c r="Q176" s="297">
        <f t="shared" si="76"/>
        <v>-110.68332226608436</v>
      </c>
      <c r="R176" s="297">
        <f t="shared" si="76"/>
        <v>-116.48382185790402</v>
      </c>
      <c r="S176" s="297">
        <f t="shared" si="76"/>
        <v>-121.59497966262542</v>
      </c>
      <c r="T176" s="297">
        <f t="shared" si="76"/>
        <v>-126.01612004331177</v>
      </c>
      <c r="U176" s="297">
        <f t="shared" si="76"/>
        <v>-129.7465641875327</v>
      </c>
      <c r="V176" s="297">
        <f t="shared" si="76"/>
        <v>-132.78563009243939</v>
      </c>
      <c r="W176" s="297">
        <f t="shared" si="76"/>
        <v>-135.13263254976968</v>
      </c>
      <c r="X176" s="297">
        <f t="shared" si="76"/>
        <v>-136.78688313078251</v>
      </c>
      <c r="Y176" s="297">
        <f t="shared" si="76"/>
        <v>-137.7476901711218</v>
      </c>
      <c r="Z176" s="297">
        <f t="shared" si="76"/>
        <v>-127.10257380844479</v>
      </c>
      <c r="AA176" s="297">
        <f t="shared" si="76"/>
        <v>-116.30821005599392</v>
      </c>
      <c r="AB176" s="297">
        <f t="shared" si="76"/>
        <v>-105.36389745103727</v>
      </c>
      <c r="AC176" s="297">
        <f t="shared" si="76"/>
        <v>-94.268931233968075</v>
      </c>
      <c r="AD176" s="297">
        <f t="shared" si="76"/>
        <v>-83.022603332809368</v>
      </c>
      <c r="AE176" s="297">
        <f t="shared" si="76"/>
        <v>-71.624202347645948</v>
      </c>
      <c r="AF176" s="297">
        <f t="shared" si="76"/>
        <v>-60.073013534982998</v>
      </c>
      <c r="AG176" s="297">
        <f t="shared" si="76"/>
        <v>-48.368318792031261</v>
      </c>
      <c r="AH176" s="297">
        <f t="shared" si="76"/>
        <v>-36.509396640918382</v>
      </c>
      <c r="AI176" s="297">
        <f t="shared" si="76"/>
        <v>-24.495522212826007</v>
      </c>
      <c r="AJ176" s="297">
        <f t="shared" si="76"/>
        <v>-12.325967232052333</v>
      </c>
      <c r="AK176" s="297">
        <f t="shared" si="76"/>
        <v>2.4691360067663481E-13</v>
      </c>
      <c r="AL176" s="297">
        <f t="shared" si="76"/>
        <v>12.483114620912751</v>
      </c>
      <c r="AM176" s="297">
        <f t="shared" si="76"/>
        <v>25.124115223412801</v>
      </c>
      <c r="AN176" s="297">
        <f t="shared" si="76"/>
        <v>37.923743871613873</v>
      </c>
      <c r="AO176" s="297">
        <f t="shared" si="76"/>
        <v>50.882746117330768</v>
      </c>
      <c r="AP176" s="297">
        <f t="shared" si="76"/>
        <v>64.001871016471796</v>
      </c>
      <c r="AQ176" s="297">
        <f t="shared" si="76"/>
        <v>77.281871145508049</v>
      </c>
      <c r="AR176" s="297">
        <f t="shared" si="76"/>
        <v>90.723502618020035</v>
      </c>
      <c r="AS176" s="297">
        <f t="shared" si="76"/>
        <v>104.32752510132211</v>
      </c>
      <c r="AT176" s="297">
        <f t="shared" si="76"/>
        <v>118.09470183316498</v>
      </c>
      <c r="AU176" s="297">
        <f t="shared" si="76"/>
        <v>132.02579963851676</v>
      </c>
      <c r="AV176" s="297">
        <f t="shared" si="76"/>
        <v>146.12158894642297</v>
      </c>
      <c r="AW176" s="297">
        <f t="shared" si="76"/>
        <v>160.3828438069456</v>
      </c>
      <c r="AX176" s="297">
        <f t="shared" si="76"/>
        <v>174.81034190818195</v>
      </c>
      <c r="AY176" s="297">
        <f t="shared" si="76"/>
        <v>189.40486459336338</v>
      </c>
      <c r="AZ176" s="297">
        <f t="shared" si="76"/>
        <v>204.16719687803445</v>
      </c>
      <c r="BA176" s="297">
        <f t="shared" si="76"/>
        <v>219.09812746731274</v>
      </c>
      <c r="BB176" s="297">
        <f t="shared" si="76"/>
        <v>234.1984487732299</v>
      </c>
      <c r="BC176" s="297">
        <f t="shared" si="76"/>
        <v>249.46895693215413</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13.367049493475919</v>
      </c>
      <c r="D178" s="300">
        <f t="shared" ref="D178:BC178" si="77">NPV($D$28,D175)</f>
        <v>-0.5364846312722833</v>
      </c>
      <c r="E178" s="300">
        <f t="shared" si="77"/>
        <v>-1.0922369352357149</v>
      </c>
      <c r="F178" s="300">
        <f t="shared" si="77"/>
        <v>-13.219910584189583</v>
      </c>
      <c r="G178" s="300">
        <f t="shared" si="77"/>
        <v>-12.577371932433472</v>
      </c>
      <c r="H178" s="300">
        <f t="shared" si="77"/>
        <v>-11.934231102608843</v>
      </c>
      <c r="I178" s="300">
        <f t="shared" si="77"/>
        <v>-11.290485264478779</v>
      </c>
      <c r="J178" s="300">
        <f t="shared" si="77"/>
        <v>-10.646131574504237</v>
      </c>
      <c r="K178" s="300">
        <f t="shared" si="77"/>
        <v>-10.001167175781566</v>
      </c>
      <c r="L178" s="300">
        <f t="shared" si="77"/>
        <v>-9.3555891979796346</v>
      </c>
      <c r="M178" s="300">
        <f t="shared" si="77"/>
        <v>-8.7093947572767849</v>
      </c>
      <c r="N178" s="300">
        <f t="shared" si="77"/>
        <v>-8.062580956297376</v>
      </c>
      <c r="O178" s="300">
        <f t="shared" si="77"/>
        <v>-7.4151448840481011</v>
      </c>
      <c r="P178" s="300">
        <f t="shared" si="77"/>
        <v>-6.7670836158539993</v>
      </c>
      <c r="Q178" s="300">
        <f t="shared" si="77"/>
        <v>-6.1183942132941214</v>
      </c>
      <c r="R178" s="300">
        <f t="shared" si="77"/>
        <v>-5.4690737241369645</v>
      </c>
      <c r="S178" s="300">
        <f t="shared" si="77"/>
        <v>-4.8191191822755064</v>
      </c>
      <c r="T178" s="300">
        <f t="shared" si="77"/>
        <v>-4.1685276076620337</v>
      </c>
      <c r="U178" s="300">
        <f t="shared" si="77"/>
        <v>-3.5172960062426339</v>
      </c>
      <c r="V178" s="300">
        <f t="shared" si="77"/>
        <v>-2.8654213698912909</v>
      </c>
      <c r="W178" s="300">
        <f t="shared" si="77"/>
        <v>-2.2129006763438568</v>
      </c>
      <c r="X178" s="300">
        <f t="shared" si="77"/>
        <v>-1.5597308891314732</v>
      </c>
      <c r="Y178" s="300">
        <f t="shared" si="77"/>
        <v>-0.90590895751395284</v>
      </c>
      <c r="Z178" s="300">
        <f t="shared" si="77"/>
        <v>10.036881352703197</v>
      </c>
      <c r="AA178" s="300">
        <f t="shared" si="77"/>
        <v>10.177601124317233</v>
      </c>
      <c r="AB178" s="300">
        <f t="shared" si="77"/>
        <v>10.318982278857861</v>
      </c>
      <c r="AC178" s="300">
        <f t="shared" si="77"/>
        <v>10.461027924824817</v>
      </c>
      <c r="AD178" s="300">
        <f t="shared" si="77"/>
        <v>10.603741185327838</v>
      </c>
      <c r="AE178" s="300">
        <f t="shared" si="77"/>
        <v>10.747125198155212</v>
      </c>
      <c r="AF178" s="300">
        <f t="shared" si="77"/>
        <v>10.891183115842873</v>
      </c>
      <c r="AG178" s="300">
        <f t="shared" si="77"/>
        <v>11.035918105743669</v>
      </c>
      <c r="AH178" s="300">
        <f t="shared" si="77"/>
        <v>11.181333350097001</v>
      </c>
      <c r="AI178" s="300">
        <f t="shared" si="77"/>
        <v>11.327432046098789</v>
      </c>
      <c r="AJ178" s="300">
        <f t="shared" si="77"/>
        <v>11.474217405971784</v>
      </c>
      <c r="AK178" s="300">
        <f t="shared" si="77"/>
        <v>11.621692657036187</v>
      </c>
      <c r="AL178" s="300">
        <f t="shared" si="77"/>
        <v>11.769861041780599</v>
      </c>
      <c r="AM178" s="300">
        <f t="shared" si="77"/>
        <v>11.918725817933291</v>
      </c>
      <c r="AN178" s="300">
        <f t="shared" si="77"/>
        <v>12.068290258533915</v>
      </c>
      <c r="AO178" s="300">
        <f t="shared" si="77"/>
        <v>12.218557652005368</v>
      </c>
      <c r="AP178" s="300">
        <f t="shared" si="77"/>
        <v>12.369531302226118</v>
      </c>
      <c r="AQ178" s="300">
        <f t="shared" si="77"/>
        <v>12.521214528602917</v>
      </c>
      <c r="AR178" s="300">
        <f t="shared" si="77"/>
        <v>12.673610666143684</v>
      </c>
      <c r="AS178" s="300">
        <f t="shared" si="77"/>
        <v>12.826723065530897</v>
      </c>
      <c r="AT178" s="300">
        <f t="shared" si="77"/>
        <v>12.980555093195228</v>
      </c>
      <c r="AU178" s="300">
        <f t="shared" si="77"/>
        <v>13.135110131389583</v>
      </c>
      <c r="AV178" s="300">
        <f t="shared" si="77"/>
        <v>13.29039157826344</v>
      </c>
      <c r="AW178" s="300">
        <f t="shared" si="77"/>
        <v>13.446402847937616</v>
      </c>
      <c r="AX178" s="300">
        <f t="shared" si="77"/>
        <v>13.603147370579252</v>
      </c>
      <c r="AY178" s="300">
        <f t="shared" si="77"/>
        <v>13.760628592477316</v>
      </c>
      <c r="AZ178" s="300">
        <f t="shared" si="77"/>
        <v>13.918849976118299</v>
      </c>
      <c r="BA178" s="300">
        <f t="shared" si="77"/>
        <v>14.077815000262378</v>
      </c>
      <c r="BB178" s="300">
        <f t="shared" si="77"/>
        <v>14.237527160019955</v>
      </c>
      <c r="BC178" s="300">
        <f t="shared" si="77"/>
        <v>14.397989966928382</v>
      </c>
    </row>
    <row r="179" spans="2:55" s="197" customFormat="1" ht="16.899999999999999" customHeight="1" outlineLevel="1" x14ac:dyDescent="0.25">
      <c r="B179" s="301" t="s">
        <v>469</v>
      </c>
      <c r="C179" s="300">
        <f>C178</f>
        <v>13.367049493475919</v>
      </c>
      <c r="D179" s="300">
        <f t="shared" ref="D179" si="78">C179+D178</f>
        <v>12.830564862203635</v>
      </c>
      <c r="E179" s="300">
        <f t="shared" ref="E179" si="79">D179+E178</f>
        <v>11.738327926967921</v>
      </c>
      <c r="F179" s="300">
        <f t="shared" ref="F179" si="80">E179+F178</f>
        <v>-1.4815826572216615</v>
      </c>
      <c r="G179" s="300">
        <f t="shared" ref="G179" si="81">F179+G178</f>
        <v>-14.058954589655134</v>
      </c>
      <c r="H179" s="300">
        <f t="shared" ref="H179" si="82">G179+H178</f>
        <v>-25.993185692263978</v>
      </c>
      <c r="I179" s="300">
        <f t="shared" ref="I179" si="83">H179+I178</f>
        <v>-37.283670956742753</v>
      </c>
      <c r="J179" s="300">
        <f t="shared" ref="J179" si="84">I179+J178</f>
        <v>-47.929802531246992</v>
      </c>
      <c r="K179" s="300">
        <f t="shared" ref="K179" si="85">J179+K178</f>
        <v>-57.930969707028559</v>
      </c>
      <c r="L179" s="300">
        <f t="shared" ref="L179" si="86">K179+L178</f>
        <v>-67.286558905008192</v>
      </c>
      <c r="M179" s="300">
        <f t="shared" ref="M179" si="87">L179+M178</f>
        <v>-75.995953662284975</v>
      </c>
      <c r="N179" s="300">
        <f t="shared" ref="N179" si="88">M179+N178</f>
        <v>-84.058534618582357</v>
      </c>
      <c r="O179" s="300">
        <f t="shared" ref="O179" si="89">N179+O178</f>
        <v>-91.473679502630461</v>
      </c>
      <c r="P179" s="300">
        <f t="shared" ref="P179" si="90">O179+P178</f>
        <v>-98.240763118484466</v>
      </c>
      <c r="Q179" s="300">
        <f t="shared" ref="Q179" si="91">P179+Q178</f>
        <v>-104.35915733177859</v>
      </c>
      <c r="R179" s="300">
        <f t="shared" ref="R179" si="92">Q179+R178</f>
        <v>-109.82823105591555</v>
      </c>
      <c r="S179" s="300">
        <f t="shared" ref="S179" si="93">R179+S178</f>
        <v>-114.64735023819105</v>
      </c>
      <c r="T179" s="300">
        <f t="shared" ref="T179" si="94">S179+T178</f>
        <v>-118.81587784585308</v>
      </c>
      <c r="U179" s="300">
        <f t="shared" ref="U179" si="95">T179+U178</f>
        <v>-122.33317385209571</v>
      </c>
      <c r="V179" s="300">
        <f t="shared" ref="V179" si="96">U179+V178</f>
        <v>-125.19859522198701</v>
      </c>
      <c r="W179" s="300">
        <f t="shared" ref="W179" si="97">V179+W178</f>
        <v>-127.41149589833086</v>
      </c>
      <c r="X179" s="300">
        <f t="shared" ref="X179" si="98">W179+X178</f>
        <v>-128.97122678746234</v>
      </c>
      <c r="Y179" s="300">
        <f t="shared" ref="Y179" si="99">X179+Y178</f>
        <v>-129.8771357449763</v>
      </c>
      <c r="Z179" s="300">
        <f t="shared" ref="Z179" si="100">Y179+Z178</f>
        <v>-119.8402543922731</v>
      </c>
      <c r="AA179" s="300">
        <f t="shared" ref="AA179" si="101">Z179+AA178</f>
        <v>-109.66265326795586</v>
      </c>
      <c r="AB179" s="300">
        <f t="shared" ref="AB179" si="102">AA179+AB178</f>
        <v>-99.343670989098001</v>
      </c>
      <c r="AC179" s="300">
        <f t="shared" ref="AC179" si="103">AB179+AC178</f>
        <v>-88.882643064273182</v>
      </c>
      <c r="AD179" s="300">
        <f t="shared" ref="AD179" si="104">AC179+AD178</f>
        <v>-78.278901878945348</v>
      </c>
      <c r="AE179" s="300">
        <f t="shared" ref="AE179" si="105">AD179+AE178</f>
        <v>-67.531776680790131</v>
      </c>
      <c r="AF179" s="300">
        <f t="shared" ref="AF179" si="106">AE179+AF178</f>
        <v>-56.64059356494726</v>
      </c>
      <c r="AG179" s="300">
        <f t="shared" ref="AG179" si="107">AF179+AG178</f>
        <v>-45.604675459203591</v>
      </c>
      <c r="AH179" s="300">
        <f t="shared" ref="AH179" si="108">AG179+AH178</f>
        <v>-34.423342109106592</v>
      </c>
      <c r="AI179" s="300">
        <f t="shared" ref="AI179" si="109">AH179+AI178</f>
        <v>-23.095910063007803</v>
      </c>
      <c r="AJ179" s="300">
        <f t="shared" ref="AJ179" si="110">AI179+AJ178</f>
        <v>-11.62169265703602</v>
      </c>
      <c r="AK179" s="300">
        <f t="shared" ref="AK179" si="111">AJ179+AK178</f>
        <v>1.6697754290362354E-13</v>
      </c>
      <c r="AL179" s="300">
        <f t="shared" ref="AL179" si="112">AK179+AL178</f>
        <v>11.769861041780766</v>
      </c>
      <c r="AM179" s="300">
        <f t="shared" ref="AM179" si="113">AL179+AM178</f>
        <v>23.688586859714057</v>
      </c>
      <c r="AN179" s="300">
        <f t="shared" ref="AN179" si="114">AM179+AN178</f>
        <v>35.756877118247971</v>
      </c>
      <c r="AO179" s="300">
        <f t="shared" ref="AO179" si="115">AN179+AO178</f>
        <v>47.975434770253337</v>
      </c>
      <c r="AP179" s="300">
        <f t="shared" ref="AP179" si="116">AO179+AP178</f>
        <v>60.344966072479451</v>
      </c>
      <c r="AQ179" s="300">
        <f t="shared" ref="AQ179" si="117">AP179+AQ178</f>
        <v>72.866180601082363</v>
      </c>
      <c r="AR179" s="300">
        <f t="shared" ref="AR179" si="118">AQ179+AR178</f>
        <v>85.53979126722605</v>
      </c>
      <c r="AS179" s="300">
        <f t="shared" ref="AS179" si="119">AR179+AS178</f>
        <v>98.36651433275695</v>
      </c>
      <c r="AT179" s="300">
        <f t="shared" ref="AT179" si="120">AS179+AT178</f>
        <v>111.34706942595218</v>
      </c>
      <c r="AU179" s="300">
        <f t="shared" ref="AU179" si="121">AT179+AU178</f>
        <v>124.48217955734177</v>
      </c>
      <c r="AV179" s="300">
        <f t="shared" ref="AV179" si="122">AU179+AV178</f>
        <v>137.7725711356052</v>
      </c>
      <c r="AW179" s="300">
        <f t="shared" ref="AW179" si="123">AV179+AW178</f>
        <v>151.21897398354281</v>
      </c>
      <c r="AX179" s="300">
        <f t="shared" ref="AX179" si="124">AW179+AX178</f>
        <v>164.82212135412206</v>
      </c>
      <c r="AY179" s="300">
        <f t="shared" ref="AY179" si="125">AX179+AY178</f>
        <v>178.58274994659936</v>
      </c>
      <c r="AZ179" s="300">
        <f t="shared" ref="AZ179" si="126">AY179+AZ178</f>
        <v>192.50159992271767</v>
      </c>
      <c r="BA179" s="300">
        <f t="shared" ref="BA179" si="127">AZ179+BA178</f>
        <v>206.57941492298005</v>
      </c>
      <c r="BB179" s="300">
        <f t="shared" ref="BB179" si="128">BA179+BB178</f>
        <v>220.81694208300001</v>
      </c>
      <c r="BC179" s="300">
        <f t="shared" ref="BC179" si="129">BB179+BC178</f>
        <v>235.21493204992839</v>
      </c>
    </row>
    <row r="180" spans="2:55" s="197" customFormat="1" ht="16.899999999999999" customHeight="1" outlineLevel="1" x14ac:dyDescent="0.25">
      <c r="B180" s="197" t="s">
        <v>416</v>
      </c>
      <c r="C180" s="297">
        <f>C175/(1+$D$28)^C32</f>
        <v>14.17709269278056</v>
      </c>
      <c r="D180" s="297">
        <f t="shared" ref="D180:BC180" si="130">D175/(1+$D$28)^D32</f>
        <v>-0.5364846312722833</v>
      </c>
      <c r="E180" s="297">
        <f t="shared" si="130"/>
        <v>-1.029829280818136</v>
      </c>
      <c r="F180" s="297">
        <f t="shared" si="130"/>
        <v>-11.752365027610407</v>
      </c>
      <c r="G180" s="297">
        <f t="shared" si="130"/>
        <v>-10.5422918641657</v>
      </c>
      <c r="H180" s="297">
        <f t="shared" si="130"/>
        <v>-9.4316560009762078</v>
      </c>
      <c r="I180" s="297">
        <f t="shared" si="130"/>
        <v>-8.4130698438457721</v>
      </c>
      <c r="J180" s="297">
        <f t="shared" si="130"/>
        <v>-7.4796640614298395</v>
      </c>
      <c r="K180" s="297">
        <f t="shared" si="130"/>
        <v>-6.6250525486663046</v>
      </c>
      <c r="L180" s="297">
        <f t="shared" si="130"/>
        <v>-5.8432996983678382</v>
      </c>
      <c r="M180" s="297">
        <f t="shared" si="130"/>
        <v>-5.1288898317879523</v>
      </c>
      <c r="N180" s="297">
        <f t="shared" si="130"/>
        <v>-4.4766986484755442</v>
      </c>
      <c r="O180" s="297">
        <f t="shared" si="130"/>
        <v>-3.8819665646373873</v>
      </c>
      <c r="P180" s="297">
        <f t="shared" si="130"/>
        <v>-3.3402738175713296</v>
      </c>
      <c r="Q180" s="297">
        <f t="shared" si="130"/>
        <v>-2.8475172215504045</v>
      </c>
      <c r="R180" s="297">
        <f t="shared" si="130"/>
        <v>-2.3998884678624588</v>
      </c>
      <c r="S180" s="297">
        <f t="shared" si="130"/>
        <v>-1.9938538685716216</v>
      </c>
      <c r="T180" s="297">
        <f t="shared" si="130"/>
        <v>-1.6261354499966549</v>
      </c>
      <c r="U180" s="297">
        <f t="shared" si="130"/>
        <v>-1.2936933079231638</v>
      </c>
      <c r="V180" s="297">
        <f t="shared" si="130"/>
        <v>-0.99370914220793138</v>
      </c>
      <c r="W180" s="297">
        <f t="shared" si="130"/>
        <v>-0.7235708937179206</v>
      </c>
      <c r="X180" s="297">
        <f t="shared" si="130"/>
        <v>-0.48085841149568187</v>
      </c>
      <c r="Y180" s="297">
        <f t="shared" si="130"/>
        <v>-0.26333008267898395</v>
      </c>
      <c r="Z180" s="297">
        <f t="shared" si="130"/>
        <v>2.7508258011027218</v>
      </c>
      <c r="AA180" s="297">
        <f t="shared" si="130"/>
        <v>2.6300142536970199</v>
      </c>
      <c r="AB180" s="297">
        <f t="shared" si="130"/>
        <v>2.5141889878299879</v>
      </c>
      <c r="AC180" s="297">
        <f t="shared" si="130"/>
        <v>2.4031661155278861</v>
      </c>
      <c r="AD180" s="297">
        <f t="shared" si="130"/>
        <v>2.2967669315841071</v>
      </c>
      <c r="AE180" s="297">
        <f t="shared" si="130"/>
        <v>2.1948178980424395</v>
      </c>
      <c r="AF180" s="297">
        <f t="shared" si="130"/>
        <v>2.0971506147769419</v>
      </c>
      <c r="AG180" s="297">
        <f t="shared" si="130"/>
        <v>2.0036017777422881</v>
      </c>
      <c r="AH180" s="297">
        <f t="shared" si="130"/>
        <v>1.9140131263375284</v>
      </c>
      <c r="AI180" s="297">
        <f t="shared" si="130"/>
        <v>1.8282313812048132</v>
      </c>
      <c r="AJ180" s="297">
        <f t="shared" si="130"/>
        <v>1.7461081736722481</v>
      </c>
      <c r="AK180" s="297">
        <f t="shared" si="130"/>
        <v>1.6674999679460369</v>
      </c>
      <c r="AL180" s="297">
        <f t="shared" si="130"/>
        <v>1.5922679770608317</v>
      </c>
      <c r="AM180" s="297">
        <f t="shared" si="130"/>
        <v>1.5202780735082355</v>
      </c>
      <c r="AN180" s="297">
        <f t="shared" si="130"/>
        <v>1.4514006953811531</v>
      </c>
      <c r="AO180" s="297">
        <f t="shared" si="130"/>
        <v>1.3855107487956484</v>
      </c>
      <c r="AP180" s="297">
        <f t="shared" si="130"/>
        <v>1.322487507281888</v>
      </c>
      <c r="AQ180" s="297">
        <f t="shared" si="130"/>
        <v>1.2622145087709353</v>
      </c>
      <c r="AR180" s="297">
        <f t="shared" si="130"/>
        <v>1.2045794507444443</v>
      </c>
      <c r="AS180" s="297">
        <f t="shared" si="130"/>
        <v>1.1494740840592941</v>
      </c>
      <c r="AT180" s="297">
        <f t="shared" si="130"/>
        <v>1.0967941059084534</v>
      </c>
      <c r="AU180" s="297">
        <f t="shared" si="130"/>
        <v>1.0464390523327047</v>
      </c>
      <c r="AV180" s="297">
        <f t="shared" si="130"/>
        <v>0.99831219065491006</v>
      </c>
      <c r="AW180" s="297">
        <f t="shared" si="130"/>
        <v>0.95232041216902852</v>
      </c>
      <c r="AX180" s="297">
        <f t="shared" si="130"/>
        <v>0.90837412537982798</v>
      </c>
      <c r="AY180" s="297">
        <f t="shared" si="130"/>
        <v>0.86638715005598044</v>
      </c>
      <c r="AZ180" s="297">
        <f t="shared" si="130"/>
        <v>0.82627661232868643</v>
      </c>
      <c r="BA180" s="297">
        <f t="shared" si="130"/>
        <v>0.78796284104005665</v>
      </c>
      <c r="BB180" s="297">
        <f t="shared" si="130"/>
        <v>0.75136926551987782</v>
      </c>
      <c r="BC180" s="297">
        <f t="shared" si="130"/>
        <v>0.71642231494599773</v>
      </c>
    </row>
    <row r="181" spans="2:55" s="197" customFormat="1" ht="16.899999999999999" customHeight="1" outlineLevel="1" x14ac:dyDescent="0.25">
      <c r="B181" s="290" t="s">
        <v>417</v>
      </c>
      <c r="C181" s="297">
        <f>C180</f>
        <v>14.17709269278056</v>
      </c>
      <c r="D181" s="300">
        <f t="shared" ref="D181" si="131">C181+D180</f>
        <v>13.640608061508276</v>
      </c>
      <c r="E181" s="300">
        <f t="shared" ref="E181" si="132">D181+E180</f>
        <v>12.61077878069014</v>
      </c>
      <c r="F181" s="300">
        <f t="shared" ref="F181" si="133">E181+F180</f>
        <v>0.85841375307973244</v>
      </c>
      <c r="G181" s="300">
        <f t="shared" ref="G181" si="134">F181+G180</f>
        <v>-9.6838781110859671</v>
      </c>
      <c r="H181" s="300">
        <f t="shared" ref="H181" si="135">G181+H180</f>
        <v>-19.115534112062175</v>
      </c>
      <c r="I181" s="300">
        <f t="shared" ref="I181" si="136">H181+I180</f>
        <v>-27.528603955907947</v>
      </c>
      <c r="J181" s="300">
        <f t="shared" ref="J181" si="137">I181+J180</f>
        <v>-35.008268017337784</v>
      </c>
      <c r="K181" s="300">
        <f t="shared" ref="K181" si="138">J181+K180</f>
        <v>-41.633320566004087</v>
      </c>
      <c r="L181" s="300">
        <f t="shared" ref="L181" si="139">K181+L180</f>
        <v>-47.476620264371924</v>
      </c>
      <c r="M181" s="300">
        <f t="shared" ref="M181" si="140">L181+M180</f>
        <v>-52.605510096159875</v>
      </c>
      <c r="N181" s="300">
        <f t="shared" ref="N181" si="141">M181+N180</f>
        <v>-57.082208744635423</v>
      </c>
      <c r="O181" s="300">
        <f t="shared" ref="O181" si="142">N181+O180</f>
        <v>-60.964175309272811</v>
      </c>
      <c r="P181" s="300">
        <f t="shared" ref="P181" si="143">O181+P180</f>
        <v>-64.304449126844133</v>
      </c>
      <c r="Q181" s="300">
        <f t="shared" ref="Q181" si="144">P181+Q180</f>
        <v>-67.151966348394538</v>
      </c>
      <c r="R181" s="300">
        <f t="shared" ref="R181" si="145">Q181+R180</f>
        <v>-69.551854816256991</v>
      </c>
      <c r="S181" s="300">
        <f t="shared" ref="S181" si="146">R181+S180</f>
        <v>-71.545708684828611</v>
      </c>
      <c r="T181" s="300">
        <f t="shared" ref="T181" si="147">S181+T180</f>
        <v>-73.171844134825264</v>
      </c>
      <c r="U181" s="300">
        <f t="shared" ref="U181" si="148">T181+U180</f>
        <v>-74.465537442748428</v>
      </c>
      <c r="V181" s="300">
        <f t="shared" ref="V181" si="149">U181+V180</f>
        <v>-75.459246584956361</v>
      </c>
      <c r="W181" s="300">
        <f t="shared" ref="W181" si="150">V181+W180</f>
        <v>-76.182817478674281</v>
      </c>
      <c r="X181" s="300">
        <f t="shared" ref="X181" si="151">W181+X180</f>
        <v>-76.663675890169969</v>
      </c>
      <c r="Y181" s="300">
        <f t="shared" ref="Y181" si="152">X181+Y180</f>
        <v>-76.92700597284896</v>
      </c>
      <c r="Z181" s="300">
        <f t="shared" ref="Z181" si="153">Y181+Z180</f>
        <v>-74.176180171746239</v>
      </c>
      <c r="AA181" s="300">
        <f t="shared" ref="AA181" si="154">Z181+AA180</f>
        <v>-71.546165918049212</v>
      </c>
      <c r="AB181" s="300">
        <f t="shared" ref="AB181" si="155">AA181+AB180</f>
        <v>-69.03197693021923</v>
      </c>
      <c r="AC181" s="300">
        <f t="shared" ref="AC181" si="156">AB181+AC180</f>
        <v>-66.628810814691349</v>
      </c>
      <c r="AD181" s="300">
        <f t="shared" ref="AD181" si="157">AC181+AD180</f>
        <v>-64.332043883107247</v>
      </c>
      <c r="AE181" s="300">
        <f t="shared" ref="AE181" si="158">AD181+AE180</f>
        <v>-62.137225985064809</v>
      </c>
      <c r="AF181" s="300">
        <f t="shared" ref="AF181" si="159">AE181+AF180</f>
        <v>-60.040075370287866</v>
      </c>
      <c r="AG181" s="300">
        <f t="shared" ref="AG181" si="160">AF181+AG180</f>
        <v>-58.036473592545576</v>
      </c>
      <c r="AH181" s="300">
        <f t="shared" ref="AH181" si="161">AG181+AH180</f>
        <v>-56.122460466208047</v>
      </c>
      <c r="AI181" s="300">
        <f t="shared" ref="AI181" si="162">AH181+AI180</f>
        <v>-54.294229085003231</v>
      </c>
      <c r="AJ181" s="300">
        <f t="shared" ref="AJ181" si="163">AI181+AJ180</f>
        <v>-52.548120911330983</v>
      </c>
      <c r="AK181" s="300">
        <f t="shared" ref="AK181" si="164">AJ181+AK180</f>
        <v>-50.880620943384947</v>
      </c>
      <c r="AL181" s="300">
        <f t="shared" ref="AL181" si="165">AK181+AL180</f>
        <v>-49.288352966324119</v>
      </c>
      <c r="AM181" s="300">
        <f t="shared" ref="AM181" si="166">AL181+AM180</f>
        <v>-47.768074892815882</v>
      </c>
      <c r="AN181" s="300">
        <f t="shared" ref="AN181" si="167">AM181+AN180</f>
        <v>-46.316674197434729</v>
      </c>
      <c r="AO181" s="300">
        <f t="shared" ref="AO181" si="168">AN181+AO180</f>
        <v>-44.931163448639083</v>
      </c>
      <c r="AP181" s="300">
        <f t="shared" ref="AP181" si="169">AO181+AP180</f>
        <v>-43.608675941357198</v>
      </c>
      <c r="AQ181" s="300">
        <f t="shared" ref="AQ181" si="170">AP181+AQ180</f>
        <v>-42.34646143258626</v>
      </c>
      <c r="AR181" s="300">
        <f t="shared" ref="AR181" si="171">AQ181+AR180</f>
        <v>-41.141881981841813</v>
      </c>
      <c r="AS181" s="300">
        <f t="shared" ref="AS181" si="172">AR181+AS180</f>
        <v>-39.99240789778252</v>
      </c>
      <c r="AT181" s="300">
        <f t="shared" ref="AT181" si="173">AS181+AT180</f>
        <v>-38.895613791874069</v>
      </c>
      <c r="AU181" s="300">
        <f t="shared" ref="AU181" si="174">AT181+AU180</f>
        <v>-37.849174739541368</v>
      </c>
      <c r="AV181" s="300">
        <f t="shared" ref="AV181" si="175">AU181+AV180</f>
        <v>-36.850862548886461</v>
      </c>
      <c r="AW181" s="300">
        <f t="shared" ref="AW181" si="176">AV181+AW180</f>
        <v>-35.898542136717431</v>
      </c>
      <c r="AX181" s="300">
        <f t="shared" ref="AX181" si="177">AW181+AX180</f>
        <v>-34.990168011337602</v>
      </c>
      <c r="AY181" s="300">
        <f t="shared" ref="AY181" si="178">AX181+AY180</f>
        <v>-34.123780861281624</v>
      </c>
      <c r="AZ181" s="300">
        <f t="shared" ref="AZ181" si="179">AY181+AZ180</f>
        <v>-33.29750424895294</v>
      </c>
      <c r="BA181" s="300">
        <f t="shared" ref="BA181" si="180">AZ181+BA180</f>
        <v>-32.509541407912884</v>
      </c>
      <c r="BB181" s="300">
        <f t="shared" ref="BB181" si="181">BA181+BB180</f>
        <v>-31.758172142393008</v>
      </c>
      <c r="BC181" s="300">
        <f t="shared" ref="BC181" si="182">BB181+BC180</f>
        <v>-31.04174982744701</v>
      </c>
    </row>
    <row r="182" spans="2:55" s="197" customFormat="1" ht="16.899999999999999" customHeight="1" outlineLevel="1" x14ac:dyDescent="0.25">
      <c r="B182" s="290" t="s">
        <v>418</v>
      </c>
      <c r="C182" s="297">
        <f t="shared" ref="C182:AH182" si="183">C167/(1+$C$28)^C32</f>
        <v>55.516106965662551</v>
      </c>
      <c r="D182" s="297">
        <f t="shared" si="183"/>
        <v>77.222648715784956</v>
      </c>
      <c r="E182" s="297">
        <f t="shared" si="183"/>
        <v>64.748247565985309</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0.99999999999998002</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0.449461283624635</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9" t="str">
        <f>'R&amp;C-Painel de Controle'!G2</f>
        <v>CIRSOP - Consórcio RSU Oeste Paulista</v>
      </c>
      <c r="D2" s="2250"/>
      <c r="E2" s="2250"/>
      <c r="F2" s="2250"/>
      <c r="G2" s="2250"/>
      <c r="H2" s="2251"/>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1119</v>
      </c>
      <c r="C5" s="1786">
        <f>'R&amp;C-Painel de Controle'!D33</f>
        <v>292.94394556662456</v>
      </c>
      <c r="D5" s="1787" t="s">
        <v>342</v>
      </c>
      <c r="E5" s="1788"/>
      <c r="F5" s="1788"/>
      <c r="G5" s="1788"/>
      <c r="H5" s="1789"/>
      <c r="I5" s="888"/>
    </row>
    <row r="6" spans="1:60" ht="19.899999999999999" customHeight="1" x14ac:dyDescent="0.25">
      <c r="B6" s="1785" t="s">
        <v>1120</v>
      </c>
      <c r="C6" s="1786">
        <f>'R&amp;C-Painel de Controle'!H33</f>
        <v>318.85362727861343</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2" t="s">
        <v>1092</v>
      </c>
      <c r="C10" s="2253"/>
      <c r="D10" s="2256" t="s">
        <v>1090</v>
      </c>
      <c r="E10" s="2257"/>
      <c r="F10" s="2257"/>
      <c r="G10" s="2257"/>
      <c r="H10" s="2258"/>
      <c r="J10" s="1733" t="s">
        <v>1089</v>
      </c>
      <c r="K10" s="1733" t="s">
        <v>1087</v>
      </c>
      <c r="L10" s="1733" t="s">
        <v>1090</v>
      </c>
      <c r="M10" s="1733" t="s">
        <v>1088</v>
      </c>
    </row>
    <row r="11" spans="1:60" s="1025" customFormat="1" ht="19.899999999999999" customHeight="1" thickBot="1" x14ac:dyDescent="0.3">
      <c r="B11" s="2254"/>
      <c r="C11" s="2255"/>
      <c r="D11" s="2259"/>
      <c r="E11" s="2260"/>
      <c r="F11" s="2260"/>
      <c r="G11" s="2260"/>
      <c r="H11" s="2261"/>
    </row>
    <row r="12" spans="1:60" ht="4.9000000000000004" customHeight="1" thickTop="1" thickBot="1" x14ac:dyDescent="0.3"/>
    <row r="13" spans="1:60" s="41" customFormat="1" ht="25.15" customHeight="1" collapsed="1" thickTop="1" thickBot="1" x14ac:dyDescent="0.3">
      <c r="B13" s="2266" t="s">
        <v>1084</v>
      </c>
      <c r="C13" s="2267"/>
      <c r="D13" s="2267"/>
      <c r="E13" s="2267"/>
      <c r="F13" s="2267"/>
      <c r="G13" s="2267"/>
      <c r="H13" s="2268"/>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8"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8"/>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56.741909637899042</v>
      </c>
      <c r="B18" s="1689" t="str">
        <f>'C-FCL Real'!B63</f>
        <v>Dados de Capex</v>
      </c>
      <c r="C18" s="1704">
        <f>SUMIF($D$15:$BG$15,1,D18:BG18)</f>
        <v>311.76528420469043</v>
      </c>
      <c r="D18" s="1699">
        <f>'C-FCL Real'!C63</f>
        <v>79.308724236660794</v>
      </c>
      <c r="E18" s="50">
        <f>'C-FCL Real'!D63</f>
        <v>121.06304957243202</v>
      </c>
      <c r="F18" s="50">
        <f>'C-FCL Real'!E63</f>
        <v>111.3935103955976</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51.705767849370375</v>
      </c>
      <c r="B19" s="1738" t="s">
        <v>1008</v>
      </c>
      <c r="C19" s="1703">
        <f>SUMIF($D$15:$BG$15,1,D19:BG19)</f>
        <v>284.09448168825446</v>
      </c>
      <c r="D19" s="1699">
        <f t="shared" ref="D19:AJ19" si="0">NPV($C$8,D18:D18)</f>
        <v>72.269659410115551</v>
      </c>
      <c r="E19" s="50">
        <f t="shared" si="0"/>
        <v>110.31806959397852</v>
      </c>
      <c r="F19" s="50">
        <f t="shared" si="0"/>
        <v>101.50675268416039</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1985.9668373264667</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188.21904172553539</v>
      </c>
      <c r="B21" s="1689" t="str">
        <f>'C-FCL Real'!B119</f>
        <v>Dados de Opex + Gestão do Contrato</v>
      </c>
      <c r="C21" s="1704">
        <f>SUMIF($D$15:$BG$15,1,D21:BG21)</f>
        <v>1034.1591146784808</v>
      </c>
      <c r="D21" s="1699">
        <f>'C-FCL Real'!C119</f>
        <v>3.5536859999999999</v>
      </c>
      <c r="E21" s="50">
        <f>'C-FCL Real'!D119</f>
        <v>3.5536859999999999</v>
      </c>
      <c r="F21" s="50">
        <f>'C-FCL Real'!E119</f>
        <v>3.5536859999999999</v>
      </c>
      <c r="G21" s="50">
        <f>'C-FCL Real'!F119</f>
        <v>31.98431427120255</v>
      </c>
      <c r="H21" s="50">
        <f>'C-FCL Real'!G119</f>
        <v>31.98431427120255</v>
      </c>
      <c r="I21" s="50">
        <f>'C-FCL Real'!H119</f>
        <v>31.98431427120255</v>
      </c>
      <c r="J21" s="50">
        <f>'C-FCL Real'!I119</f>
        <v>31.98431427120255</v>
      </c>
      <c r="K21" s="50">
        <f>'C-FCL Real'!J119</f>
        <v>31.98431427120255</v>
      </c>
      <c r="L21" s="50">
        <f>'C-FCL Real'!K119</f>
        <v>31.98431427120255</v>
      </c>
      <c r="M21" s="50">
        <f>'C-FCL Real'!L119</f>
        <v>31.98431427120255</v>
      </c>
      <c r="N21" s="50">
        <f>'C-FCL Real'!M119</f>
        <v>31.98431427120255</v>
      </c>
      <c r="O21" s="50">
        <f>'C-FCL Real'!N119</f>
        <v>31.98431427120255</v>
      </c>
      <c r="P21" s="50">
        <f>'C-FCL Real'!O119</f>
        <v>31.98431427120255</v>
      </c>
      <c r="Q21" s="50">
        <f>'C-FCL Real'!P119</f>
        <v>31.98431427120255</v>
      </c>
      <c r="R21" s="50">
        <f>'C-FCL Real'!Q119</f>
        <v>31.98431427120255</v>
      </c>
      <c r="S21" s="50">
        <f>'C-FCL Real'!O119</f>
        <v>31.98431427120255</v>
      </c>
      <c r="T21" s="50">
        <f>'C-FCL Real'!P119</f>
        <v>31.98431427120255</v>
      </c>
      <c r="U21" s="50">
        <f>'C-FCL Real'!Q119</f>
        <v>31.98431427120255</v>
      </c>
      <c r="V21" s="50">
        <f>'C-FCL Real'!R119</f>
        <v>31.98431427120255</v>
      </c>
      <c r="W21" s="50">
        <f>'C-FCL Real'!S119</f>
        <v>31.98431427120255</v>
      </c>
      <c r="X21" s="50">
        <f>'C-FCL Real'!T119</f>
        <v>31.98431427120255</v>
      </c>
      <c r="Y21" s="50">
        <f>'C-FCL Real'!U119</f>
        <v>31.98431427120255</v>
      </c>
      <c r="Z21" s="50">
        <f>'C-FCL Real'!V119</f>
        <v>31.98431427120255</v>
      </c>
      <c r="AA21" s="50">
        <f>'C-FCL Real'!W119</f>
        <v>31.98431427120255</v>
      </c>
      <c r="AB21" s="50">
        <f>'C-FCL Real'!X119</f>
        <v>31.98431427120255</v>
      </c>
      <c r="AC21" s="50">
        <f>'C-FCL Real'!Y119</f>
        <v>31.98431427120255</v>
      </c>
      <c r="AD21" s="50">
        <f>'C-FCL Real'!Z119</f>
        <v>31.98431427120255</v>
      </c>
      <c r="AE21" s="50">
        <f>'C-FCL Real'!AA119</f>
        <v>31.98431427120255</v>
      </c>
      <c r="AF21" s="50">
        <f>'C-FCL Real'!AB119</f>
        <v>31.98431427120255</v>
      </c>
      <c r="AG21" s="50">
        <f>'C-FCL Real'!AC119</f>
        <v>31.98431427120255</v>
      </c>
      <c r="AH21" s="50">
        <f>'C-FCL Real'!AD119</f>
        <v>31.98431427120255</v>
      </c>
      <c r="AI21" s="50">
        <f>'C-FCL Real'!AE119</f>
        <v>31.98431427120255</v>
      </c>
      <c r="AJ21" s="50">
        <f>'C-FCL Real'!AF119</f>
        <v>31.98431427120255</v>
      </c>
      <c r="AK21" s="50">
        <f>'C-FCL Real'!AG119</f>
        <v>31.98431427120255</v>
      </c>
      <c r="AL21" s="50">
        <f>'C-FCL Real'!AH119</f>
        <v>31.98431427120255</v>
      </c>
      <c r="AM21" s="50">
        <f>'C-FCL Real'!AI119</f>
        <v>31.98431427120255</v>
      </c>
      <c r="AN21" s="50">
        <f>'C-FCL Real'!AJ119</f>
        <v>31.98431427120255</v>
      </c>
      <c r="AO21" s="50">
        <f>'C-FCL Real'!AK119</f>
        <v>31.98431427120255</v>
      </c>
      <c r="AP21" s="50">
        <f>'C-FCL Real'!AL119</f>
        <v>31.98431427120255</v>
      </c>
      <c r="AQ21" s="50">
        <f>'C-FCL Real'!AM119</f>
        <v>31.98431427120255</v>
      </c>
      <c r="AR21" s="50">
        <f>'C-FCL Real'!AN119</f>
        <v>31.98431427120255</v>
      </c>
      <c r="AS21" s="50">
        <f>'C-FCL Real'!AO119</f>
        <v>31.98431427120255</v>
      </c>
      <c r="AT21" s="50">
        <f>'C-FCL Real'!AP119</f>
        <v>31.98431427120255</v>
      </c>
      <c r="AU21" s="50">
        <f>'C-FCL Real'!AQ119</f>
        <v>31.98431427120255</v>
      </c>
      <c r="AV21" s="50">
        <f>'C-FCL Real'!AR119</f>
        <v>31.98431427120255</v>
      </c>
      <c r="AW21" s="50">
        <f>'C-FCL Real'!AS119</f>
        <v>31.98431427120255</v>
      </c>
      <c r="AX21" s="50">
        <f>'C-FCL Real'!AT119</f>
        <v>31.98431427120255</v>
      </c>
      <c r="AY21" s="50">
        <f>'C-FCL Real'!AU119</f>
        <v>31.98431427120255</v>
      </c>
      <c r="AZ21" s="50">
        <f>'C-FCL Real'!AV119</f>
        <v>31.98431427120255</v>
      </c>
      <c r="BA21" s="50">
        <f>'C-FCL Real'!AW119</f>
        <v>31.98431427120255</v>
      </c>
      <c r="BB21" s="50">
        <f>'C-FCL Real'!AX119</f>
        <v>31.98431427120255</v>
      </c>
      <c r="BC21" s="50">
        <f>'C-FCL Real'!AY119</f>
        <v>31.98431427120255</v>
      </c>
      <c r="BD21" s="50">
        <f>'C-FCL Real'!AZ119</f>
        <v>31.98431427120255</v>
      </c>
      <c r="BE21" s="50">
        <f>'C-FCL Real'!BA119</f>
        <v>31.98431427120255</v>
      </c>
      <c r="BF21" s="50">
        <f>'C-FCL Real'!BB119</f>
        <v>31.98431427120255</v>
      </c>
      <c r="BG21" s="50">
        <f>'C-FCL Real'!BC119</f>
        <v>31.98431427120255</v>
      </c>
      <c r="BH21" s="50">
        <f>'C-FCL Real'!BD119</f>
        <v>0</v>
      </c>
    </row>
    <row r="22" spans="1:60" ht="15" hidden="1" customHeight="1" outlineLevel="1" x14ac:dyDescent="0.25">
      <c r="A22" s="1716">
        <f>C22*1000000/$C$16</f>
        <v>160.90452204705426</v>
      </c>
      <c r="B22" s="1738" t="s">
        <v>1009</v>
      </c>
      <c r="C22" s="1703">
        <f>SUMIF($D$15:$BG$15,1,D22:BG22)</f>
        <v>884.08099702576669</v>
      </c>
      <c r="D22" s="1699">
        <f t="shared" ref="D22:AJ22" si="1">NPV($C$8,D21:D21)</f>
        <v>3.2382777474029525</v>
      </c>
      <c r="E22" s="50">
        <f t="shared" si="1"/>
        <v>3.2382777474029525</v>
      </c>
      <c r="F22" s="50">
        <f t="shared" si="1"/>
        <v>3.2382777474029525</v>
      </c>
      <c r="G22" s="50">
        <f t="shared" si="1"/>
        <v>29.145538792785267</v>
      </c>
      <c r="H22" s="50">
        <f t="shared" si="1"/>
        <v>29.145538792785267</v>
      </c>
      <c r="I22" s="50">
        <f t="shared" si="1"/>
        <v>29.145538792785267</v>
      </c>
      <c r="J22" s="50">
        <f t="shared" si="1"/>
        <v>29.145538792785267</v>
      </c>
      <c r="K22" s="50">
        <f t="shared" si="1"/>
        <v>29.145538792785267</v>
      </c>
      <c r="L22" s="50">
        <f t="shared" si="1"/>
        <v>29.145538792785267</v>
      </c>
      <c r="M22" s="50">
        <f t="shared" si="1"/>
        <v>29.145538792785267</v>
      </c>
      <c r="N22" s="50">
        <f t="shared" si="1"/>
        <v>29.145538792785267</v>
      </c>
      <c r="O22" s="50">
        <f t="shared" si="1"/>
        <v>29.145538792785267</v>
      </c>
      <c r="P22" s="50">
        <f t="shared" si="1"/>
        <v>29.145538792785267</v>
      </c>
      <c r="Q22" s="50">
        <f t="shared" si="1"/>
        <v>29.145538792785267</v>
      </c>
      <c r="R22" s="50">
        <f t="shared" si="1"/>
        <v>29.145538792785267</v>
      </c>
      <c r="S22" s="50">
        <f t="shared" si="1"/>
        <v>29.145538792785267</v>
      </c>
      <c r="T22" s="50">
        <f t="shared" si="1"/>
        <v>29.145538792785267</v>
      </c>
      <c r="U22" s="50">
        <f t="shared" si="1"/>
        <v>29.145538792785267</v>
      </c>
      <c r="V22" s="50">
        <f t="shared" si="1"/>
        <v>29.145538792785267</v>
      </c>
      <c r="W22" s="50">
        <f t="shared" si="1"/>
        <v>29.145538792785267</v>
      </c>
      <c r="X22" s="50">
        <f t="shared" si="1"/>
        <v>29.145538792785267</v>
      </c>
      <c r="Y22" s="50">
        <f t="shared" si="1"/>
        <v>29.145538792785267</v>
      </c>
      <c r="Z22" s="50">
        <f t="shared" si="1"/>
        <v>29.145538792785267</v>
      </c>
      <c r="AA22" s="50">
        <f t="shared" si="1"/>
        <v>29.145538792785267</v>
      </c>
      <c r="AB22" s="50">
        <f t="shared" si="1"/>
        <v>29.145538792785267</v>
      </c>
      <c r="AC22" s="50">
        <f t="shared" si="1"/>
        <v>29.145538792785267</v>
      </c>
      <c r="AD22" s="50">
        <f t="shared" si="1"/>
        <v>29.145538792785267</v>
      </c>
      <c r="AE22" s="50">
        <f t="shared" si="1"/>
        <v>29.145538792785267</v>
      </c>
      <c r="AF22" s="50">
        <f t="shared" si="1"/>
        <v>29.145538792785267</v>
      </c>
      <c r="AG22" s="50">
        <f t="shared" si="1"/>
        <v>29.145538792785267</v>
      </c>
      <c r="AH22" s="50">
        <f t="shared" si="1"/>
        <v>29.145538792785267</v>
      </c>
      <c r="AI22" s="50">
        <f t="shared" si="1"/>
        <v>29.145538792785267</v>
      </c>
      <c r="AJ22" s="50">
        <f t="shared" si="1"/>
        <v>29.145538792785267</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188.21904172553539</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251.19943332338045</v>
      </c>
      <c r="B27" s="1689" t="str">
        <f>'C-FCL Real'!B148</f>
        <v>Dados de Receitas Diretas</v>
      </c>
      <c r="C27" s="1704">
        <f>SUMIF($D$15:$BG$15,1,D27:BG27)</f>
        <v>1380.2013929720226</v>
      </c>
      <c r="D27" s="1699">
        <f>'C-FCL Real'!C148-D30</f>
        <v>36.675117265213558</v>
      </c>
      <c r="E27" s="50">
        <f>'C-FCL Real'!D148-E30</f>
        <v>36.847490316360059</v>
      </c>
      <c r="F27" s="50">
        <f>'C-FCL Real'!E148-F30</f>
        <v>37.020673520846941</v>
      </c>
      <c r="G27" s="50">
        <f>'C-FCL Real'!F148-G30</f>
        <v>37.194670686394929</v>
      </c>
      <c r="H27" s="50">
        <f>'C-FCL Real'!G148-H30</f>
        <v>37.369485638620979</v>
      </c>
      <c r="I27" s="50">
        <f>'C-FCL Real'!H148-I30</f>
        <v>37.545122221122497</v>
      </c>
      <c r="J27" s="50">
        <f>'C-FCL Real'!I148-J30</f>
        <v>37.721584295561769</v>
      </c>
      <c r="K27" s="50">
        <f>'C-FCL Real'!J148-K30</f>
        <v>37.898875741750906</v>
      </c>
      <c r="L27" s="50">
        <f>'C-FCL Real'!K148-L30</f>
        <v>38.077000457737142</v>
      </c>
      <c r="M27" s="50">
        <f>'C-FCL Real'!L148-M30</f>
        <v>38.2559623598885</v>
      </c>
      <c r="N27" s="50">
        <f>'C-FCL Real'!M148-N30</f>
        <v>38.435765382979966</v>
      </c>
      <c r="O27" s="50">
        <f>'C-FCL Real'!N148-O30</f>
        <v>38.616413480279974</v>
      </c>
      <c r="P27" s="50">
        <f>'C-FCL Real'!O148-P30</f>
        <v>38.797910623637286</v>
      </c>
      <c r="Q27" s="50">
        <f>'C-FCL Real'!P148-Q30</f>
        <v>38.980260803568378</v>
      </c>
      <c r="R27" s="50">
        <f>'C-FCL Real'!Q148-R30</f>
        <v>39.16346802934514</v>
      </c>
      <c r="S27" s="50">
        <f>'C-FCL Real'!O148-S30</f>
        <v>38.797910623637286</v>
      </c>
      <c r="T27" s="50">
        <f>'C-FCL Real'!P148-T30</f>
        <v>38.980260803568378</v>
      </c>
      <c r="U27" s="50">
        <f>'C-FCL Real'!Q148-U30</f>
        <v>39.16346802934514</v>
      </c>
      <c r="V27" s="50">
        <f>'C-FCL Real'!R148-V30</f>
        <v>39.347536329083063</v>
      </c>
      <c r="W27" s="50">
        <f>'C-FCL Real'!S148-W30</f>
        <v>39.532469749829751</v>
      </c>
      <c r="X27" s="50">
        <f>'C-FCL Real'!T148-X30</f>
        <v>39.718272357653944</v>
      </c>
      <c r="Y27" s="50">
        <f>'C-FCL Real'!U148-Y30</f>
        <v>39.904948237734921</v>
      </c>
      <c r="Z27" s="50">
        <f>'C-FCL Real'!V148-Z30</f>
        <v>40.092501494452264</v>
      </c>
      <c r="AA27" s="50">
        <f>'C-FCL Real'!W148-AA30</f>
        <v>40.280936251476192</v>
      </c>
      <c r="AB27" s="50">
        <f>'C-FCL Real'!X148-AB30</f>
        <v>40.470256651858122</v>
      </c>
      <c r="AC27" s="50">
        <f>'C-FCL Real'!Y148-AC30</f>
        <v>40.66046685812185</v>
      </c>
      <c r="AD27" s="50">
        <f>'C-FCL Real'!Z148-AD30</f>
        <v>40.85157105235502</v>
      </c>
      <c r="AE27" s="50">
        <f>'C-FCL Real'!AA148-AE30</f>
        <v>41.043573436301088</v>
      </c>
      <c r="AF27" s="50">
        <f>'C-FCL Real'!AB148-AF30</f>
        <v>41.236478231451699</v>
      </c>
      <c r="AG27" s="50">
        <f>'C-FCL Real'!AC148-AG30</f>
        <v>41.43028967913952</v>
      </c>
      <c r="AH27" s="50">
        <f>'C-FCL Real'!AD148-AH30</f>
        <v>41.625012040631468</v>
      </c>
      <c r="AI27" s="50">
        <f>'C-FCL Real'!AE148-AI30</f>
        <v>41.820649597222435</v>
      </c>
      <c r="AJ27" s="50">
        <f>'C-FCL Real'!AF148-AJ30</f>
        <v>42.017206650329371</v>
      </c>
      <c r="AK27" s="50">
        <f>'C-FCL Real'!AG148-AK30</f>
        <v>42.214687521585915</v>
      </c>
      <c r="AL27" s="50">
        <f>'C-FCL Real'!AH148-AL30</f>
        <v>42.413096552937375</v>
      </c>
      <c r="AM27" s="50">
        <f>'C-FCL Real'!AI148-AM30</f>
        <v>42.612438106736178</v>
      </c>
      <c r="AN27" s="50">
        <f>'C-FCL Real'!AJ148-AN30</f>
        <v>42.812716565837832</v>
      </c>
      <c r="AO27" s="50">
        <f>'C-FCL Real'!AK148-AO30</f>
        <v>43.013936333697266</v>
      </c>
      <c r="AP27" s="50">
        <f>'C-FCL Real'!AL148-AP30</f>
        <v>43.21610183446564</v>
      </c>
      <c r="AQ27" s="50">
        <f>'C-FCL Real'!AM148-AQ30</f>
        <v>43.419217513087624</v>
      </c>
      <c r="AR27" s="50">
        <f>'C-FCL Real'!AN148-AR30</f>
        <v>43.623287835399147</v>
      </c>
      <c r="AS27" s="50">
        <f>'C-FCL Real'!AO148-AS30</f>
        <v>43.828317288225506</v>
      </c>
      <c r="AT27" s="50">
        <f>'C-FCL Real'!AP148-AT30</f>
        <v>44.034310379480168</v>
      </c>
      <c r="AU27" s="50">
        <f>'C-FCL Real'!AQ148-AU30</f>
        <v>44.241271638263719</v>
      </c>
      <c r="AV27" s="50">
        <f>'C-FCL Real'!AR148-AV30</f>
        <v>44.449205614963553</v>
      </c>
      <c r="AW27" s="50">
        <f>'C-FCL Real'!AS148-AW30</f>
        <v>44.658116881353884</v>
      </c>
      <c r="AX27" s="50">
        <f>'C-FCL Real'!AT148-AX30</f>
        <v>44.868010030696247</v>
      </c>
      <c r="AY27" s="50">
        <f>'C-FCL Real'!AU148-AY30</f>
        <v>45.078889677840522</v>
      </c>
      <c r="AZ27" s="50">
        <f>'C-FCL Real'!AV148-AZ30</f>
        <v>45.290760459326364</v>
      </c>
      <c r="BA27" s="50">
        <f>'C-FCL Real'!AW148-BA30</f>
        <v>45.503627033485195</v>
      </c>
      <c r="BB27" s="50">
        <f>'C-FCL Real'!AX148-BB30</f>
        <v>45.717494080542579</v>
      </c>
      <c r="BC27" s="50">
        <f>'C-FCL Real'!AY148-BC30</f>
        <v>45.932366302721128</v>
      </c>
      <c r="BD27" s="50">
        <f>'C-FCL Real'!AZ148-BD30</f>
        <v>46.148248424343905</v>
      </c>
      <c r="BE27" s="50">
        <f>'C-FCL Real'!BA148-BE30</f>
        <v>46.365145191938325</v>
      </c>
      <c r="BF27" s="50">
        <f>'C-FCL Real'!BB148-BF30</f>
        <v>46.583061374340438</v>
      </c>
      <c r="BG27" s="50">
        <f>'C-FCL Real'!BC148-BG30</f>
        <v>46.80200176279984</v>
      </c>
      <c r="BH27" s="50">
        <f>'C-FCL Real'!BD148-BH30</f>
        <v>0</v>
      </c>
    </row>
    <row r="28" spans="1:60" ht="15" hidden="1" customHeight="1" outlineLevel="1" x14ac:dyDescent="0.25">
      <c r="A28" s="1716">
        <f>C28*1000000/$C$16</f>
        <v>214.86878638303901</v>
      </c>
      <c r="B28" s="1738" t="s">
        <v>1010</v>
      </c>
      <c r="C28" s="1703">
        <f>SUMIF($D$15:$BG$15,1,D28:BG28)</f>
        <v>1180.5846627460357</v>
      </c>
      <c r="D28" s="1699">
        <f t="shared" ref="D28:AJ28" si="3">NPV($C$8,D27:D27)</f>
        <v>33.420008442877311</v>
      </c>
      <c r="E28" s="50">
        <f t="shared" si="3"/>
        <v>33.577082482558829</v>
      </c>
      <c r="F28" s="50">
        <f t="shared" si="3"/>
        <v>33.734894770226852</v>
      </c>
      <c r="G28" s="50">
        <f t="shared" si="3"/>
        <v>33.893448775646924</v>
      </c>
      <c r="H28" s="50">
        <f t="shared" si="3"/>
        <v>34.052747984892456</v>
      </c>
      <c r="I28" s="50">
        <f t="shared" si="3"/>
        <v>34.212795900421447</v>
      </c>
      <c r="J28" s="50">
        <f t="shared" si="3"/>
        <v>34.373596041153426</v>
      </c>
      <c r="K28" s="50">
        <f t="shared" si="3"/>
        <v>34.535151942546847</v>
      </c>
      <c r="L28" s="50">
        <f t="shared" si="3"/>
        <v>34.697467156676822</v>
      </c>
      <c r="M28" s="50">
        <f t="shared" si="3"/>
        <v>34.860545252313194</v>
      </c>
      <c r="N28" s="50">
        <f t="shared" si="3"/>
        <v>35.024389814999061</v>
      </c>
      <c r="O28" s="50">
        <f t="shared" si="3"/>
        <v>35.189004447129555</v>
      </c>
      <c r="P28" s="50">
        <f t="shared" si="3"/>
        <v>35.354392768031062</v>
      </c>
      <c r="Q28" s="50">
        <f t="shared" si="3"/>
        <v>35.520558414040806</v>
      </c>
      <c r="R28" s="50">
        <f t="shared" si="3"/>
        <v>35.687505038586792</v>
      </c>
      <c r="S28" s="50">
        <f t="shared" si="3"/>
        <v>35.354392768031062</v>
      </c>
      <c r="T28" s="50">
        <f t="shared" si="3"/>
        <v>35.520558414040806</v>
      </c>
      <c r="U28" s="50">
        <f t="shared" si="3"/>
        <v>35.687505038586792</v>
      </c>
      <c r="V28" s="50">
        <f t="shared" si="3"/>
        <v>35.855236312268147</v>
      </c>
      <c r="W28" s="50">
        <f t="shared" si="3"/>
        <v>36.023755922935806</v>
      </c>
      <c r="X28" s="50">
        <f t="shared" si="3"/>
        <v>36.193067575773597</v>
      </c>
      <c r="Y28" s="50">
        <f t="shared" si="3"/>
        <v>36.363174993379737</v>
      </c>
      <c r="Z28" s="50">
        <f t="shared" si="3"/>
        <v>36.53408191584861</v>
      </c>
      <c r="AA28" s="50">
        <f t="shared" si="3"/>
        <v>36.705792100853103</v>
      </c>
      <c r="AB28" s="50">
        <f t="shared" si="3"/>
        <v>36.878309323727102</v>
      </c>
      <c r="AC28" s="50">
        <f t="shared" si="3"/>
        <v>37.051637377548616</v>
      </c>
      <c r="AD28" s="50">
        <f t="shared" si="3"/>
        <v>37.225780073223092</v>
      </c>
      <c r="AE28" s="50">
        <f t="shared" si="3"/>
        <v>37.400741239567239</v>
      </c>
      <c r="AF28" s="50">
        <f t="shared" si="3"/>
        <v>37.576524723393206</v>
      </c>
      <c r="AG28" s="50">
        <f t="shared" si="3"/>
        <v>37.75313438959315</v>
      </c>
      <c r="AH28" s="50">
        <f t="shared" si="3"/>
        <v>37.930574121224232</v>
      </c>
      <c r="AI28" s="50">
        <f t="shared" si="3"/>
        <v>38.108847819593983</v>
      </c>
      <c r="AJ28" s="50">
        <f t="shared" si="3"/>
        <v>38.287959404346068</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10.989836278306832</v>
      </c>
      <c r="B30" s="1689" t="str">
        <f>'C-FCL Real'!B149</f>
        <v>Receita do Ente Público pela disposição do RPU</v>
      </c>
      <c r="C30" s="1704">
        <f>SUMIF($D$15:$BG$15,1,D30:BG30)</f>
        <v>60.383047601571867</v>
      </c>
      <c r="D30" s="1699">
        <f>'C-FCL Real'!C149</f>
        <v>1.604516096632798</v>
      </c>
      <c r="E30" s="50">
        <f>'C-FCL Real'!D149</f>
        <v>1.6120573222869721</v>
      </c>
      <c r="F30" s="50">
        <f>'C-FCL Real'!E149</f>
        <v>1.6196339917017206</v>
      </c>
      <c r="G30" s="50">
        <f>'C-FCL Real'!F149</f>
        <v>1.6272462714627185</v>
      </c>
      <c r="H30" s="50">
        <f>'C-FCL Real'!G149</f>
        <v>1.6348943289385931</v>
      </c>
      <c r="I30" s="50">
        <f>'C-FCL Real'!H149</f>
        <v>1.6425783322846044</v>
      </c>
      <c r="J30" s="50">
        <f>'C-FCL Real'!I149</f>
        <v>1.6502984504463418</v>
      </c>
      <c r="K30" s="50">
        <f>'C-FCL Real'!J149</f>
        <v>1.6580548531634396</v>
      </c>
      <c r="L30" s="50">
        <f>'C-FCL Real'!K149</f>
        <v>1.6658477109733076</v>
      </c>
      <c r="M30" s="50">
        <f>'C-FCL Real'!L149</f>
        <v>1.6736771952148821</v>
      </c>
      <c r="N30" s="50">
        <f>'C-FCL Real'!M149</f>
        <v>1.6815434780323919</v>
      </c>
      <c r="O30" s="50">
        <f>'C-FCL Real'!N149</f>
        <v>1.689446732379144</v>
      </c>
      <c r="P30" s="50">
        <f>'C-FCL Real'!O149</f>
        <v>1.6973871320213259</v>
      </c>
      <c r="Q30" s="50">
        <f>'C-FCL Real'!P149</f>
        <v>1.705364851541826</v>
      </c>
      <c r="R30" s="50">
        <f>'C-FCL Real'!Q149</f>
        <v>1.7133800663440726</v>
      </c>
      <c r="S30" s="50">
        <f>'C-FCL Real'!O149</f>
        <v>1.6973871320213259</v>
      </c>
      <c r="T30" s="50">
        <f>'C-FCL Real'!P149</f>
        <v>1.705364851541826</v>
      </c>
      <c r="U30" s="50">
        <f>'C-FCL Real'!Q149</f>
        <v>1.7133800663440726</v>
      </c>
      <c r="V30" s="50">
        <f>'C-FCL Real'!R149</f>
        <v>1.7214329526558896</v>
      </c>
      <c r="W30" s="50">
        <f>'C-FCL Real'!S149</f>
        <v>1.7295236875333722</v>
      </c>
      <c r="X30" s="50">
        <f>'C-FCL Real'!T149</f>
        <v>1.7376524488647789</v>
      </c>
      <c r="Y30" s="50">
        <f>'C-FCL Real'!U149</f>
        <v>1.7458194153744433</v>
      </c>
      <c r="Z30" s="50">
        <f>'C-FCL Real'!V149</f>
        <v>1.754024766626703</v>
      </c>
      <c r="AA30" s="50">
        <f>'C-FCL Real'!W149</f>
        <v>1.7622686830298484</v>
      </c>
      <c r="AB30" s="50">
        <f>'C-FCL Real'!X149</f>
        <v>1.7705513458400886</v>
      </c>
      <c r="AC30" s="50">
        <f>'C-FCL Real'!Y149</f>
        <v>1.7788729371655367</v>
      </c>
      <c r="AD30" s="50">
        <f>'C-FCL Real'!Z149</f>
        <v>1.7872336399702147</v>
      </c>
      <c r="AE30" s="50">
        <f>'C-FCL Real'!AA149</f>
        <v>1.7956336380780746</v>
      </c>
      <c r="AF30" s="50">
        <f>'C-FCL Real'!AB149</f>
        <v>1.8040731161770414</v>
      </c>
      <c r="AG30" s="50">
        <f>'C-FCL Real'!AC149</f>
        <v>1.8125522598230732</v>
      </c>
      <c r="AH30" s="50">
        <f>'C-FCL Real'!AD149</f>
        <v>1.8210712554442414</v>
      </c>
      <c r="AI30" s="50">
        <f>'C-FCL Real'!AE149</f>
        <v>1.8296302903448292</v>
      </c>
      <c r="AJ30" s="50">
        <f>'C-FCL Real'!AF149</f>
        <v>1.8382295527094497</v>
      </c>
      <c r="AK30" s="50">
        <f>'C-FCL Real'!AG149</f>
        <v>1.846869231607184</v>
      </c>
      <c r="AL30" s="50">
        <f>'C-FCL Real'!AH149</f>
        <v>1.8555495169957377</v>
      </c>
      <c r="AM30" s="50">
        <f>'C-FCL Real'!AI149</f>
        <v>1.8642705997256175</v>
      </c>
      <c r="AN30" s="50">
        <f>'C-FCL Real'!AJ149</f>
        <v>1.8730326715443277</v>
      </c>
      <c r="AO30" s="50">
        <f>'C-FCL Real'!AK149</f>
        <v>1.8818359251005858</v>
      </c>
      <c r="AP30" s="50">
        <f>'C-FCL Real'!AL149</f>
        <v>1.8906805539485585</v>
      </c>
      <c r="AQ30" s="50">
        <f>'C-FCL Real'!AM149</f>
        <v>1.8995667525521165</v>
      </c>
      <c r="AR30" s="50">
        <f>'C-FCL Real'!AN149</f>
        <v>1.9084947162891113</v>
      </c>
      <c r="AS30" s="50">
        <f>'C-FCL Real'!AO149</f>
        <v>1.91746464145567</v>
      </c>
      <c r="AT30" s="50">
        <f>'C-FCL Real'!AP149</f>
        <v>1.9264767252705115</v>
      </c>
      <c r="AU30" s="50">
        <f>'C-FCL Real'!AQ149</f>
        <v>1.9355311658792829</v>
      </c>
      <c r="AV30" s="50">
        <f>'C-FCL Real'!AR149</f>
        <v>1.9446281623589154</v>
      </c>
      <c r="AW30" s="50">
        <f>'C-FCL Real'!AS149</f>
        <v>1.9537679147220022</v>
      </c>
      <c r="AX30" s="50">
        <f>'C-FCL Real'!AT149</f>
        <v>1.9629506239211953</v>
      </c>
      <c r="AY30" s="50">
        <f>'C-FCL Real'!AU149</f>
        <v>1.9721764918536249</v>
      </c>
      <c r="AZ30" s="50">
        <f>'C-FCL Real'!AV149</f>
        <v>1.9814457213653367</v>
      </c>
      <c r="BA30" s="50">
        <f>'C-FCL Real'!AW149</f>
        <v>1.9907585162557537</v>
      </c>
      <c r="BB30" s="50">
        <f>'C-FCL Real'!AX149</f>
        <v>2.0001150812821558</v>
      </c>
      <c r="BC30" s="50">
        <f>'C-FCL Real'!AY149</f>
        <v>2.0095156221641819</v>
      </c>
      <c r="BD30" s="50">
        <f>'C-FCL Real'!AZ149</f>
        <v>2.0189603455883534</v>
      </c>
      <c r="BE30" s="50">
        <f>'C-FCL Real'!BA149</f>
        <v>2.0284494592126183</v>
      </c>
      <c r="BF30" s="50">
        <f>'C-FCL Real'!BB149</f>
        <v>2.0379831716709176</v>
      </c>
      <c r="BG30" s="50">
        <f>'C-FCL Real'!BC149</f>
        <v>2.0475616925777707</v>
      </c>
      <c r="BH30" s="50">
        <f>'C-FCL Real'!BD149</f>
        <v>0</v>
      </c>
    </row>
    <row r="31" spans="1:60" ht="15" hidden="1" customHeight="1" outlineLevel="1" x14ac:dyDescent="0.25">
      <c r="A31" s="1716">
        <f>C31*1000000/$C$16</f>
        <v>9.4003905678727406</v>
      </c>
      <c r="B31" s="1738" t="s">
        <v>1011</v>
      </c>
      <c r="C31" s="1703">
        <f>SUMIF($D$15:$BG$15,1,D31:BG31)</f>
        <v>51.649926055193134</v>
      </c>
      <c r="D31" s="1699">
        <f t="shared" ref="D31:AJ31" si="4">NPV($C$8,D30:D30)</f>
        <v>1.4621068859420432</v>
      </c>
      <c r="E31" s="50">
        <f t="shared" si="4"/>
        <v>1.4689787883059706</v>
      </c>
      <c r="F31" s="50">
        <f t="shared" si="4"/>
        <v>1.4758829886110085</v>
      </c>
      <c r="G31" s="50">
        <f t="shared" si="4"/>
        <v>1.4828196386574801</v>
      </c>
      <c r="H31" s="50">
        <f t="shared" si="4"/>
        <v>1.4897888909591701</v>
      </c>
      <c r="I31" s="50">
        <f t="shared" si="4"/>
        <v>1.496790898746678</v>
      </c>
      <c r="J31" s="50">
        <f t="shared" si="4"/>
        <v>1.5038258159707873</v>
      </c>
      <c r="K31" s="50">
        <f t="shared" si="4"/>
        <v>1.5108937973058498</v>
      </c>
      <c r="L31" s="50">
        <f t="shared" si="4"/>
        <v>1.5179949981531873</v>
      </c>
      <c r="M31" s="50">
        <f t="shared" si="4"/>
        <v>1.5251295746445073</v>
      </c>
      <c r="N31" s="50">
        <f t="shared" si="4"/>
        <v>1.5322976836453364</v>
      </c>
      <c r="O31" s="50">
        <f t="shared" si="4"/>
        <v>1.5394994827584692</v>
      </c>
      <c r="P31" s="50">
        <f t="shared" si="4"/>
        <v>1.5467351303274339</v>
      </c>
      <c r="Q31" s="50">
        <f t="shared" si="4"/>
        <v>1.5540047854399728</v>
      </c>
      <c r="R31" s="50">
        <f t="shared" si="4"/>
        <v>1.5613086079315406</v>
      </c>
      <c r="S31" s="50">
        <f t="shared" si="4"/>
        <v>1.5467351303274339</v>
      </c>
      <c r="T31" s="50">
        <f t="shared" si="4"/>
        <v>1.5540047854399728</v>
      </c>
      <c r="U31" s="50">
        <f t="shared" si="4"/>
        <v>1.5613086079315406</v>
      </c>
      <c r="V31" s="50">
        <f t="shared" si="4"/>
        <v>1.5686467583888188</v>
      </c>
      <c r="W31" s="50">
        <f t="shared" si="4"/>
        <v>1.576019398153246</v>
      </c>
      <c r="X31" s="50">
        <f t="shared" si="4"/>
        <v>1.5834266893245663</v>
      </c>
      <c r="Y31" s="50">
        <f t="shared" si="4"/>
        <v>1.5908687947643916</v>
      </c>
      <c r="Z31" s="50">
        <f t="shared" si="4"/>
        <v>1.5983458780997841</v>
      </c>
      <c r="AA31" s="50">
        <f t="shared" si="4"/>
        <v>1.6058581037268531</v>
      </c>
      <c r="AB31" s="50">
        <f t="shared" si="4"/>
        <v>1.6134056368143692</v>
      </c>
      <c r="AC31" s="50">
        <f t="shared" si="4"/>
        <v>1.6209886433073963</v>
      </c>
      <c r="AD31" s="50">
        <f t="shared" si="4"/>
        <v>1.6286072899309412</v>
      </c>
      <c r="AE31" s="50">
        <f t="shared" si="4"/>
        <v>1.6362617441936165</v>
      </c>
      <c r="AF31" s="50">
        <f t="shared" si="4"/>
        <v>1.6439521743913263</v>
      </c>
      <c r="AG31" s="50">
        <f t="shared" si="4"/>
        <v>1.6516787496109653</v>
      </c>
      <c r="AH31" s="50">
        <f t="shared" si="4"/>
        <v>1.6594416397341367</v>
      </c>
      <c r="AI31" s="50">
        <f t="shared" si="4"/>
        <v>1.667241015440887</v>
      </c>
      <c r="AJ31" s="50">
        <f t="shared" si="4"/>
        <v>1.6750770482134589</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17.228318238252744</v>
      </c>
      <c r="B33" s="1689" t="s">
        <v>1004</v>
      </c>
      <c r="C33" s="1704">
        <f>SUMIF($D$15:$BG$15,1,D33:BG33)</f>
        <v>94.660041690422659</v>
      </c>
      <c r="D33" s="1699">
        <f>'C-FCL Real'!C153</f>
        <v>-44.582776874814435</v>
      </c>
      <c r="E33" s="50">
        <f>'C-FCL Real'!D153</f>
        <v>-86.157187933784996</v>
      </c>
      <c r="F33" s="50">
        <f>'C-FCL Real'!E153</f>
        <v>-76.306888883048941</v>
      </c>
      <c r="G33" s="50">
        <f>'C-FCL Real'!F153</f>
        <v>6.8376026866550959</v>
      </c>
      <c r="H33" s="50">
        <f>'C-FCL Real'!G153</f>
        <v>7.0200656963570225</v>
      </c>
      <c r="I33" s="50">
        <f>'C-FCL Real'!H153</f>
        <v>7.2033862822045549</v>
      </c>
      <c r="J33" s="50">
        <f>'C-FCL Real'!I153</f>
        <v>7.3875684748055619</v>
      </c>
      <c r="K33" s="50">
        <f>'C-FCL Real'!J153</f>
        <v>7.5726163237117987</v>
      </c>
      <c r="L33" s="50">
        <f>'C-FCL Real'!K153</f>
        <v>7.7585338975079026</v>
      </c>
      <c r="M33" s="50">
        <f>'C-FCL Real'!L153</f>
        <v>7.9453252839008286</v>
      </c>
      <c r="N33" s="50">
        <f>'C-FCL Real'!M153</f>
        <v>8.1329945898098117</v>
      </c>
      <c r="O33" s="50">
        <f>'C-FCL Real'!N153</f>
        <v>8.32154594145657</v>
      </c>
      <c r="P33" s="50">
        <f>'C-FCL Real'!O153</f>
        <v>8.5109834844560623</v>
      </c>
      <c r="Q33" s="50">
        <f>'C-FCL Real'!P153</f>
        <v>8.701311383907651</v>
      </c>
      <c r="R33" s="50">
        <f>'C-FCL Real'!Q153</f>
        <v>8.8925338244866623</v>
      </c>
      <c r="S33" s="50">
        <f>'C-FCL Real'!O153</f>
        <v>8.5109834844560623</v>
      </c>
      <c r="T33" s="50">
        <f>'C-FCL Real'!P153</f>
        <v>8.701311383907651</v>
      </c>
      <c r="U33" s="50">
        <f>'C-FCL Real'!Q153</f>
        <v>8.8925338244866623</v>
      </c>
      <c r="V33" s="50">
        <f>'C-FCL Real'!R153</f>
        <v>9.0846550105364017</v>
      </c>
      <c r="W33" s="50">
        <f>'C-FCL Real'!S153</f>
        <v>9.2776791661605742</v>
      </c>
      <c r="X33" s="50">
        <f>'C-FCL Real'!T153</f>
        <v>9.4716105353161737</v>
      </c>
      <c r="Y33" s="50">
        <f>'C-FCL Real'!U153</f>
        <v>9.6664533819068126</v>
      </c>
      <c r="Z33" s="50">
        <f>'C-FCL Real'!V153</f>
        <v>9.8622119898764211</v>
      </c>
      <c r="AA33" s="50">
        <f>'C-FCL Real'!W153</f>
        <v>10.058890663303487</v>
      </c>
      <c r="AB33" s="50">
        <f>'C-FCL Real'!X153</f>
        <v>10.256493726495663</v>
      </c>
      <c r="AC33" s="50">
        <f>'C-FCL Real'!Y153</f>
        <v>10.455025524084839</v>
      </c>
      <c r="AD33" s="50">
        <f>'C-FCL Real'!Z153</f>
        <v>10.654490421122688</v>
      </c>
      <c r="AE33" s="50">
        <f>'C-FCL Real'!AA153</f>
        <v>10.854892803176611</v>
      </c>
      <c r="AF33" s="50">
        <f>'C-FCL Real'!AB153</f>
        <v>11.056237076426193</v>
      </c>
      <c r="AG33" s="50">
        <f>'C-FCL Real'!AC153</f>
        <v>11.258527667760042</v>
      </c>
      <c r="AH33" s="50">
        <f>'C-FCL Real'!AD153</f>
        <v>11.461769024873156</v>
      </c>
      <c r="AI33" s="50">
        <f>'C-FCL Real'!AE153</f>
        <v>11.665965616364716</v>
      </c>
      <c r="AJ33" s="50">
        <f>'C-FCL Real'!AF153</f>
        <v>11.871121931836271</v>
      </c>
      <c r="AK33" s="50">
        <f>'C-FCL Real'!AG153</f>
        <v>12.077242481990552</v>
      </c>
      <c r="AL33" s="50">
        <f>'C-FCL Real'!AH153</f>
        <v>12.284331798730562</v>
      </c>
      <c r="AM33" s="50">
        <f>'C-FCL Real'!AI153</f>
        <v>12.492394435259243</v>
      </c>
      <c r="AN33" s="50">
        <f>'C-FCL Real'!AJ153</f>
        <v>12.701434966179612</v>
      </c>
      <c r="AO33" s="50">
        <f>'C-FCL Real'!AK153</f>
        <v>12.911457987595305</v>
      </c>
      <c r="AP33" s="50">
        <f>'C-FCL Real'!AL153</f>
        <v>13.122468117211646</v>
      </c>
      <c r="AQ33" s="50">
        <f>'C-FCL Real'!AM153</f>
        <v>13.334469994437192</v>
      </c>
      <c r="AR33" s="50">
        <f>'C-FCL Real'!AN153</f>
        <v>13.54746828048571</v>
      </c>
      <c r="AS33" s="50">
        <f>'C-FCL Real'!AO153</f>
        <v>13.76146765847863</v>
      </c>
      <c r="AT33" s="50">
        <f>'C-FCL Real'!AP153</f>
        <v>13.976472833548129</v>
      </c>
      <c r="AU33" s="50">
        <f>'C-FCL Real'!AQ153</f>
        <v>14.192488532940452</v>
      </c>
      <c r="AV33" s="50">
        <f>'C-FCL Real'!AR153</f>
        <v>14.409519506119921</v>
      </c>
      <c r="AW33" s="50">
        <f>'C-FCL Real'!AS153</f>
        <v>14.627570524873335</v>
      </c>
      <c r="AX33" s="50">
        <f>'C-FCL Real'!AT153</f>
        <v>14.846646383414893</v>
      </c>
      <c r="AY33" s="50">
        <f>'C-FCL Real'!AU153</f>
        <v>15.066751898491596</v>
      </c>
      <c r="AZ33" s="50">
        <f>'C-FCL Real'!AV153</f>
        <v>15.287891909489154</v>
      </c>
      <c r="BA33" s="50">
        <f>'C-FCL Real'!AW153</f>
        <v>15.510071278538398</v>
      </c>
      <c r="BB33" s="50">
        <f>'C-FCL Real'!AX153</f>
        <v>15.733294890622183</v>
      </c>
      <c r="BC33" s="50">
        <f>'C-FCL Real'!AY153</f>
        <v>15.957567653682759</v>
      </c>
      <c r="BD33" s="50">
        <f>'C-FCL Real'!AZ153</f>
        <v>16.182894498729709</v>
      </c>
      <c r="BE33" s="50">
        <f>'C-FCL Real'!BA153</f>
        <v>16.409280379948392</v>
      </c>
      <c r="BF33" s="50">
        <f>'C-FCL Real'!BB153</f>
        <v>16.636730274808805</v>
      </c>
      <c r="BG33" s="50">
        <f>'C-FCL Real'!BC153</f>
        <v>16.865249184175063</v>
      </c>
      <c r="BH33" s="50">
        <f>'C-FCL Real'!BD153</f>
        <v>0</v>
      </c>
    </row>
    <row r="34" spans="1:60" ht="15" hidden="1" customHeight="1" outlineLevel="1" x14ac:dyDescent="0.25">
      <c r="A34" s="1716">
        <f>C34*1000000/$C$16</f>
        <v>11.658887054487105</v>
      </c>
      <c r="B34" s="1738" t="s">
        <v>1012</v>
      </c>
      <c r="C34" s="1703">
        <f>SUMIF($D$15:$BG$15,1,D34:BG34)</f>
        <v>64.059110087207557</v>
      </c>
      <c r="D34" s="1699">
        <f t="shared" ref="D34:AJ34" si="5">NPV($C$8,D33:D33)</f>
        <v>-40.625821828699145</v>
      </c>
      <c r="E34" s="50">
        <f t="shared" si="5"/>
        <v>-78.510286070516671</v>
      </c>
      <c r="F34" s="50">
        <f t="shared" si="5"/>
        <v>-69.534252672725486</v>
      </c>
      <c r="G34" s="50">
        <f t="shared" si="5"/>
        <v>6.2307296215191323</v>
      </c>
      <c r="H34" s="50">
        <f t="shared" si="5"/>
        <v>6.3969980830663591</v>
      </c>
      <c r="I34" s="50">
        <f t="shared" si="5"/>
        <v>6.5640480063828646</v>
      </c>
      <c r="J34" s="50">
        <f t="shared" si="5"/>
        <v>6.7318830643389491</v>
      </c>
      <c r="K34" s="50">
        <f t="shared" si="5"/>
        <v>6.9005069470674316</v>
      </c>
      <c r="L34" s="50">
        <f t="shared" si="5"/>
        <v>7.0699233620447446</v>
      </c>
      <c r="M34" s="50">
        <f t="shared" si="5"/>
        <v>7.2401360341724343</v>
      </c>
      <c r="N34" s="50">
        <f t="shared" si="5"/>
        <v>7.4111487058591328</v>
      </c>
      <c r="O34" s="50">
        <f t="shared" si="5"/>
        <v>7.5829651371027618</v>
      </c>
      <c r="P34" s="50">
        <f t="shared" si="5"/>
        <v>7.7555891055732307</v>
      </c>
      <c r="Q34" s="50">
        <f t="shared" si="5"/>
        <v>7.9290244066955093</v>
      </c>
      <c r="R34" s="50">
        <f t="shared" si="5"/>
        <v>8.1032748537330619</v>
      </c>
      <c r="S34" s="50">
        <f t="shared" si="5"/>
        <v>7.7555891055732307</v>
      </c>
      <c r="T34" s="50">
        <f t="shared" si="5"/>
        <v>7.9290244066955093</v>
      </c>
      <c r="U34" s="50">
        <f t="shared" si="5"/>
        <v>8.1032748537330619</v>
      </c>
      <c r="V34" s="50">
        <f t="shared" si="5"/>
        <v>8.2783442778716996</v>
      </c>
      <c r="W34" s="50">
        <f t="shared" si="5"/>
        <v>8.4542365283037864</v>
      </c>
      <c r="X34" s="50">
        <f t="shared" si="5"/>
        <v>8.6309554723128983</v>
      </c>
      <c r="Y34" s="50">
        <f t="shared" si="5"/>
        <v>8.8085049953588594</v>
      </c>
      <c r="Z34" s="50">
        <f t="shared" si="5"/>
        <v>8.9868890011631333</v>
      </c>
      <c r="AA34" s="50">
        <f t="shared" si="5"/>
        <v>9.1661114117946845</v>
      </c>
      <c r="AB34" s="50">
        <f t="shared" si="5"/>
        <v>9.3461761677562087</v>
      </c>
      <c r="AC34" s="50">
        <f t="shared" si="5"/>
        <v>9.5270872280707479</v>
      </c>
      <c r="AD34" s="50">
        <f t="shared" si="5"/>
        <v>9.7088485703687706</v>
      </c>
      <c r="AE34" s="50">
        <f t="shared" si="5"/>
        <v>9.89146419097559</v>
      </c>
      <c r="AF34" s="50">
        <f t="shared" si="5"/>
        <v>10.074938104999266</v>
      </c>
      <c r="AG34" s="50">
        <f t="shared" si="5"/>
        <v>10.259274346418847</v>
      </c>
      <c r="AH34" s="50">
        <f t="shared" si="5"/>
        <v>10.444476968173097</v>
      </c>
      <c r="AI34" s="50">
        <f t="shared" si="5"/>
        <v>10.630550042249604</v>
      </c>
      <c r="AJ34" s="50">
        <f t="shared" si="5"/>
        <v>10.81749765977426</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18.669829288769201</v>
      </c>
      <c r="B36" s="1690" t="s">
        <v>1014</v>
      </c>
      <c r="C36" s="1704">
        <f>SUMIF($D$15:$BG$15,1,D36:BG36)</f>
        <v>102.58034442990417</v>
      </c>
      <c r="D36" s="1699">
        <f>IF(D33&gt;0,D33*0.34,0)</f>
        <v>0</v>
      </c>
      <c r="E36" s="50">
        <f t="shared" ref="E36:BG36" si="6">IF(E33&gt;0,E33*0.34,0)</f>
        <v>0</v>
      </c>
      <c r="F36" s="50">
        <f t="shared" si="6"/>
        <v>0</v>
      </c>
      <c r="G36" s="50">
        <f t="shared" si="6"/>
        <v>2.3247849134627327</v>
      </c>
      <c r="H36" s="50">
        <f t="shared" si="6"/>
        <v>2.3868223367613877</v>
      </c>
      <c r="I36" s="50">
        <f t="shared" si="6"/>
        <v>2.4491513359495487</v>
      </c>
      <c r="J36" s="50">
        <f t="shared" si="6"/>
        <v>2.5117732814338911</v>
      </c>
      <c r="K36" s="50">
        <f t="shared" si="6"/>
        <v>2.5746895500620117</v>
      </c>
      <c r="L36" s="50">
        <f t="shared" si="6"/>
        <v>2.6379015251526869</v>
      </c>
      <c r="M36" s="50">
        <f t="shared" si="6"/>
        <v>2.7014105965262818</v>
      </c>
      <c r="N36" s="50">
        <f t="shared" si="6"/>
        <v>2.7652181605353361</v>
      </c>
      <c r="O36" s="50">
        <f t="shared" si="6"/>
        <v>2.8293256200952341</v>
      </c>
      <c r="P36" s="50">
        <f>IF(P33&gt;0,P33*0.34,0)</f>
        <v>2.8937343847150614</v>
      </c>
      <c r="Q36" s="50">
        <f>IF(Q33&gt;0,Q33*0.34,0)</f>
        <v>2.9584458705286014</v>
      </c>
      <c r="R36" s="50">
        <f>IF(R33&gt;0,R33*0.34,0)</f>
        <v>3.0234615003254652</v>
      </c>
      <c r="S36" s="50">
        <f t="shared" si="6"/>
        <v>2.8937343847150614</v>
      </c>
      <c r="T36" s="50">
        <f t="shared" si="6"/>
        <v>2.9584458705286014</v>
      </c>
      <c r="U36" s="50">
        <f t="shared" si="6"/>
        <v>3.0234615003254652</v>
      </c>
      <c r="V36" s="50">
        <f t="shared" si="6"/>
        <v>3.0887827035823769</v>
      </c>
      <c r="W36" s="50">
        <f t="shared" si="6"/>
        <v>3.1544109164945953</v>
      </c>
      <c r="X36" s="50">
        <f t="shared" si="6"/>
        <v>3.2203475820074994</v>
      </c>
      <c r="Y36" s="50">
        <f t="shared" si="6"/>
        <v>3.2865941498483164</v>
      </c>
      <c r="Z36" s="50">
        <f t="shared" si="6"/>
        <v>3.3531520765579836</v>
      </c>
      <c r="AA36" s="50">
        <f t="shared" si="6"/>
        <v>3.4200228255231857</v>
      </c>
      <c r="AB36" s="50">
        <f t="shared" si="6"/>
        <v>3.4872078670085256</v>
      </c>
      <c r="AC36" s="50">
        <f t="shared" si="6"/>
        <v>3.5547086781888453</v>
      </c>
      <c r="AD36" s="50">
        <f t="shared" si="6"/>
        <v>3.6225267431817141</v>
      </c>
      <c r="AE36" s="50">
        <f t="shared" si="6"/>
        <v>3.6906635530800478</v>
      </c>
      <c r="AF36" s="50">
        <f t="shared" si="6"/>
        <v>3.7591206059849056</v>
      </c>
      <c r="AG36" s="50">
        <f t="shared" si="6"/>
        <v>3.8278994070384145</v>
      </c>
      <c r="AH36" s="50">
        <f t="shared" si="6"/>
        <v>3.8970014684568732</v>
      </c>
      <c r="AI36" s="50">
        <f t="shared" si="6"/>
        <v>3.9664283095640034</v>
      </c>
      <c r="AJ36" s="50">
        <f t="shared" si="6"/>
        <v>4.0361814568243322</v>
      </c>
      <c r="AK36" s="50">
        <f t="shared" si="6"/>
        <v>4.1062624438767878</v>
      </c>
      <c r="AL36" s="50">
        <f t="shared" si="6"/>
        <v>4.1766728115683911</v>
      </c>
      <c r="AM36" s="50">
        <f t="shared" si="6"/>
        <v>4.2474141079881429</v>
      </c>
      <c r="AN36" s="50">
        <f t="shared" si="6"/>
        <v>4.3184878885010685</v>
      </c>
      <c r="AO36" s="50">
        <f t="shared" si="6"/>
        <v>4.3898957157824041</v>
      </c>
      <c r="AP36" s="50">
        <f t="shared" si="6"/>
        <v>4.46163915985196</v>
      </c>
      <c r="AQ36" s="50">
        <f t="shared" si="6"/>
        <v>4.5337197981086454</v>
      </c>
      <c r="AR36" s="50">
        <f t="shared" si="6"/>
        <v>4.6061392153651415</v>
      </c>
      <c r="AS36" s="50">
        <f t="shared" si="6"/>
        <v>4.6788990038827345</v>
      </c>
      <c r="AT36" s="50">
        <f t="shared" si="6"/>
        <v>4.7520007634063646</v>
      </c>
      <c r="AU36" s="50">
        <f t="shared" si="6"/>
        <v>4.8254461011997538</v>
      </c>
      <c r="AV36" s="50">
        <f t="shared" si="6"/>
        <v>4.8992366320807736</v>
      </c>
      <c r="AW36" s="50">
        <f t="shared" si="6"/>
        <v>4.9733739784569337</v>
      </c>
      <c r="AX36" s="50">
        <f t="shared" si="6"/>
        <v>5.0478597703610637</v>
      </c>
      <c r="AY36" s="50">
        <f t="shared" si="6"/>
        <v>5.1226956454871431</v>
      </c>
      <c r="AZ36" s="50">
        <f t="shared" si="6"/>
        <v>5.1978832492263125</v>
      </c>
      <c r="BA36" s="50">
        <f t="shared" si="6"/>
        <v>5.2734242347030555</v>
      </c>
      <c r="BB36" s="50">
        <f t="shared" si="6"/>
        <v>5.3493202628115428</v>
      </c>
      <c r="BC36" s="50">
        <f t="shared" si="6"/>
        <v>5.425573002252138</v>
      </c>
      <c r="BD36" s="50">
        <f t="shared" si="6"/>
        <v>5.5021841295681018</v>
      </c>
      <c r="BE36" s="50">
        <f t="shared" si="6"/>
        <v>5.5791553291824538</v>
      </c>
      <c r="BF36" s="50">
        <f t="shared" si="6"/>
        <v>5.656488293434994</v>
      </c>
      <c r="BG36" s="50">
        <f t="shared" si="6"/>
        <v>5.7341847226195215</v>
      </c>
      <c r="BH36" s="50">
        <f>BH33*0.34</f>
        <v>0</v>
      </c>
    </row>
    <row r="37" spans="1:60" ht="15" hidden="1" customHeight="1" outlineLevel="1" x14ac:dyDescent="0.25">
      <c r="A37" s="1716">
        <f>C37*1000000/$C$16</f>
        <v>15.639072708206006</v>
      </c>
      <c r="B37" s="1738" t="s">
        <v>1013</v>
      </c>
      <c r="C37" s="1703">
        <f>SUMIF($D$15:$BG$15,1,D37:BG37)</f>
        <v>85.928020024110594</v>
      </c>
      <c r="D37" s="1699">
        <f t="shared" ref="D37:AJ37" si="7">NPV($C$8,D36:D36)</f>
        <v>0</v>
      </c>
      <c r="E37" s="50">
        <f t="shared" si="7"/>
        <v>0</v>
      </c>
      <c r="F37" s="50">
        <f t="shared" si="7"/>
        <v>0</v>
      </c>
      <c r="G37" s="50">
        <f t="shared" si="7"/>
        <v>2.1184480713165055</v>
      </c>
      <c r="H37" s="50">
        <f t="shared" si="7"/>
        <v>2.1749793482425623</v>
      </c>
      <c r="I37" s="50">
        <f t="shared" si="7"/>
        <v>2.2317763221701741</v>
      </c>
      <c r="J37" s="50">
        <f t="shared" si="7"/>
        <v>2.2888402418752425</v>
      </c>
      <c r="K37" s="50">
        <f t="shared" si="7"/>
        <v>2.3461723620029269</v>
      </c>
      <c r="L37" s="50">
        <f t="shared" si="7"/>
        <v>2.4037739430952132</v>
      </c>
      <c r="M37" s="50">
        <f t="shared" si="7"/>
        <v>2.4616462516186277</v>
      </c>
      <c r="N37" s="50">
        <f t="shared" si="7"/>
        <v>2.5197905599921051</v>
      </c>
      <c r="O37" s="50">
        <f t="shared" si="7"/>
        <v>2.5782081466149394</v>
      </c>
      <c r="P37" s="50">
        <f t="shared" si="7"/>
        <v>2.6369002958948986</v>
      </c>
      <c r="Q37" s="50">
        <f t="shared" si="7"/>
        <v>2.6958682982764732</v>
      </c>
      <c r="R37" s="50">
        <f t="shared" si="7"/>
        <v>2.7551134502692411</v>
      </c>
      <c r="S37" s="50">
        <f t="shared" si="7"/>
        <v>2.6369002958948986</v>
      </c>
      <c r="T37" s="50">
        <f t="shared" si="7"/>
        <v>2.6958682982764732</v>
      </c>
      <c r="U37" s="50">
        <f t="shared" si="7"/>
        <v>2.7551134502692411</v>
      </c>
      <c r="V37" s="50">
        <f t="shared" si="7"/>
        <v>2.8146370544763779</v>
      </c>
      <c r="W37" s="50">
        <f t="shared" si="7"/>
        <v>2.8744404196232871</v>
      </c>
      <c r="X37" s="50">
        <f t="shared" si="7"/>
        <v>2.9345248605863854</v>
      </c>
      <c r="Y37" s="50">
        <f t="shared" si="7"/>
        <v>2.9948916984220126</v>
      </c>
      <c r="Z37" s="50">
        <f t="shared" si="7"/>
        <v>3.0555422603954656</v>
      </c>
      <c r="AA37" s="50">
        <f t="shared" si="7"/>
        <v>3.1164778800101933</v>
      </c>
      <c r="AB37" s="50">
        <f t="shared" si="7"/>
        <v>3.1776998970371113</v>
      </c>
      <c r="AC37" s="50">
        <f t="shared" si="7"/>
        <v>3.2392096575440545</v>
      </c>
      <c r="AD37" s="50">
        <f t="shared" si="7"/>
        <v>3.3010085139253822</v>
      </c>
      <c r="AE37" s="50">
        <f t="shared" si="7"/>
        <v>3.3630978249317005</v>
      </c>
      <c r="AF37" s="50">
        <f t="shared" si="7"/>
        <v>3.42547895569975</v>
      </c>
      <c r="AG37" s="50">
        <f t="shared" si="7"/>
        <v>3.4881532777824082</v>
      </c>
      <c r="AH37" s="50">
        <f t="shared" si="7"/>
        <v>3.551122169178853</v>
      </c>
      <c r="AI37" s="50">
        <f t="shared" si="7"/>
        <v>3.6143870143648655</v>
      </c>
      <c r="AJ37" s="50">
        <f t="shared" si="7"/>
        <v>3.677949204323248</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-1.4415110505164448</v>
      </c>
      <c r="B39" s="1689" t="s">
        <v>1002</v>
      </c>
      <c r="C39" s="1704">
        <f>SUMIF($D$15:$BG$15,1,D39:BG39)</f>
        <v>-7.9203027394814605</v>
      </c>
      <c r="D39" s="1699">
        <f>'C-FCL Real'!C156</f>
        <v>-44.582776874814435</v>
      </c>
      <c r="E39" s="50">
        <f>'C-FCL Real'!D156</f>
        <v>-86.157187933784996</v>
      </c>
      <c r="F39" s="50">
        <f>'C-FCL Real'!E156</f>
        <v>-76.306888883048941</v>
      </c>
      <c r="G39" s="50">
        <f>'C-FCL Real'!F156</f>
        <v>4.5128177731923635</v>
      </c>
      <c r="H39" s="50">
        <f>'C-FCL Real'!G156</f>
        <v>4.6332433595956353</v>
      </c>
      <c r="I39" s="50">
        <f>'C-FCL Real'!H156</f>
        <v>4.7542349462550062</v>
      </c>
      <c r="J39" s="50">
        <f>'C-FCL Real'!I156</f>
        <v>4.8757951933716708</v>
      </c>
      <c r="K39" s="50">
        <f>'C-FCL Real'!J156</f>
        <v>4.9979267736497874</v>
      </c>
      <c r="L39" s="50">
        <f>'C-FCL Real'!K156</f>
        <v>5.1206323723552156</v>
      </c>
      <c r="M39" s="50">
        <f>'C-FCL Real'!L156</f>
        <v>5.2439146873745468</v>
      </c>
      <c r="N39" s="50">
        <f>'C-FCL Real'!M156</f>
        <v>5.3677764292744756</v>
      </c>
      <c r="O39" s="50">
        <f>'C-FCL Real'!N156</f>
        <v>5.4922203213613363</v>
      </c>
      <c r="P39" s="50">
        <f>'C-FCL Real'!O156</f>
        <v>5.6172490997410014</v>
      </c>
      <c r="Q39" s="50">
        <f>'C-FCL Real'!P156</f>
        <v>5.7428655133790496</v>
      </c>
      <c r="R39" s="50">
        <f>'C-FCL Real'!Q156</f>
        <v>5.8690723241611975</v>
      </c>
      <c r="S39" s="50">
        <f>'C-FCL Real'!O156</f>
        <v>5.6172490997410014</v>
      </c>
      <c r="T39" s="50">
        <f>'C-FCL Real'!P156</f>
        <v>5.7428655133790496</v>
      </c>
      <c r="U39" s="50">
        <f>'C-FCL Real'!Q156</f>
        <v>5.8690723241611975</v>
      </c>
      <c r="V39" s="50">
        <f>'C-FCL Real'!R156</f>
        <v>5.9958723069540252</v>
      </c>
      <c r="W39" s="50">
        <f>'C-FCL Real'!S156</f>
        <v>6.1232682496659789</v>
      </c>
      <c r="X39" s="50">
        <f>'C-FCL Real'!T156</f>
        <v>6.2512629533086752</v>
      </c>
      <c r="Y39" s="50">
        <f>'C-FCL Real'!U156</f>
        <v>6.3798592320584966</v>
      </c>
      <c r="Z39" s="50">
        <f>'C-FCL Real'!V156</f>
        <v>6.5090599133184384</v>
      </c>
      <c r="AA39" s="50">
        <f>'C-FCL Real'!W156</f>
        <v>6.6388678377803014</v>
      </c>
      <c r="AB39" s="50">
        <f>'C-FCL Real'!X156</f>
        <v>6.7692858594871375</v>
      </c>
      <c r="AC39" s="50">
        <f>'C-FCL Real'!Y156</f>
        <v>6.9003168458959943</v>
      </c>
      <c r="AD39" s="50">
        <f>'C-FCL Real'!Z156</f>
        <v>7.0319636779409747</v>
      </c>
      <c r="AE39" s="50">
        <f>'C-FCL Real'!AA156</f>
        <v>7.1642292500965636</v>
      </c>
      <c r="AF39" s="50">
        <f>'C-FCL Real'!AB156</f>
        <v>7.2971164704412876</v>
      </c>
      <c r="AG39" s="50">
        <f>'C-FCL Real'!AC156</f>
        <v>7.4306282607216279</v>
      </c>
      <c r="AH39" s="50">
        <f>'C-FCL Real'!AD156</f>
        <v>7.5647675564162835</v>
      </c>
      <c r="AI39" s="50">
        <f>'C-FCL Real'!AE156</f>
        <v>7.6995373068007122</v>
      </c>
      <c r="AJ39" s="50">
        <f>'C-FCL Real'!AF156</f>
        <v>7.8349404750119387</v>
      </c>
      <c r="AK39" s="50">
        <f>'C-FCL Real'!AG156</f>
        <v>7.9709800381137645</v>
      </c>
      <c r="AL39" s="50">
        <f>'C-FCL Real'!AH156</f>
        <v>8.1076589871621714</v>
      </c>
      <c r="AM39" s="50">
        <f>'C-FCL Real'!AI156</f>
        <v>8.2449803272711009</v>
      </c>
      <c r="AN39" s="50">
        <f>'C-FCL Real'!AJ156</f>
        <v>8.3829470776785442</v>
      </c>
      <c r="AO39" s="50">
        <f>'C-FCL Real'!AK156</f>
        <v>8.5215622718129023</v>
      </c>
      <c r="AP39" s="50">
        <f>'C-FCL Real'!AL156</f>
        <v>8.6608289573596871</v>
      </c>
      <c r="AQ39" s="50">
        <f>'C-FCL Real'!AM156</f>
        <v>8.800750196328547</v>
      </c>
      <c r="AR39" s="50">
        <f>'C-FCL Real'!AN156</f>
        <v>8.9413290651205681</v>
      </c>
      <c r="AS39" s="50">
        <f>'C-FCL Real'!AO156</f>
        <v>9.0825686545958959</v>
      </c>
      <c r="AT39" s="50">
        <f>'C-FCL Real'!AP156</f>
        <v>9.2244720701417666</v>
      </c>
      <c r="AU39" s="50">
        <f>'C-FCL Real'!AQ156</f>
        <v>9.3670424317406979</v>
      </c>
      <c r="AV39" s="50">
        <f>'C-FCL Real'!AR156</f>
        <v>9.5102828740391487</v>
      </c>
      <c r="AW39" s="50">
        <f>'C-FCL Real'!AS156</f>
        <v>9.6541965464164008</v>
      </c>
      <c r="AX39" s="50">
        <f>'C-FCL Real'!AT156</f>
        <v>9.7987866130538297</v>
      </c>
      <c r="AY39" s="50">
        <f>'C-FCL Real'!AU156</f>
        <v>9.9440562530044545</v>
      </c>
      <c r="AZ39" s="50">
        <f>'C-FCL Real'!AV156</f>
        <v>10.090008660262843</v>
      </c>
      <c r="BA39" s="50">
        <f>'C-FCL Real'!AW156</f>
        <v>10.236647043835342</v>
      </c>
      <c r="BB39" s="50">
        <f>'C-FCL Real'!AX156</f>
        <v>10.383974627810641</v>
      </c>
      <c r="BC39" s="50">
        <f>'C-FCL Real'!AY156</f>
        <v>10.531994651430621</v>
      </c>
      <c r="BD39" s="50">
        <f>'C-FCL Real'!AZ156</f>
        <v>10.680710369161609</v>
      </c>
      <c r="BE39" s="50">
        <f>'C-FCL Real'!BA156</f>
        <v>10.83012505076594</v>
      </c>
      <c r="BF39" s="50">
        <f>'C-FCL Real'!BB156</f>
        <v>10.980241981373812</v>
      </c>
      <c r="BG39" s="50">
        <f>'C-FCL Real'!BC156</f>
        <v>11.131064461555543</v>
      </c>
      <c r="BH39" s="50">
        <f>'C-FCL Real'!BD156</f>
        <v>0</v>
      </c>
    </row>
    <row r="40" spans="1:60" ht="15" hidden="1" customHeight="1" outlineLevel="1" x14ac:dyDescent="0.25">
      <c r="A40" s="1716">
        <f>C40*1000000/$C$16</f>
        <v>-2.6582115139937117</v>
      </c>
      <c r="B40" s="1738" t="s">
        <v>1015</v>
      </c>
      <c r="C40" s="1703">
        <f>SUMIF($D$15:$BG$15,1,D40:BG40)</f>
        <v>-14.605396142376208</v>
      </c>
      <c r="D40" s="1699">
        <f t="shared" ref="D40:AK40" si="8">NPV($C$8,D39:D39)</f>
        <v>-40.625821828699145</v>
      </c>
      <c r="E40" s="50">
        <f t="shared" si="8"/>
        <v>-78.510286070516671</v>
      </c>
      <c r="F40" s="50">
        <f t="shared" si="8"/>
        <v>-69.534252672725486</v>
      </c>
      <c r="G40" s="50">
        <f t="shared" si="8"/>
        <v>4.1122815502026278</v>
      </c>
      <c r="H40" s="50">
        <f t="shared" si="8"/>
        <v>4.2220187348237976</v>
      </c>
      <c r="I40" s="50">
        <f t="shared" si="8"/>
        <v>4.3322716842126905</v>
      </c>
      <c r="J40" s="50">
        <f t="shared" si="8"/>
        <v>4.4430428224637062</v>
      </c>
      <c r="K40" s="50">
        <f t="shared" si="8"/>
        <v>4.5543345850645052</v>
      </c>
      <c r="L40" s="50">
        <f t="shared" si="8"/>
        <v>4.6661494189495318</v>
      </c>
      <c r="M40" s="50">
        <f t="shared" si="8"/>
        <v>4.7784897825538062</v>
      </c>
      <c r="N40" s="50">
        <f t="shared" si="8"/>
        <v>4.8913581458670272</v>
      </c>
      <c r="O40" s="50">
        <f t="shared" si="8"/>
        <v>5.0047569904878229</v>
      </c>
      <c r="P40" s="50">
        <f t="shared" si="8"/>
        <v>5.1186888096783321</v>
      </c>
      <c r="Q40" s="50">
        <f t="shared" si="8"/>
        <v>5.2331561084190357</v>
      </c>
      <c r="R40" s="50">
        <f t="shared" si="8"/>
        <v>5.3481614034638216</v>
      </c>
      <c r="S40" s="50">
        <f t="shared" si="8"/>
        <v>5.1186888096783321</v>
      </c>
      <c r="T40" s="50">
        <f t="shared" si="8"/>
        <v>5.2331561084190357</v>
      </c>
      <c r="U40" s="50">
        <f t="shared" si="8"/>
        <v>5.3481614034638216</v>
      </c>
      <c r="V40" s="50">
        <f t="shared" si="8"/>
        <v>5.4637072233953212</v>
      </c>
      <c r="W40" s="50">
        <f t="shared" si="8"/>
        <v>5.5797961086804984</v>
      </c>
      <c r="X40" s="50">
        <f t="shared" si="8"/>
        <v>5.6964306117265133</v>
      </c>
      <c r="Y40" s="50">
        <f t="shared" si="8"/>
        <v>5.8136132969368477</v>
      </c>
      <c r="Z40" s="50">
        <f t="shared" si="8"/>
        <v>5.9313467407676681</v>
      </c>
      <c r="AA40" s="50">
        <f t="shared" si="8"/>
        <v>6.049633531784492</v>
      </c>
      <c r="AB40" s="50">
        <f t="shared" si="8"/>
        <v>6.1684762707190979</v>
      </c>
      <c r="AC40" s="50">
        <f t="shared" si="8"/>
        <v>6.2878775705266943</v>
      </c>
      <c r="AD40" s="50">
        <f t="shared" si="8"/>
        <v>6.4078400564433888</v>
      </c>
      <c r="AE40" s="50">
        <f t="shared" si="8"/>
        <v>6.5283663660438895</v>
      </c>
      <c r="AF40" s="50">
        <f t="shared" si="8"/>
        <v>6.6494591492995152</v>
      </c>
      <c r="AG40" s="50">
        <f t="shared" si="8"/>
        <v>6.7711210686364396</v>
      </c>
      <c r="AH40" s="50">
        <f t="shared" si="8"/>
        <v>6.8933547989942445</v>
      </c>
      <c r="AI40" s="50">
        <f t="shared" si="8"/>
        <v>7.0161630278847396</v>
      </c>
      <c r="AJ40" s="50">
        <f t="shared" si="8"/>
        <v>7.1395484554510107</v>
      </c>
      <c r="AK40" s="50">
        <f t="shared" si="8"/>
        <v>7.2635137945268502</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262.18926960168727</v>
      </c>
      <c r="B42" s="1688" t="s">
        <v>1003</v>
      </c>
      <c r="C42" s="1703"/>
      <c r="D42" s="1699">
        <f>'C-FCL Real'!C157</f>
        <v>-44.582776874814435</v>
      </c>
      <c r="E42" s="50">
        <f>'C-FCL Real'!D157</f>
        <v>-130.73996480859944</v>
      </c>
      <c r="F42" s="50">
        <f>'C-FCL Real'!E157</f>
        <v>-207.04685369164838</v>
      </c>
      <c r="G42" s="50">
        <f>'C-FCL Real'!F157</f>
        <v>-202.53403591845603</v>
      </c>
      <c r="H42" s="50">
        <f>'C-FCL Real'!G157</f>
        <v>-197.90079255886039</v>
      </c>
      <c r="I42" s="50">
        <f>'C-FCL Real'!H157</f>
        <v>-193.14655761260539</v>
      </c>
      <c r="J42" s="50">
        <f>'C-FCL Real'!I157</f>
        <v>-188.27076241923373</v>
      </c>
      <c r="K42" s="50">
        <f>'C-FCL Real'!J157</f>
        <v>-183.27283564558394</v>
      </c>
      <c r="L42" s="50">
        <f>'C-FCL Real'!K157</f>
        <v>-178.15220327322874</v>
      </c>
      <c r="M42" s="50">
        <f>'C-FCL Real'!L157</f>
        <v>-172.90828858585419</v>
      </c>
      <c r="N42" s="50">
        <f>'C-FCL Real'!M157</f>
        <v>-167.54051215657972</v>
      </c>
      <c r="O42" s="50">
        <f>'C-FCL Real'!N157</f>
        <v>-162.04829183521838</v>
      </c>
      <c r="P42" s="50">
        <f>'C-FCL Real'!O157</f>
        <v>-156.43104273547738</v>
      </c>
      <c r="Q42" s="50">
        <f>'C-FCL Real'!P157</f>
        <v>-150.68817722209832</v>
      </c>
      <c r="R42" s="50">
        <f>'C-FCL Real'!Q157</f>
        <v>-144.81910489793711</v>
      </c>
      <c r="S42" s="50">
        <f>'C-FCL Real'!O157</f>
        <v>-156.43104273547738</v>
      </c>
      <c r="T42" s="50">
        <f>'C-FCL Real'!P157</f>
        <v>-150.68817722209832</v>
      </c>
      <c r="U42" s="50">
        <f>'C-FCL Real'!Q157</f>
        <v>-144.81910489793711</v>
      </c>
      <c r="V42" s="50">
        <f>'C-FCL Real'!R157</f>
        <v>-138.82323259098308</v>
      </c>
      <c r="W42" s="50">
        <f>'C-FCL Real'!S157</f>
        <v>-132.6999643413171</v>
      </c>
      <c r="X42" s="50">
        <f>'C-FCL Real'!T157</f>
        <v>-126.44870138800843</v>
      </c>
      <c r="Y42" s="50">
        <f>'C-FCL Real'!U157</f>
        <v>-120.06884215594994</v>
      </c>
      <c r="Z42" s="50">
        <f>'C-FCL Real'!V157</f>
        <v>-113.5597822426315</v>
      </c>
      <c r="AA42" s="50">
        <f>'C-FCL Real'!W157</f>
        <v>-106.9209144048512</v>
      </c>
      <c r="AB42" s="50">
        <f>'C-FCL Real'!X157</f>
        <v>-100.15162854536406</v>
      </c>
      <c r="AC42" s="50">
        <f>'C-FCL Real'!Y157</f>
        <v>-93.251311699468062</v>
      </c>
      <c r="AD42" s="50">
        <f>'C-FCL Real'!Z157</f>
        <v>-86.219348021527082</v>
      </c>
      <c r="AE42" s="50">
        <f>'C-FCL Real'!AA157</f>
        <v>-79.055118771430514</v>
      </c>
      <c r="AF42" s="50">
        <f>'C-FCL Real'!AB157</f>
        <v>-71.758002300989233</v>
      </c>
      <c r="AG42" s="50">
        <f>'C-FCL Real'!AC157</f>
        <v>-64.3273740402676</v>
      </c>
      <c r="AH42" s="50">
        <f>'C-FCL Real'!AD157</f>
        <v>-56.762606483851314</v>
      </c>
      <c r="AI42" s="50">
        <f>'C-FCL Real'!AE157</f>
        <v>-49.0630691770506</v>
      </c>
      <c r="AJ42" s="50">
        <f>'C-FCL Real'!AF157</f>
        <v>-41.22812870203866</v>
      </c>
      <c r="AK42" s="50">
        <f>'C-FCL Real'!AG157</f>
        <v>-33.257148663924895</v>
      </c>
      <c r="AL42" s="50">
        <f>'C-FCL Real'!AH157</f>
        <v>-25.149489676762723</v>
      </c>
      <c r="AM42" s="50">
        <f>'C-FCL Real'!AI157</f>
        <v>-16.904509349491622</v>
      </c>
      <c r="AN42" s="50">
        <f>'C-FCL Real'!AJ157</f>
        <v>-8.5215622718130781</v>
      </c>
      <c r="AO42" s="50">
        <f>'C-FCL Real'!AK157</f>
        <v>-1.758593271006248E-13</v>
      </c>
      <c r="AP42" s="50">
        <f>'C-FCL Real'!AL157</f>
        <v>8.6608289573595112</v>
      </c>
      <c r="AQ42" s="50">
        <f>'C-FCL Real'!AM157</f>
        <v>17.461579153688056</v>
      </c>
      <c r="AR42" s="50">
        <f>'C-FCL Real'!AN157</f>
        <v>26.402908218808626</v>
      </c>
      <c r="AS42" s="50">
        <f>'C-FCL Real'!AO157</f>
        <v>35.485476873404522</v>
      </c>
      <c r="AT42" s="50">
        <f>'C-FCL Real'!AP157</f>
        <v>44.709948943546287</v>
      </c>
      <c r="AU42" s="50">
        <f>'C-FCL Real'!AQ157</f>
        <v>54.076991375286987</v>
      </c>
      <c r="AV42" s="50">
        <f>'C-FCL Real'!AR157</f>
        <v>63.587274249326136</v>
      </c>
      <c r="AW42" s="50">
        <f>'C-FCL Real'!AS157</f>
        <v>73.241470795742543</v>
      </c>
      <c r="AX42" s="50">
        <f>'C-FCL Real'!AT157</f>
        <v>83.040257408796379</v>
      </c>
      <c r="AY42" s="50">
        <f>'C-FCL Real'!AU157</f>
        <v>92.984313661800826</v>
      </c>
      <c r="AZ42" s="50">
        <f>'C-FCL Real'!AV157</f>
        <v>103.07432232206367</v>
      </c>
      <c r="BA42" s="50">
        <f>'C-FCL Real'!AW157</f>
        <v>113.31096936589901</v>
      </c>
      <c r="BB42" s="50">
        <f>'C-FCL Real'!AX157</f>
        <v>123.69494399370966</v>
      </c>
      <c r="BC42" s="50">
        <f>'C-FCL Real'!AY157</f>
        <v>134.22693864514028</v>
      </c>
      <c r="BD42" s="50">
        <f>'C-FCL Real'!AZ157</f>
        <v>144.90764901430188</v>
      </c>
      <c r="BE42" s="50">
        <f>'C-FCL Real'!BA157</f>
        <v>155.73777406506781</v>
      </c>
      <c r="BF42" s="50">
        <f>'C-FCL Real'!BB157</f>
        <v>166.71801604644162</v>
      </c>
      <c r="BG42" s="50">
        <f>'C-FCL Real'!BC157</f>
        <v>177.84908050799717</v>
      </c>
      <c r="BH42" s="50">
        <f>'C-FCL Real'!BD157</f>
        <v>0</v>
      </c>
    </row>
    <row r="43" spans="1:60" ht="15" hidden="1" customHeight="1" outlineLevel="1" x14ac:dyDescent="0.25">
      <c r="A43" s="1716">
        <f>A18+A21+A36</f>
        <v>263.63078065220367</v>
      </c>
      <c r="B43" s="1688" t="s">
        <v>1042</v>
      </c>
      <c r="C43" s="1705">
        <f>'R&amp;C-Painel de Controle'!D32</f>
        <v>35</v>
      </c>
      <c r="D43" s="1691" t="s">
        <v>309</v>
      </c>
    </row>
    <row r="44" spans="1:60" ht="15" hidden="1" customHeight="1" outlineLevel="1" x14ac:dyDescent="0.25">
      <c r="A44" s="1716">
        <f>A42-A43</f>
        <v>-1.4415110505163966</v>
      </c>
      <c r="B44" s="1688" t="s">
        <v>1024</v>
      </c>
      <c r="C44" s="35"/>
      <c r="D44" s="888"/>
      <c r="F44" s="1638"/>
      <c r="G44" s="1638"/>
    </row>
    <row r="45" spans="1:60" ht="15" hidden="1" customHeight="1" outlineLevel="1" x14ac:dyDescent="0.25">
      <c r="A45" s="1716"/>
      <c r="B45" s="1974" t="s">
        <v>1125</v>
      </c>
      <c r="C45" s="1975">
        <v>160</v>
      </c>
      <c r="D45" s="1976" t="s">
        <v>342</v>
      </c>
      <c r="E45" s="1977"/>
      <c r="F45" s="1978"/>
      <c r="G45" s="1978"/>
      <c r="H45" s="1977"/>
    </row>
    <row r="46" spans="1:60" ht="15" hidden="1" customHeight="1" outlineLevel="1" x14ac:dyDescent="0.25">
      <c r="B46" s="1641" t="s">
        <v>1021</v>
      </c>
      <c r="C46" s="1704">
        <f>F46*$C$16/1000000</f>
        <v>1380.2013929720226</v>
      </c>
      <c r="D46" s="1658" t="s">
        <v>1061</v>
      </c>
      <c r="E46" s="1658"/>
      <c r="F46" s="1674">
        <f>A27</f>
        <v>251.19943332338045</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60.38304760157186</v>
      </c>
      <c r="D48" s="1658" t="s">
        <v>1061</v>
      </c>
      <c r="E48" s="1658"/>
      <c r="F48" s="1674">
        <f>A30</f>
        <v>10.989836278306832</v>
      </c>
      <c r="G48" s="1658" t="s">
        <v>342</v>
      </c>
      <c r="H48" s="1658"/>
    </row>
    <row r="49" spans="1:8" s="41" customFormat="1" ht="15" hidden="1" customHeight="1" outlineLevel="1" thickTop="1" x14ac:dyDescent="0.25">
      <c r="B49" s="1659" t="s">
        <v>1025</v>
      </c>
      <c r="C49" s="1676">
        <f>C46+C47+C48</f>
        <v>1440.5844405735945</v>
      </c>
      <c r="D49" s="1660" t="s">
        <v>1061</v>
      </c>
      <c r="E49" s="1660"/>
      <c r="F49" s="1661">
        <f>F46+F47+F48</f>
        <v>262.18926960168727</v>
      </c>
      <c r="G49" s="1660" t="s">
        <v>342</v>
      </c>
      <c r="H49" s="1660"/>
    </row>
    <row r="50" spans="1:8" ht="15" hidden="1" customHeight="1" outlineLevel="1" x14ac:dyDescent="0.25">
      <c r="B50" s="1760" t="s">
        <v>1027</v>
      </c>
      <c r="C50" s="1761">
        <f>F50*$C$16/1000000</f>
        <v>1345.9243988831713</v>
      </c>
      <c r="D50" s="1762" t="s">
        <v>1061</v>
      </c>
      <c r="E50" s="1762"/>
      <c r="F50" s="1763">
        <f>A18+A21</f>
        <v>244.96095136343445</v>
      </c>
      <c r="G50" s="1762" t="s">
        <v>342</v>
      </c>
      <c r="H50" s="1762"/>
    </row>
    <row r="51" spans="1:8" ht="15" hidden="1" customHeight="1" outlineLevel="1" x14ac:dyDescent="0.25">
      <c r="B51" s="1641" t="s">
        <v>1028</v>
      </c>
      <c r="C51" s="1715">
        <f>F51*$C$16/1000000</f>
        <v>102.58034442990417</v>
      </c>
      <c r="D51" s="1658" t="s">
        <v>1061</v>
      </c>
      <c r="E51" s="1658"/>
      <c r="F51" s="1675">
        <f>A36</f>
        <v>18.669829288769201</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-7.9203027394809595</v>
      </c>
      <c r="D53" s="1736" t="s">
        <v>1061</v>
      </c>
      <c r="E53" s="1736"/>
      <c r="F53" s="1737">
        <f>F49-F50-F51</f>
        <v>-1.4415110505163753</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9" t="s">
        <v>1082</v>
      </c>
      <c r="C55" s="2270"/>
      <c r="D55" s="2270"/>
      <c r="E55" s="2270"/>
      <c r="F55" s="2270"/>
      <c r="G55" s="2270"/>
      <c r="H55" s="2271"/>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10198466.017203405</v>
      </c>
      <c r="D57" s="1652" t="s">
        <v>1016</v>
      </c>
      <c r="E57" s="1652"/>
      <c r="F57" s="1653">
        <f>C57/'R&amp;C-Painel de Controle'!$D$8</f>
        <v>69.85250696714661</v>
      </c>
      <c r="G57" s="1652" t="s">
        <v>342</v>
      </c>
      <c r="H57" s="1654">
        <f>F57/$F$99</f>
        <v>0.26671597879210823</v>
      </c>
    </row>
    <row r="58" spans="1:8" s="1639" customFormat="1" ht="15" hidden="1" customHeight="1" outlineLevel="1" x14ac:dyDescent="0.25">
      <c r="B58" s="1647" t="s">
        <v>1034</v>
      </c>
      <c r="C58" s="1707">
        <f>('R&amp;C-Painel de Controle'!D8-'R&amp;C-Painel de Controle'!D9)</f>
        <v>94926.28</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107.43564392498479</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11367731.503586518</v>
      </c>
      <c r="D61" s="1740" t="s">
        <v>1016</v>
      </c>
      <c r="E61" s="1740"/>
      <c r="F61" s="1741">
        <f>C61/'R&amp;C-Painel de Controle'!$D$8</f>
        <v>77.861174682099431</v>
      </c>
      <c r="G61" s="1740" t="s">
        <v>342</v>
      </c>
      <c r="H61" s="1742">
        <f>F61/$F$99</f>
        <v>0.29729526278858714</v>
      </c>
    </row>
    <row r="62" spans="1:8" s="1639" customFormat="1" ht="15" hidden="1" customHeight="1" outlineLevel="1" x14ac:dyDescent="0.25">
      <c r="B62" s="1642" t="str">
        <f>'R&amp;C-Painel de Controle'!J36</f>
        <v>Mat. Recicl.: Papel/Papelão — Triagem Mecanizada</v>
      </c>
      <c r="C62" s="1710">
        <f>'R&amp;C-Painel de Controle'!L36</f>
        <v>5184.0582321483053</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3521.9937607725124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1820.3563257925346</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949.75112650045298</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237.43778162511325</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910.17816289626728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658" t="s">
        <v>1016</v>
      </c>
      <c r="E78" s="1658"/>
      <c r="F78" s="1675">
        <f>C78/'R&amp;C-Painel de Controle'!$D$8</f>
        <v>20.931196936632308</v>
      </c>
      <c r="G78" s="1658" t="s">
        <v>342</v>
      </c>
      <c r="H78" s="1743">
        <f>F78/$F$99</f>
        <v>7.9921035344800717E-2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658" t="s">
        <v>1016</v>
      </c>
      <c r="E79" s="1658"/>
      <c r="F79" s="1675">
        <f>C79/'R&amp;C-Painel de Controle'!$D$8</f>
        <v>29.303675711285234</v>
      </c>
      <c r="G79" s="1658" t="s">
        <v>342</v>
      </c>
      <c r="H79" s="1743">
        <f>F79/$F$99</f>
        <v>0.11188944948272102</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2232048.5925274845</v>
      </c>
      <c r="D81" s="1746" t="s">
        <v>1016</v>
      </c>
      <c r="E81" s="1746"/>
      <c r="F81" s="1747">
        <f>C81/'R&amp;C-Painel de Controle'!$D$8</f>
        <v>15.288004058407429</v>
      </c>
      <c r="G81" s="1746" t="s">
        <v>342</v>
      </c>
      <c r="H81" s="1748">
        <f>F81/$F$99</f>
        <v>5.8373781318022511E-2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292.94394556662456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99.954903729834669</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217564.23930309125</v>
      </c>
      <c r="D88" s="1746" t="s">
        <v>1016</v>
      </c>
      <c r="E88" s="1746"/>
      <c r="F88" s="1747">
        <f>C88/'R&amp;C-Painel de Controle'!$D$8</f>
        <v>1.4901660226239126</v>
      </c>
      <c r="G88" s="1746" t="s">
        <v>342</v>
      </c>
      <c r="H88" s="1748">
        <f>F88/$F$99</f>
        <v>5.6898614887767873E-3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6887074.9685888123</v>
      </c>
      <c r="D92" s="1746" t="s">
        <v>1016</v>
      </c>
      <c r="E92" s="1749"/>
      <c r="F92" s="1750">
        <f>C92/'R&amp;C-Painel de Controle'!$D$8</f>
        <v>47.171746360197346</v>
      </c>
      <c r="G92" s="1749" t="s">
        <v>342</v>
      </c>
      <c r="H92" s="1751">
        <f>F92/$F$99</f>
        <v>0.18011463078498355</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292.94394556662456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99.954903729834669</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38237176.727805272</v>
      </c>
      <c r="D99" s="1754" t="s">
        <v>1016</v>
      </c>
      <c r="E99" s="1755"/>
      <c r="F99" s="1756">
        <f>C99/'R&amp;C-Painel de Controle'!$D$8</f>
        <v>261.89847073839229</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9" t="s">
        <v>1083</v>
      </c>
      <c r="C101" s="2270"/>
      <c r="D101" s="2270"/>
      <c r="E101" s="2270"/>
      <c r="F101" s="2270"/>
      <c r="G101" s="2270"/>
      <c r="H101" s="2271"/>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1126</v>
      </c>
      <c r="C110" s="1979">
        <f>C103*1000/C102/365</f>
        <v>0.97182438161599816</v>
      </c>
      <c r="D110" s="1639" t="s">
        <v>1127</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104.86613782051283</v>
      </c>
      <c r="D112" s="1775" t="s">
        <v>1065</v>
      </c>
      <c r="E112" s="1776"/>
      <c r="F112" s="1776"/>
      <c r="G112" s="1776"/>
      <c r="H112" s="1776"/>
    </row>
    <row r="113" spans="2:8" ht="15" hidden="1" customHeight="1" outlineLevel="1" x14ac:dyDescent="0.25">
      <c r="B113" s="1688"/>
      <c r="C113" s="1704">
        <f>C112*312*$C$106/$C$104/1000</f>
        <v>35.472808845155882</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163.69782051282053</v>
      </c>
      <c r="D115" s="1775" t="s">
        <v>1065</v>
      </c>
      <c r="E115" s="1776"/>
      <c r="F115" s="1776"/>
      <c r="G115" s="1776"/>
      <c r="H115" s="1776"/>
    </row>
    <row r="116" spans="2:8" ht="15" hidden="1" customHeight="1" outlineLevel="1" x14ac:dyDescent="0.25">
      <c r="B116" s="1726"/>
      <c r="C116" s="1704">
        <f>C115*312*$C$106/$C$104/1000</f>
        <v>55.373656512064734</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199.38475961538461</v>
      </c>
      <c r="D118" s="1775" t="s">
        <v>1065</v>
      </c>
      <c r="E118" s="1776"/>
      <c r="F118" s="1776"/>
      <c r="G118" s="1776"/>
      <c r="H118" s="1776"/>
    </row>
    <row r="119" spans="2:8" ht="15" hidden="1" customHeight="1" outlineLevel="1" thickBot="1" x14ac:dyDescent="0.3">
      <c r="B119" s="1721"/>
      <c r="C119" s="1804">
        <f>C118*312*$C$106/$C$104/1000</f>
        <v>67.445389059521531</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5" t="s">
        <v>1075</v>
      </c>
      <c r="C121" s="1731"/>
      <c r="D121" s="1718"/>
      <c r="E121" s="1718"/>
      <c r="F121" s="1718"/>
      <c r="G121" s="1718"/>
      <c r="H121" s="1718"/>
    </row>
    <row r="122" spans="2:8" ht="15" hidden="1" customHeight="1" outlineLevel="1" x14ac:dyDescent="0.25">
      <c r="B122" s="2263"/>
      <c r="C122" s="1779">
        <f>'R-Resumo Bal. Massa'!D64</f>
        <v>37.318910256410263</v>
      </c>
      <c r="D122" s="1771" t="s">
        <v>1065</v>
      </c>
      <c r="E122" s="1767"/>
      <c r="F122" s="1767"/>
      <c r="G122" s="1767"/>
      <c r="H122" s="1767"/>
    </row>
    <row r="123" spans="2:8" ht="15" hidden="1" customHeight="1" outlineLevel="1" x14ac:dyDescent="0.25">
      <c r="B123" s="2264"/>
      <c r="C123" s="1704">
        <f>C122*312*$C$106/$C$104/1000</f>
        <v>12.623775389735187</v>
      </c>
      <c r="D123" s="1719" t="s">
        <v>1063</v>
      </c>
      <c r="E123" s="888"/>
      <c r="F123" s="888"/>
      <c r="G123" s="888"/>
      <c r="H123" s="888"/>
    </row>
    <row r="124" spans="2:8" ht="15" hidden="1" customHeight="1" outlineLevel="1" x14ac:dyDescent="0.25">
      <c r="B124" s="2262" t="s">
        <v>1081</v>
      </c>
      <c r="C124" s="1730"/>
      <c r="D124" s="1725"/>
      <c r="E124" s="1725"/>
      <c r="F124" s="1725"/>
      <c r="G124" s="1725"/>
      <c r="H124" s="1725"/>
    </row>
    <row r="125" spans="2:8" ht="15" hidden="1" customHeight="1" outlineLevel="1" x14ac:dyDescent="0.25">
      <c r="B125" s="2263"/>
      <c r="C125" s="1779">
        <f>'R-Resumo Bal. Massa'!D73</f>
        <v>162.06584935897433</v>
      </c>
      <c r="D125" s="1771" t="s">
        <v>1065</v>
      </c>
      <c r="E125" s="1767"/>
      <c r="F125" s="1767"/>
      <c r="G125" s="1767"/>
      <c r="H125" s="1767"/>
    </row>
    <row r="126" spans="2:8" ht="15" hidden="1" customHeight="1" outlineLevel="1" x14ac:dyDescent="0.25">
      <c r="B126" s="2264"/>
      <c r="C126" s="1704">
        <f>C125*312*$C$106/$C$104/1000</f>
        <v>54.821613669786338</v>
      </c>
      <c r="D126" s="1719" t="s">
        <v>1063</v>
      </c>
      <c r="E126" s="888"/>
      <c r="F126" s="888"/>
      <c r="G126" s="888"/>
      <c r="H126" s="888"/>
    </row>
    <row r="127" spans="2:8" ht="15" hidden="1" customHeight="1" outlineLevel="1" x14ac:dyDescent="0.25">
      <c r="B127" s="2262" t="s">
        <v>1064</v>
      </c>
      <c r="C127" s="1730"/>
      <c r="D127" s="1725"/>
      <c r="E127" s="1725"/>
      <c r="F127" s="1725"/>
      <c r="G127" s="1725"/>
      <c r="H127" s="1725"/>
    </row>
    <row r="128" spans="2:8" ht="15" hidden="1" customHeight="1" outlineLevel="1" x14ac:dyDescent="0.25">
      <c r="B128" s="2263"/>
      <c r="C128" s="1779">
        <f>'R-Resumo Bal. Massa'!D69</f>
        <v>0</v>
      </c>
      <c r="D128" s="1771" t="s">
        <v>1065</v>
      </c>
      <c r="E128" s="1767"/>
      <c r="F128" s="1767"/>
      <c r="G128" s="1767"/>
      <c r="H128" s="1767"/>
    </row>
    <row r="129" spans="2:8" ht="15" hidden="1" customHeight="1" outlineLevel="1" x14ac:dyDescent="0.25">
      <c r="B129" s="2264"/>
      <c r="C129" s="1704">
        <f>C128*312*$C$106/$C$104/1000</f>
        <v>0</v>
      </c>
      <c r="D129" s="1727" t="s">
        <v>1063</v>
      </c>
      <c r="E129" s="1728"/>
      <c r="F129" s="1728"/>
      <c r="G129" s="1728"/>
      <c r="H129" s="1728"/>
    </row>
    <row r="130" spans="2:8" ht="15" hidden="1" customHeight="1" outlineLevel="1" x14ac:dyDescent="0.25">
      <c r="B130" s="2262" t="s">
        <v>1122</v>
      </c>
      <c r="C130" s="1972">
        <f>IF('R-Definição'!E112&gt;0,'R-Definição'!O111/'R-Definição'!E112,0)</f>
        <v>0</v>
      </c>
      <c r="D130" s="1691" t="s">
        <v>1124</v>
      </c>
      <c r="E130" s="888"/>
      <c r="F130" s="888"/>
      <c r="G130" s="888"/>
      <c r="H130" s="888"/>
    </row>
    <row r="131" spans="2:8" ht="15" hidden="1" customHeight="1" outlineLevel="1" x14ac:dyDescent="0.25">
      <c r="B131" s="2263"/>
      <c r="C131" s="1973">
        <f>C130*C106</f>
        <v>0</v>
      </c>
      <c r="D131" s="1771" t="s">
        <v>1067</v>
      </c>
      <c r="E131" s="1767"/>
      <c r="F131" s="1767"/>
      <c r="G131" s="1767"/>
      <c r="H131" s="1767"/>
    </row>
    <row r="132" spans="2:8" ht="15" hidden="1" customHeight="1" outlineLevel="1" x14ac:dyDescent="0.25">
      <c r="B132" s="2264"/>
      <c r="C132" s="1758">
        <f>C130*C105/1000</f>
        <v>0</v>
      </c>
      <c r="D132" s="1727" t="s">
        <v>306</v>
      </c>
      <c r="E132" s="1728"/>
      <c r="F132" s="1728"/>
      <c r="G132" s="1728"/>
      <c r="H132" s="1728"/>
    </row>
    <row r="133" spans="2:8" ht="15" hidden="1" customHeight="1" outlineLevel="1" x14ac:dyDescent="0.25">
      <c r="B133" s="2262" t="s">
        <v>1123</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63"/>
      <c r="C134" s="1807">
        <f>C133*C106*C107</f>
        <v>0</v>
      </c>
      <c r="D134" s="1771" t="s">
        <v>1067</v>
      </c>
      <c r="E134" s="1767"/>
      <c r="F134" s="1767"/>
      <c r="G134" s="1767"/>
      <c r="H134" s="1767"/>
    </row>
    <row r="135" spans="2:8" ht="15" hidden="1" customHeight="1" outlineLevel="1" x14ac:dyDescent="0.25">
      <c r="B135" s="2264"/>
      <c r="C135" s="1758">
        <f>C133*C105*C107/1000</f>
        <v>0</v>
      </c>
      <c r="D135" s="1727" t="s">
        <v>306</v>
      </c>
      <c r="E135" s="1728"/>
      <c r="F135" s="1728"/>
      <c r="G135" s="1728"/>
      <c r="H135" s="1728"/>
    </row>
    <row r="136" spans="2:8" ht="15" hidden="1" customHeight="1" outlineLevel="1" x14ac:dyDescent="0.25">
      <c r="B136" s="2262"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63"/>
      <c r="C137" s="1807">
        <f>C136*C106*C107</f>
        <v>0</v>
      </c>
      <c r="D137" s="1771" t="s">
        <v>1068</v>
      </c>
      <c r="E137" s="1767"/>
      <c r="F137" s="1767"/>
      <c r="G137" s="1767"/>
      <c r="H137" s="1767"/>
    </row>
    <row r="138" spans="2:8" ht="15" hidden="1" customHeight="1" outlineLevel="1" x14ac:dyDescent="0.25">
      <c r="B138" s="2263"/>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0"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0"/>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8" t="str">
        <f>'R-Definição'!D2</f>
        <v>CIRSOP - Consórcio RSU Oeste Paulista</v>
      </c>
      <c r="R2" s="2279"/>
      <c r="S2" s="1002"/>
      <c r="T2" s="1004" t="s">
        <v>486</v>
      </c>
      <c r="U2" s="2278" t="str">
        <f>'R-Definição'!D3</f>
        <v>Biodigestão c/ Prod. E. Elétrica</v>
      </c>
      <c r="V2" s="2279"/>
      <c r="W2" s="334"/>
      <c r="X2" s="334"/>
      <c r="Y2" s="334"/>
      <c r="Z2" s="334"/>
      <c r="AA2" s="334"/>
      <c r="AB2" s="334"/>
    </row>
    <row r="3" spans="1:28" s="333" customFormat="1" ht="19.899999999999999" customHeight="1" x14ac:dyDescent="0.25">
      <c r="A3" s="457"/>
      <c r="B3" s="2280"/>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2" t="s">
        <v>691</v>
      </c>
      <c r="C9" s="1041"/>
      <c r="D9" s="2275" t="s">
        <v>696</v>
      </c>
      <c r="E9" s="2276"/>
      <c r="F9" s="2276"/>
      <c r="G9" s="2276"/>
      <c r="H9" s="2276"/>
      <c r="I9" s="2276"/>
      <c r="J9" s="2276"/>
      <c r="K9" s="2276"/>
      <c r="L9" s="2276"/>
      <c r="M9" s="2276"/>
      <c r="N9" s="2276"/>
      <c r="O9" s="2276"/>
      <c r="P9" s="2276"/>
      <c r="Q9" s="2276"/>
      <c r="R9" s="2276"/>
      <c r="S9" s="2276"/>
      <c r="T9" s="2276"/>
      <c r="U9" s="2276"/>
      <c r="V9" s="2277"/>
      <c r="W9" s="997"/>
      <c r="X9" s="997"/>
      <c r="Y9" s="997"/>
      <c r="Z9" s="997"/>
      <c r="AA9" s="997"/>
      <c r="AB9" s="997"/>
    </row>
    <row r="10" spans="1:28" s="333" customFormat="1" ht="7.5" customHeight="1" x14ac:dyDescent="0.25">
      <c r="A10" s="457"/>
      <c r="B10" s="2273"/>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4"/>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7"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7"/>
      <c r="C2" s="466"/>
      <c r="D2" s="1039">
        <f>('R-Resumo Bal. Massa'!B20+'R-Resumo Bal. Massa'!B21)*(1+'R&amp;C-Painel de Controle'!H56)</f>
        <v>467.94871794871801</v>
      </c>
      <c r="E2" s="1040" t="s">
        <v>21</v>
      </c>
      <c r="H2" s="1245">
        <f>D2*313</f>
        <v>146467.94871794875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1" t="s">
        <v>691</v>
      </c>
      <c r="C9" s="1041"/>
      <c r="D9" s="2284" t="s">
        <v>695</v>
      </c>
      <c r="E9" s="2285"/>
      <c r="F9" s="2285"/>
      <c r="G9" s="2285"/>
      <c r="H9" s="2285"/>
      <c r="I9" s="2285"/>
      <c r="J9" s="2285"/>
      <c r="K9" s="2285"/>
      <c r="L9" s="2285"/>
      <c r="M9" s="2285"/>
      <c r="N9" s="2285"/>
      <c r="O9" s="2285"/>
      <c r="P9" s="2285"/>
      <c r="Q9" s="2285"/>
      <c r="R9" s="2285"/>
      <c r="S9" s="2285"/>
      <c r="T9" s="2285"/>
      <c r="U9" s="2285"/>
      <c r="V9" s="2286"/>
      <c r="W9" s="1209"/>
      <c r="X9" s="1025"/>
      <c r="Y9" s="1025"/>
      <c r="Z9" s="1025"/>
      <c r="AA9" s="1025"/>
      <c r="AB9" s="1025"/>
    </row>
    <row r="10" spans="1:28" s="1022" customFormat="1" ht="7.5" customHeight="1" x14ac:dyDescent="0.3">
      <c r="A10" s="113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3"/>
      <c r="C11" s="1041"/>
      <c r="D11" s="1204">
        <v>5</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7">
        <v>0.1</v>
      </c>
      <c r="G15" s="1009"/>
      <c r="H15" s="1215">
        <f>IF('R-Definição'!$I$34="Alta",(14961570+179440+150030)/313000,(14961570+179440+150030)/313000*0.85)</f>
        <v>41.525188498402549</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t="str">
        <f>(IF(E$7="SIM",(((D17-F17)*'R&amp;C-Painel de Controle'!$D$57+F17*('R&amp;C-Painel de Controle'!$D$60)+(((75)+(15+E30/5*30)+(25+E30/10*25))*D16)))/1000000,"-"))</f>
        <v>-</v>
      </c>
      <c r="F16" s="1059">
        <v>0.05</v>
      </c>
      <c r="G16" s="1009"/>
      <c r="H16" s="1058">
        <v>2000</v>
      </c>
      <c r="I16" s="986">
        <f>(IF(I$7="SIM",(((H17-J17)*'R&amp;C-Painel de Controle'!$D$57+J17*('R&amp;C-Painel de Controle'!$D$60)+(((150)+(15+I30/5*30)+(25+I30/10*25))*H16)))/1000000,"-"))</f>
        <v>14.010886676965933</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t="str">
        <f>(IF(E$7="SIM",('R&amp;C-Painel de Controle'!$D$55+0.25)*D17/1000000,"-"))</f>
        <v>-</v>
      </c>
      <c r="F17" s="1061">
        <f>IF('R-Definição'!$I$34="Alta",(50*15+50*100+50*10),(50*15+50*100+50*10)*0.75)</f>
        <v>4687.5</v>
      </c>
      <c r="G17" s="1009"/>
      <c r="H17" s="1060">
        <f>(2*(20*(20+(SQRT(J17))+20))+2*(20*(J17/(SQRT(J17))))+J17+((150)+(15+I30/5*30)+(25+I30/10*25)))</f>
        <v>14241.773353931867</v>
      </c>
      <c r="I17" s="986">
        <f>(IF(I$7="SIM",('R&amp;C-Painel de Controle'!$D$55+0.25)*H17/1000000,"-"))</f>
        <v>3.5604433384829669E-3</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t="str">
        <f>IF(E7="SIM",(E15+E16)*F18*1000/$H$2,"-")</f>
        <v>-</v>
      </c>
      <c r="E18" s="986" t="str">
        <f>(IF(E$7="SIM",$H$2*D18/1000,"-"))</f>
        <v>-</v>
      </c>
      <c r="F18" s="1057">
        <v>7.4999999999999997E-2</v>
      </c>
      <c r="G18" s="1009"/>
      <c r="H18" s="1216">
        <f>IF(I7="SIM",(I15+I16)*J18*1000/$H$2,"-")</f>
        <v>3.5318217204451018E-2</v>
      </c>
      <c r="I18" s="986">
        <f>(IF(I$7="SIM",$H$2*H18/1000,"-"))</f>
        <v>5.1729868263109067</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t="str">
        <f>IF(E7="SIM",SUM(E15:E18)*(1+D19),"-")</f>
        <v>-</v>
      </c>
      <c r="F19" s="1191" t="s">
        <v>338</v>
      </c>
      <c r="G19" s="1044"/>
      <c r="H19" s="1192">
        <v>0.05</v>
      </c>
      <c r="I19" s="1062">
        <f>IF(I7="SIM",SUM(I15:I18)*(1+H19),"-")</f>
        <v>77.857190201484556</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t="str">
        <f>IF(E7="SIM",E19*1000000/$H$2,"-")</f>
        <v>-</v>
      </c>
      <c r="F20" s="1147" t="s">
        <v>338</v>
      </c>
      <c r="G20" s="890"/>
      <c r="H20" s="1147" t="s">
        <v>338</v>
      </c>
      <c r="I20" s="1148">
        <f>IF(I7="SIM",I19*1000000/$H$2,"-")</f>
        <v>531.56469304703</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t="str">
        <f>IF(E7="SIM",(E15*F15+E16*F16)/4,"-")</f>
        <v>-</v>
      </c>
      <c r="F23" s="346"/>
      <c r="G23" s="890"/>
      <c r="H23" s="346"/>
      <c r="I23" s="352">
        <f>IF(I7="SIM",(I15*J15+I16*J16)/4,"-")</f>
        <v>1.5491928586415613</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t="str">
        <f>(IF(E$7="SIM",(E31)*2.4*12/$H$2,"-"))</f>
        <v>-</v>
      </c>
      <c r="F27" s="1057"/>
      <c r="G27" s="1133"/>
      <c r="H27" s="1172"/>
      <c r="I27" s="1030">
        <f>(IF(I$7="SIM",(I31)*2.4*12/$H$2,"-"))</f>
        <v>28.707987220447279</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t="str">
        <f>(IF(E$7="SIM",(E15*1000000*E36+E37*12)/$H$2,"-"))</f>
        <v>-</v>
      </c>
      <c r="F35" s="1161"/>
      <c r="G35" s="1140"/>
      <c r="H35" s="1220"/>
      <c r="I35" s="1030">
        <f>(IF(I$7="SIM",(I15*1000000*I36+I37*12)/$H$2,"-"))</f>
        <v>29.17568131955008</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t="str">
        <f>(IF(E$7="SIM",D38*E39*E40*12/$H$2,"-"))</f>
        <v>-</v>
      </c>
      <c r="F38" s="1161"/>
      <c r="G38" s="1140"/>
      <c r="H38" s="1214">
        <f>D38</f>
        <v>0.5</v>
      </c>
      <c r="I38" s="1030">
        <f>(IF(I$7="SIM",H38*I39*I40*12/$H$2,"-"))</f>
        <v>5.1205742045603735</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t="str">
        <f>(IF(E$7="SIM",7.5+1.5*'R&amp;C-Painel de Controle'!$D$74,"-"))</f>
        <v>-</v>
      </c>
      <c r="F41" s="1161"/>
      <c r="G41" s="1140"/>
      <c r="H41" s="1220"/>
      <c r="I41" s="1033">
        <f>(IF(I$7="SIM",7.5+1.5*'R&amp;C-Painel de Controle'!$D$74,"-"))</f>
        <v>12</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t="str">
        <f>(IF(E$7="SIM",(E27+E32+E35+E38+E41)*(1+D42),"-"))</f>
        <v>-</v>
      </c>
      <c r="F42" s="1164"/>
      <c r="G42" s="1142"/>
      <c r="H42" s="1214">
        <v>0.1</v>
      </c>
      <c r="I42" s="1027">
        <f>(IF(I$7="SIM",(I27+I32+I35+I38+I41)*(1+H42),"-"))</f>
        <v>82.50466701901351</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t="str">
        <f>(IF(E$7="SIM",E42*$H$2/1000000,"-"))</f>
        <v>-</v>
      </c>
      <c r="F43" s="1166"/>
      <c r="G43" s="1044"/>
      <c r="H43" s="1165"/>
      <c r="I43" s="1026">
        <f>(IF(I$7="SIM",I42*$H$2/1000000,"-"))</f>
        <v>12.08428933793231</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t="str">
        <f>(IF(E$7="SIM",(((E27*$H$2/12)+(E34/1000*'R&amp;C-Painel de Controle'!$D$69*12)+(E37*12)+(E39*E40*12))/1000000),"-"))</f>
        <v>-</v>
      </c>
      <c r="F44" s="1167"/>
      <c r="G44" s="1009"/>
      <c r="H44" s="1160"/>
      <c r="I44" s="1035">
        <f>(IF(I$7="SIM",(((I27*$H$2/12)+(I34/1000*'R&amp;C-Painel de Controle'!$D$69*12)+(I37*12)+(I39*I40*12))/1000000),"-"))</f>
        <v>3.6503999999999999</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t="str">
        <f>(IF(E$7="SIM",((E43-E44)*1000000)/$H$2,"-"))</f>
        <v>-</v>
      </c>
      <c r="F45" s="1170"/>
      <c r="G45" s="1009"/>
      <c r="H45" s="1168"/>
      <c r="I45" s="1169">
        <f>(IF(I$7="SIM",((I43-I44)*1000000)/$H$2,"-"))</f>
        <v>57.581808250577282</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QHGQcAhKj6CsNK1jmDWRsjuxeRgHsu4elAqFXFiac2vOhm46cU3C/Cym0mlrF5GGM9d24aVI2co8KhMEvOWqvA==" saltValue="BDTVeVcKVcQlDf4xWXH3S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7"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7"/>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7"/>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1" t="s">
        <v>691</v>
      </c>
      <c r="C9" s="1041"/>
      <c r="D9" s="2284" t="s">
        <v>697</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3"/>
      <c r="C11" s="1041"/>
      <c r="D11" s="1204">
        <v>5</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v9SyNVo2cjKCZ1eN8KKjtVsCI4v5Xlo/cS79zEpwpJP6tttTOdwqErhJDR9TQxOodpXziUS79BetyhiOJ3Lzng==" saltValue="gvrgihDxKw3XQYjpAxaYO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7"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7"/>
      <c r="C2" s="466"/>
      <c r="D2" s="1039">
        <f>'R-Resumo Bal. Massa'!B31*(1+'R&amp;C-Painel de Controle'!H62)</f>
        <v>476.66426282051282</v>
      </c>
      <c r="E2" s="1040" t="s">
        <v>21</v>
      </c>
      <c r="H2" s="1245">
        <f>D2*313</f>
        <v>149195.9142628205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1" t="s">
        <v>691</v>
      </c>
      <c r="C9" s="1041"/>
      <c r="D9" s="2284" t="s">
        <v>698</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3"/>
      <c r="C11" s="1041"/>
      <c r="D11" s="1204">
        <v>5</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f>(IF(I$7="SIM",('R&amp;C-Painel de Controle'!$D$55+0.25)*H17/1000000,"-"))</f>
        <v>5.7610679774997894E-3</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f>IF(I7="SIM",(I15+I16)*J18*1000/$H$2,"-")</f>
        <v>4.4621679384495128E-2</v>
      </c>
      <c r="I18" s="986">
        <f>(IF(I$7="SIM",$H$2*H18/1000,""))</f>
        <v>6.6573722517122009</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f>IF(I7="SIM",SUM(I15:I18)*(1+H19),"-")</f>
        <v>146.80110727163037</v>
      </c>
      <c r="J19" s="1243">
        <f>IF(I7="SIM",(I16)/I19,"-")</f>
        <v>0.35154836937501638</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f>IF(I7="SIM",I19*1000000/$H$2,"-")</f>
        <v>983.94857524736585</v>
      </c>
      <c r="J20" s="1147">
        <f>IF(I7="SIM",I16/I19,"-")</f>
        <v>0.35154836937501638</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0.84442841880341879</v>
      </c>
      <c r="I22" s="352"/>
      <c r="J22" s="346">
        <f>((J11-$D$2)/(J11-H11))</f>
        <v>0.15557158119658121</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12875.694591228741</v>
      </c>
      <c r="I23" s="352">
        <f>IF(I7="SIM",(I15*J15+I16*J16)/4,"-")</f>
        <v>2.683590002308744</v>
      </c>
      <c r="J23" s="346">
        <f>((L15*(($D$2-H11)/(J11-H11))*$H$2/1000)*(1-I21)*'R&amp;C-Painel de Controle'!$D$52*(1+'R&amp;C-Painel de Controle'!$D$54))/1000</f>
        <v>57.940625660529328</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f>(IF(I$7="SIM",(I31)*2.4*12/$H$2,"-"))</f>
        <v>9.4973110155276235</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f>(IF(I$7="SIM",(I15*1000000*I36+I37*12)/$H$2,"-"))</f>
        <v>31.347961374356995</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f>(IF(I$7="SIM",H38*I39*I40*12/$H$2,"-"))</f>
        <v>5.0269473108949567</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f>(IF(I$7="SIM",5+2.5+1*'R&amp;C-Painel de Controle'!$D$74,"-"))</f>
        <v>10.5</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f>(IF(I$7="SIM",(I27+I32+I35+I38+I41)*(1+H42),"-"))</f>
        <v>62.009441670857534</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f>(IF(I$7="SIM",I42*$H$2/1000000,"-"))</f>
        <v>9.2515553430106294</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f>(IF(I$7="SIM",(((I27*$H$2/12)+(I34/1000*'R&amp;C-Painel de Controle'!$D$69*12)+(I37*12)+(I39*I40*12))/1000000),"-"))</f>
        <v>2.2180800000000001</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f>(IF(I$7="SIM",((I43-I44)*1000000)/$H$2,"-"))</f>
        <v>47.142546615724349</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OvfPVZtXvDaOXRKHLV3r56ANzspqKT/qXWS8qFsagK7HaMs2GoHV8syaM1jEr0Suy2zMwJrOZ5ZBDgSIEweDTQ==" saltValue="XPBcx+waRNpQ1ak/tiwIw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7"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7"/>
      <c r="C2" s="466"/>
      <c r="D2" s="1039">
        <f>'R-Resumo Bal. Massa'!B35*(1+'R&amp;C-Painel de Controle'!H68)</f>
        <v>0</v>
      </c>
      <c r="E2" s="1040" t="s">
        <v>440</v>
      </c>
      <c r="H2" s="1245">
        <f>D2*313</f>
        <v>0</v>
      </c>
      <c r="I2" s="1244" t="s">
        <v>441</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70"/>
    </row>
    <row r="3" spans="1:61" ht="19.899999999999999" customHeight="1" x14ac:dyDescent="0.25">
      <c r="A3" s="901"/>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1" t="s">
        <v>691</v>
      </c>
      <c r="C9" s="1041"/>
      <c r="D9" s="2284" t="s">
        <v>699</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row>
    <row r="10" spans="1:61" ht="7.5" customHeight="1" x14ac:dyDescent="0.25">
      <c r="A10" s="90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3"/>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7"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7"/>
      <c r="C2" s="466"/>
      <c r="D2" s="1039">
        <f>'R-Resumo Bal. Massa'!B34*(1+'R&amp;C-Painel de Controle'!H65)</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322"/>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1" t="s">
        <v>691</v>
      </c>
      <c r="C9" s="1041"/>
      <c r="D9" s="2284" t="s">
        <v>702</v>
      </c>
      <c r="E9" s="2285"/>
      <c r="F9" s="2285"/>
      <c r="G9" s="2285"/>
      <c r="H9" s="2285"/>
      <c r="I9" s="2285"/>
      <c r="J9" s="2285"/>
      <c r="K9" s="2285"/>
      <c r="L9" s="2285"/>
      <c r="M9" s="2285"/>
      <c r="N9" s="2285"/>
      <c r="O9" s="2285"/>
      <c r="P9" s="2285"/>
      <c r="Q9" s="2285"/>
      <c r="R9" s="2285"/>
      <c r="S9" s="2285"/>
      <c r="T9" s="2285"/>
      <c r="U9" s="2285"/>
      <c r="V9" s="2286"/>
      <c r="W9" s="1239"/>
      <c r="X9" s="1239"/>
      <c r="Y9" s="1239"/>
      <c r="Z9" s="1239"/>
      <c r="AA9" s="1252"/>
      <c r="AB9" s="1025"/>
    </row>
    <row r="10" spans="1:28" ht="7.5" customHeight="1" x14ac:dyDescent="0.25">
      <c r="A10" s="428"/>
      <c r="B10" s="2282"/>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3"/>
      <c r="C11" s="1041"/>
      <c r="D11" s="1204">
        <v>5</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t4M8W/OLllXpEz4VH7mNF0oiDUp1CHcYLa1Rrdo2ze95g30MJUyo6Ek6QJXx0KyUxjMnSKcCWHWaJJrjR7RLA==" saltValue="eih1AUSnlNSZBTegL8zrL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tabSelected="1"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7"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7"/>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7"/>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1" t="s">
        <v>691</v>
      </c>
      <c r="C9" s="1041"/>
      <c r="D9" s="2284" t="s">
        <v>448</v>
      </c>
      <c r="E9" s="2285"/>
      <c r="F9" s="2285"/>
      <c r="G9" s="2285"/>
      <c r="H9" s="2285"/>
      <c r="I9" s="2285"/>
      <c r="J9" s="2285"/>
      <c r="K9" s="2285"/>
      <c r="L9" s="2285"/>
      <c r="M9" s="2285"/>
      <c r="N9" s="2285"/>
      <c r="O9" s="2285"/>
      <c r="P9" s="2285"/>
      <c r="Q9" s="2285"/>
      <c r="R9" s="2285"/>
      <c r="S9" s="2285"/>
      <c r="T9" s="2285"/>
      <c r="U9" s="2285"/>
      <c r="V9" s="2286"/>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3"/>
      <c r="C11" s="1041"/>
      <c r="D11" s="1204">
        <v>5</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W8GDhKZ/R1L/DI1j2OFBku9vmscjJkEIA8zBK4qxDixYMOc7Fbi9RO5g1C2X4arVhKvOpHdDfKjIeFsj6LAgyw==" saltValue="EBEWde/AXxCCtBKAiVKd+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7"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7"/>
      <c r="C2" s="466"/>
      <c r="D2" s="1039">
        <f>IF('R-Definição'!E121="Novo",('R-Resumo Bal. Massa'!B47+'R&amp;C-Painel de Controle'!D31)*(1+'R&amp;C-Painel de Controle'!H74),0)</f>
        <v>223.69782051282056</v>
      </c>
      <c r="E2" s="1040" t="s">
        <v>21</v>
      </c>
      <c r="H2" s="1245">
        <f>D2*313</f>
        <v>70017.417820512841</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7"/>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1" t="s">
        <v>691</v>
      </c>
      <c r="C9" s="1041"/>
      <c r="D9" s="2284" t="s">
        <v>451</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A10" s="422"/>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3"/>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1.1948318128378206</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13.315513010575003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3.8220290913557697</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18.332373914768596</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261.8259068302545</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6.8796187178240391</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15.489028590835822</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1.7125314065959603</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0.95347680286547798</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0.75905460373048228</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1.4273956725569805E-2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1.4273956725569805E-2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0.17435048728194735</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4.1691943081025626E-2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5.7356549844819117E-2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2.0194980608974362E-3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7.3282496295205155E-2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1.7336403796702915</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1.1233985658203776</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4.1008414536763897E-2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5.4421696073717961E-2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0.51481170323943182</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2.7275530948725675</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2.3869027900648754</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0.13656751942307696</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0.20408278538461541</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99.954903729834669</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6.9985842576609709</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1.9980058325094072</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71.419063724548778</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2023-02-26T03:55:42Z</dcterms:modified>
</cp:coreProperties>
</file>